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.S.O\Tour de France 2024\Roujan\"/>
    </mc:Choice>
  </mc:AlternateContent>
  <bookViews>
    <workbookView xWindow="0" yWindow="0" windowWidth="20490" windowHeight="775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0" i="1" l="1"/>
  <c r="D180" i="1" s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D178" i="1"/>
  <c r="D176" i="1"/>
  <c r="D174" i="1"/>
  <c r="D172" i="1"/>
  <c r="D170" i="1"/>
  <c r="B166" i="1"/>
  <c r="B101" i="1" l="1"/>
  <c r="D90" i="1"/>
  <c r="B90" i="1"/>
  <c r="B89" i="1"/>
  <c r="B88" i="1"/>
  <c r="B153" i="1"/>
  <c r="D142" i="1"/>
  <c r="B142" i="1"/>
  <c r="B141" i="1"/>
  <c r="B140" i="1"/>
  <c r="B205" i="1"/>
  <c r="D194" i="1"/>
  <c r="B194" i="1"/>
  <c r="B193" i="1"/>
  <c r="B192" i="1"/>
  <c r="B236" i="1"/>
  <c r="D236" i="1" s="1"/>
  <c r="D235" i="1"/>
  <c r="B235" i="1"/>
  <c r="D234" i="1"/>
  <c r="B234" i="1"/>
  <c r="B233" i="1"/>
  <c r="D232" i="1"/>
  <c r="B232" i="1"/>
  <c r="B231" i="1"/>
  <c r="D230" i="1"/>
  <c r="B230" i="1"/>
  <c r="B229" i="1"/>
  <c r="D228" i="1"/>
  <c r="B228" i="1"/>
  <c r="B227" i="1"/>
  <c r="D226" i="1"/>
  <c r="B226" i="1"/>
  <c r="B225" i="1"/>
  <c r="D224" i="1"/>
  <c r="B224" i="1"/>
  <c r="B223" i="1"/>
  <c r="D222" i="1"/>
  <c r="B222" i="1"/>
  <c r="B221" i="1"/>
  <c r="D220" i="1"/>
  <c r="B220" i="1"/>
  <c r="B219" i="1"/>
  <c r="B218" i="1"/>
  <c r="B256" i="1"/>
  <c r="D256" i="1" s="1"/>
  <c r="B254" i="1"/>
  <c r="D254" i="1"/>
  <c r="D252" i="1"/>
  <c r="D250" i="1"/>
  <c r="D246" i="1"/>
  <c r="B252" i="1"/>
  <c r="B250" i="1"/>
  <c r="B248" i="1"/>
  <c r="D248" i="1"/>
  <c r="B246" i="1"/>
  <c r="B245" i="1"/>
  <c r="D68" i="1"/>
  <c r="B68" i="1"/>
  <c r="D67" i="1"/>
  <c r="B67" i="1"/>
  <c r="D66" i="1"/>
  <c r="B66" i="1"/>
  <c r="D65" i="1"/>
  <c r="B65" i="1"/>
  <c r="D64" i="1"/>
  <c r="B64" i="1"/>
  <c r="B63" i="1"/>
  <c r="B62" i="1"/>
  <c r="B47" i="1"/>
  <c r="D47" i="1" s="1"/>
  <c r="B46" i="1"/>
  <c r="D45" i="1"/>
  <c r="B45" i="1"/>
  <c r="B44" i="1"/>
  <c r="B43" i="1"/>
  <c r="D42" i="1"/>
  <c r="B42" i="1"/>
  <c r="B41" i="1"/>
  <c r="D40" i="1"/>
  <c r="B40" i="1"/>
  <c r="B39" i="1"/>
  <c r="B38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Q4" i="2"/>
  <c r="FR4" i="2"/>
  <c r="FQ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FR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V7" i="2"/>
  <c r="EW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FS18" i="2"/>
  <c r="EV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V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CM35" i="2"/>
  <c r="EA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W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FQ112" i="2"/>
  <c r="EX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FS113" i="2"/>
  <c r="EX113" i="2"/>
  <c r="EW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X140" i="2"/>
  <c r="FS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D154" i="2" l="1"/>
  <c r="EY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Y155" i="2" l="1"/>
  <c r="ED155" i="2"/>
  <c r="FS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X161" i="2" l="1"/>
  <c r="FS161" i="2"/>
  <c r="ED160" i="2"/>
  <c r="EB161" i="2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B162" i="2" l="1"/>
  <c r="EY161" i="2"/>
  <c r="EW162" i="2"/>
  <c r="ED161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EY162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FS164" i="2"/>
  <c r="FR164" i="2"/>
  <c r="ED163" i="2"/>
  <c r="EX164" i="2"/>
  <c r="EV164" i="2"/>
  <c r="EA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X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Y166" i="2"/>
  <c r="EX167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EV168" i="2"/>
  <c r="EW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A169" i="2"/>
  <c r="FS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A172" i="2"/>
  <c r="EY171" i="2"/>
  <c r="ED171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A175" i="2" l="1"/>
  <c r="ED174" i="2"/>
  <c r="FS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FS178" i="2"/>
  <c r="EW178" i="2"/>
  <c r="EA178" i="2"/>
  <c r="ED177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 l="1"/>
  <c r="EV179" i="2"/>
  <c r="EA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V185" i="2"/>
  <c r="EW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EB186" i="2"/>
  <c r="ED185" i="2"/>
  <c r="EA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W190" i="2"/>
  <c r="EY189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A192" i="2" l="1"/>
  <c r="EW192" i="2"/>
  <c r="EV192" i="2"/>
  <c r="EB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A193" i="2" l="1"/>
  <c r="EY192" i="2"/>
  <c r="ED192" i="2"/>
  <c r="FQ193" i="2"/>
  <c r="EX193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FQ194" i="2"/>
  <c r="ED193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A195" i="2" l="1"/>
  <c r="DH195" i="2"/>
  <c r="FQ195" i="2"/>
  <c r="ED194" i="2"/>
  <c r="EX195" i="2"/>
  <c r="EY194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D197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EY198" i="2"/>
  <c r="FS199" i="2"/>
  <c r="EV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EB201" i="2"/>
  <c r="ED200" i="2"/>
  <c r="DI200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EX202" i="2"/>
  <c r="FS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AH92" i="2" a="1"/>
  <c r="AH92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R203" i="2" l="1"/>
  <c r="FS203" i="2"/>
  <c r="FD48" i="2" a="1"/>
  <c r="FD48" i="2" s="1"/>
  <c r="FD19" i="2" a="1"/>
  <c r="FD19" i="2" s="1"/>
  <c r="FD137" i="2" a="1"/>
  <c r="FD137" i="2" s="1"/>
  <c r="FD59" i="2" a="1"/>
  <c r="FD59" i="2" s="1"/>
  <c r="FD159" i="2" a="1"/>
  <c r="FD159" i="2" s="1"/>
  <c r="FD14" i="2" a="1"/>
  <c r="FD14" i="2" s="1"/>
  <c r="FD82" i="2" a="1"/>
  <c r="FD82" i="2" s="1"/>
  <c r="FD160" i="2" a="1"/>
  <c r="FD160" i="2" s="1"/>
  <c r="FD189" i="2" a="1"/>
  <c r="FD189" i="2" s="1"/>
  <c r="FD107" i="2" a="1"/>
  <c r="FD107" i="2" s="1"/>
  <c r="FD44" i="2" a="1"/>
  <c r="FD44" i="2" s="1"/>
  <c r="FD144" i="2" a="1"/>
  <c r="FD144" i="2" s="1"/>
  <c r="FD167" i="2" a="1"/>
  <c r="FD167" i="2" s="1"/>
  <c r="FD188" i="2" a="1"/>
  <c r="FD188" i="2" s="1"/>
  <c r="FD21" i="2" a="1"/>
  <c r="FD21" i="2" s="1"/>
  <c r="FD187" i="2" a="1"/>
  <c r="FD187" i="2" s="1"/>
  <c r="FD131" i="2" a="1"/>
  <c r="FD131" i="2" s="1"/>
  <c r="FD60" i="2" a="1"/>
  <c r="FD60" i="2" s="1"/>
  <c r="FD194" i="2" a="1"/>
  <c r="FD194" i="2" s="1"/>
  <c r="FD43" i="2" a="1"/>
  <c r="FD43" i="2" s="1"/>
  <c r="FD64" i="2" a="1"/>
  <c r="FD64" i="2" s="1"/>
  <c r="FY196" i="2" a="1"/>
  <c r="FY196" i="2" s="1"/>
  <c r="FY115" i="2" a="1"/>
  <c r="FY115" i="2" s="1"/>
  <c r="FY69" i="2" a="1"/>
  <c r="FY69" i="2" s="1"/>
  <c r="FY167" i="2" a="1"/>
  <c r="FY167" i="2" s="1"/>
  <c r="FY124" i="2" a="1"/>
  <c r="FY124" i="2" s="1"/>
  <c r="FY99" i="2" a="1"/>
  <c r="FY99" i="2" s="1"/>
  <c r="FY126" i="2" a="1"/>
  <c r="FY126" i="2" s="1"/>
  <c r="FY111" i="2" a="1"/>
  <c r="FY111" i="2" s="1"/>
  <c r="FY159" i="2" a="1"/>
  <c r="FY159" i="2" s="1"/>
  <c r="FY164" i="2" a="1"/>
  <c r="FY164" i="2" s="1"/>
  <c r="FY82" i="2" a="1"/>
  <c r="FY82" i="2" s="1"/>
  <c r="FY149" i="2" a="1"/>
  <c r="FY149" i="2" s="1"/>
  <c r="FY178" i="2" a="1"/>
  <c r="FY178" i="2" s="1"/>
  <c r="FY116" i="2" a="1"/>
  <c r="FY116" i="2" s="1"/>
  <c r="FY191" i="2" a="1"/>
  <c r="FY191" i="2" s="1"/>
  <c r="FY121" i="2" a="1"/>
  <c r="FY121" i="2" s="1"/>
  <c r="FY182" i="2" a="1"/>
  <c r="FY182" i="2" s="1"/>
  <c r="FY24" i="2" a="1"/>
  <c r="FY24" i="2" s="1"/>
  <c r="FY55" i="2" a="1"/>
  <c r="FY55" i="2" s="1"/>
  <c r="FY92" i="2" a="1"/>
  <c r="FY92" i="2" s="1"/>
  <c r="FY110" i="2" a="1"/>
  <c r="FY110" i="2" s="1"/>
  <c r="FY142" i="2" a="1"/>
  <c r="FY142" i="2" s="1"/>
  <c r="FY86" i="2" a="1"/>
  <c r="FY86" i="2" s="1"/>
  <c r="FY169" i="2" a="1"/>
  <c r="FY169" i="2" s="1"/>
  <c r="FY188" i="2" a="1"/>
  <c r="FY188" i="2" s="1"/>
  <c r="FY73" i="2" a="1"/>
  <c r="FY73" i="2" s="1"/>
  <c r="FY71" i="2" a="1"/>
  <c r="FY71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32" i="2" a="1"/>
  <c r="FY32" i="2" s="1"/>
  <c r="FY30" i="2" a="1"/>
  <c r="FY30" i="2" s="1"/>
  <c r="FY104" i="2" a="1"/>
  <c r="FY104" i="2" s="1"/>
  <c r="FY190" i="2" a="1"/>
  <c r="FY190" i="2" s="1"/>
  <c r="FY78" i="2" a="1"/>
  <c r="FY78" i="2" s="1"/>
  <c r="FY186" i="2" a="1"/>
  <c r="FY186" i="2" s="1"/>
  <c r="FY47" i="2" a="1"/>
  <c r="FY47" i="2" s="1"/>
  <c r="FY80" i="2" a="1"/>
  <c r="FY80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29" i="2" a="1"/>
  <c r="FY29" i="2" s="1"/>
  <c r="FY143" i="2" a="1"/>
  <c r="FY143" i="2" s="1"/>
  <c r="FY66" i="2" a="1"/>
  <c r="FY66" i="2" s="1"/>
  <c r="FY22" i="2" a="1"/>
  <c r="FY22" i="2" s="1"/>
  <c r="FY153" i="2" a="1"/>
  <c r="FY153" i="2" s="1"/>
  <c r="FY102" i="2" a="1"/>
  <c r="FY102" i="2" s="1"/>
  <c r="FY18" i="2" a="1"/>
  <c r="FY18" i="2" s="1"/>
  <c r="FY57" i="2" a="1"/>
  <c r="FY57" i="2" s="1"/>
  <c r="FY120" i="2" a="1"/>
  <c r="FY120" i="2" s="1"/>
  <c r="FY140" i="2" a="1"/>
  <c r="FY140" i="2" s="1"/>
  <c r="FY35" i="2" a="1"/>
  <c r="FY35" i="2" s="1"/>
  <c r="FY133" i="2" a="1"/>
  <c r="FY133" i="2" s="1"/>
  <c r="FY146" i="2" a="1"/>
  <c r="FY146" i="2" s="1"/>
  <c r="FY50" i="2" a="1"/>
  <c r="FY50" i="2" s="1"/>
  <c r="FY109" i="2" a="1"/>
  <c r="FY109" i="2" s="1"/>
  <c r="FY165" i="2" a="1"/>
  <c r="FY165" i="2" s="1"/>
  <c r="FY90" i="2" a="1"/>
  <c r="FY90" i="2" s="1"/>
  <c r="FY54" i="2" a="1"/>
  <c r="FY54" i="2" s="1"/>
  <c r="FY79" i="2" a="1"/>
  <c r="FY7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E79" i="2" l="1"/>
  <c r="GE195" i="2"/>
  <c r="GE91" i="2"/>
  <c r="GE73" i="2"/>
  <c r="GE10" i="2"/>
  <c r="GE203" i="2"/>
  <c r="GE118" i="2"/>
  <c r="GE84" i="2"/>
  <c r="GE80" i="2"/>
  <c r="GE133" i="2"/>
  <c r="GE117" i="2"/>
  <c r="GE162" i="2"/>
  <c r="GE34" i="2"/>
  <c r="GE194" i="2"/>
  <c r="GE37" i="2"/>
  <c r="GE65" i="2"/>
  <c r="GE147" i="2"/>
  <c r="GE202" i="2"/>
  <c r="GE100" i="2"/>
  <c r="GE88" i="2"/>
  <c r="GE68" i="2"/>
  <c r="GE19" i="2"/>
  <c r="GE184" i="2"/>
  <c r="GE196" i="2"/>
  <c r="GE25" i="2"/>
  <c r="GE105" i="2"/>
  <c r="GE143" i="2"/>
  <c r="GE176" i="2"/>
  <c r="GE185" i="2"/>
  <c r="GE98" i="2"/>
  <c r="GE174" i="2"/>
  <c r="GE126" i="2"/>
  <c r="GE169" i="2"/>
  <c r="GE127" i="2"/>
  <c r="GE20" i="2"/>
  <c r="GE6" i="2"/>
  <c r="GE199" i="2"/>
  <c r="GE51" i="2"/>
  <c r="GE61" i="2"/>
  <c r="GE157" i="2"/>
  <c r="GE112" i="2"/>
  <c r="GE141" i="2"/>
  <c r="GE102" i="2"/>
  <c r="GE109" i="2"/>
  <c r="GE188" i="2"/>
  <c r="GE53" i="2"/>
  <c r="GE168" i="2"/>
  <c r="GE30" i="2"/>
  <c r="GE132" i="2"/>
  <c r="GE86" i="2"/>
  <c r="GE24" i="2"/>
  <c r="GE81" i="2"/>
  <c r="GE41" i="2"/>
  <c r="GE200" i="2"/>
  <c r="GE114" i="2"/>
  <c r="GE175" i="2"/>
  <c r="GE16" i="2"/>
  <c r="GE172" i="2"/>
  <c r="GE35" i="2"/>
  <c r="GE89" i="2"/>
  <c r="GE74" i="2"/>
  <c r="GE26" i="2"/>
  <c r="GE201" i="2"/>
  <c r="GE153" i="2"/>
  <c r="GE85" i="2"/>
  <c r="GE156" i="2"/>
  <c r="GE15" i="2"/>
  <c r="GE60" i="2"/>
  <c r="GE178" i="2"/>
  <c r="GE151" i="2"/>
  <c r="GE96" i="2"/>
  <c r="GE134" i="2"/>
  <c r="GE129" i="2"/>
  <c r="GE3" i="2"/>
  <c r="C14" i="4" s="1"/>
  <c r="E14" i="4" s="1"/>
  <c r="F14" i="4" s="1"/>
  <c r="G14" i="4" s="1"/>
  <c r="L14" i="4" s="1"/>
  <c r="GE163" i="2"/>
  <c r="GE139" i="2"/>
  <c r="GE50" i="2"/>
  <c r="GE137" i="2"/>
  <c r="GE38" i="2"/>
  <c r="GE181" i="2"/>
  <c r="GE90" i="2"/>
  <c r="GE12" i="2"/>
  <c r="GE66" i="2"/>
  <c r="GE107" i="2"/>
  <c r="GE145" i="2"/>
  <c r="GE93" i="2"/>
  <c r="GE140" i="2"/>
  <c r="GE103" i="2"/>
  <c r="GE119" i="2"/>
  <c r="GE75" i="2"/>
  <c r="GE135" i="2"/>
  <c r="GE158" i="2"/>
  <c r="GE150" i="2"/>
  <c r="GE110" i="2"/>
  <c r="GE95" i="2"/>
  <c r="GE183" i="2"/>
  <c r="GE44" i="2"/>
  <c r="GE46" i="2"/>
  <c r="GE149" i="2"/>
  <c r="GE108" i="2"/>
  <c r="GE104" i="2"/>
  <c r="GE11" i="2"/>
  <c r="GE130" i="2"/>
  <c r="GE159" i="2"/>
  <c r="GE62" i="2"/>
  <c r="GE39" i="2"/>
  <c r="GE160" i="2"/>
  <c r="GE47" i="2"/>
  <c r="GE76" i="2"/>
  <c r="GE115" i="2"/>
  <c r="GE64" i="2"/>
  <c r="GE40" i="2"/>
  <c r="GE8" i="2"/>
  <c r="GE191" i="2"/>
  <c r="GE7" i="2"/>
  <c r="GE171" i="2"/>
  <c r="GE177" i="2"/>
  <c r="GE43" i="2"/>
  <c r="GE77" i="2"/>
  <c r="GE113" i="2"/>
  <c r="GE121" i="2"/>
  <c r="GE49" i="2"/>
  <c r="GE192" i="2"/>
  <c r="GE92" i="2"/>
  <c r="GE28" i="2"/>
  <c r="GE54" i="2"/>
  <c r="GE106" i="2"/>
  <c r="GE189" i="2"/>
  <c r="GE97" i="2"/>
  <c r="GE59" i="2"/>
  <c r="GE166" i="2"/>
  <c r="GE190" i="2"/>
  <c r="GE67" i="2"/>
  <c r="GE13" i="2"/>
  <c r="GE164" i="2"/>
  <c r="GE42" i="2"/>
  <c r="GE32" i="2"/>
  <c r="GE155" i="2"/>
  <c r="GE116" i="2"/>
  <c r="GE101" i="2"/>
  <c r="GE187" i="2"/>
  <c r="GE22" i="2"/>
  <c r="GE120" i="2"/>
  <c r="GE23" i="2"/>
  <c r="GE138" i="2"/>
  <c r="GE27" i="2"/>
  <c r="GE87" i="2"/>
  <c r="GE197" i="2"/>
  <c r="GE161" i="2"/>
  <c r="GE124" i="2"/>
  <c r="GE123" i="2"/>
  <c r="GE131" i="2"/>
  <c r="GE48" i="2"/>
  <c r="GE4" i="2"/>
  <c r="GE63" i="2"/>
  <c r="GE55" i="2"/>
  <c r="GE128" i="2"/>
  <c r="GE148" i="2"/>
  <c r="GE33" i="2"/>
  <c r="GE142" i="2"/>
  <c r="GE83" i="2"/>
  <c r="GE186" i="2"/>
  <c r="GE144" i="2"/>
  <c r="GE78" i="2"/>
  <c r="GE173" i="2"/>
  <c r="GE198" i="2"/>
  <c r="GE179" i="2"/>
  <c r="GE111" i="2"/>
  <c r="GE193" i="2"/>
  <c r="GE69" i="2"/>
  <c r="GE122" i="2"/>
  <c r="GE56" i="2"/>
  <c r="GE57" i="2"/>
  <c r="GE70" i="2"/>
  <c r="GE125" i="2"/>
  <c r="GE5" i="2"/>
  <c r="GE31" i="2"/>
  <c r="GE18" i="2"/>
  <c r="GE182" i="2"/>
  <c r="GE82" i="2"/>
  <c r="GE17" i="2"/>
  <c r="GE170" i="2"/>
  <c r="GE52" i="2"/>
  <c r="GE36" i="2"/>
  <c r="GE99" i="2"/>
  <c r="GE94" i="2"/>
  <c r="GE9" i="2"/>
  <c r="GE21" i="2"/>
  <c r="GE165" i="2"/>
  <c r="GE14" i="2"/>
  <c r="GE167" i="2"/>
  <c r="GE152" i="2"/>
  <c r="GE29" i="2"/>
  <c r="GE72" i="2"/>
  <c r="GE58" i="2"/>
  <c r="GE71" i="2"/>
  <c r="GE136" i="2"/>
  <c r="GE180" i="2"/>
  <c r="GE154" i="2"/>
  <c r="GE45" i="2"/>
  <c r="GE146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60" i="2" l="1"/>
  <c r="CD48" i="2"/>
  <c r="CD103" i="2"/>
  <c r="CD117" i="2"/>
  <c r="CD146" i="2"/>
  <c r="CD12" i="2"/>
  <c r="CD51" i="2"/>
  <c r="CD106" i="2"/>
  <c r="CD143" i="2"/>
  <c r="CD134" i="2"/>
  <c r="CD148" i="2"/>
  <c r="CD54" i="2"/>
  <c r="CD52" i="2"/>
  <c r="CD111" i="2"/>
  <c r="CD10" i="2"/>
  <c r="CD38" i="2"/>
  <c r="CD85" i="2"/>
  <c r="CD7" i="2"/>
  <c r="CD57" i="2"/>
  <c r="CD83" i="2"/>
  <c r="CD169" i="2"/>
  <c r="CD81" i="2"/>
  <c r="CD182" i="2"/>
  <c r="CD149" i="2"/>
  <c r="CD153" i="2"/>
  <c r="CD77" i="2"/>
  <c r="CD88" i="2"/>
  <c r="CD201" i="2"/>
  <c r="CD107" i="2"/>
  <c r="CD181" i="2"/>
  <c r="CD44" i="2"/>
  <c r="CD23" i="2"/>
  <c r="CD39" i="2"/>
  <c r="CD138" i="2"/>
  <c r="CD63" i="2"/>
  <c r="CD36" i="2"/>
  <c r="CD4" i="2"/>
  <c r="CD19" i="2"/>
  <c r="CD58" i="2"/>
  <c r="CD3" i="2"/>
  <c r="C9" i="4" s="1"/>
  <c r="E9" i="4" s="1"/>
  <c r="F9" i="4" s="1"/>
  <c r="G9" i="4" s="1"/>
  <c r="L9" i="4" s="1"/>
  <c r="CD73" i="2"/>
  <c r="CD91" i="2"/>
  <c r="CD195" i="2"/>
  <c r="CD200" i="2"/>
  <c r="CD108" i="2"/>
  <c r="CD24" i="2"/>
  <c r="CD165" i="2"/>
  <c r="CD37" i="2"/>
  <c r="CD97" i="2"/>
  <c r="CD21" i="2"/>
  <c r="CD155" i="2"/>
  <c r="CD193" i="2"/>
  <c r="CD189" i="2"/>
  <c r="CD121" i="2"/>
  <c r="CD8" i="2"/>
  <c r="CD101" i="2"/>
  <c r="CD59" i="2"/>
  <c r="CD198" i="2"/>
  <c r="CD185" i="2"/>
  <c r="CD70" i="2"/>
  <c r="CD98" i="2"/>
  <c r="CD49" i="2"/>
  <c r="CD61" i="2"/>
  <c r="CD136" i="2"/>
  <c r="CD184" i="2"/>
  <c r="CD109" i="2"/>
  <c r="CD150" i="2"/>
  <c r="CD135" i="2"/>
  <c r="CD96" i="2"/>
  <c r="CD113" i="2"/>
  <c r="CD116" i="2"/>
  <c r="CD87" i="2"/>
  <c r="CD74" i="2"/>
  <c r="CD144" i="2"/>
  <c r="CD86" i="2"/>
  <c r="CD30" i="2"/>
  <c r="CD20" i="2"/>
  <c r="CD171" i="2"/>
  <c r="CD32" i="2"/>
  <c r="CD67" i="2"/>
  <c r="CD163" i="2"/>
  <c r="CD55" i="2"/>
  <c r="CD82" i="2"/>
  <c r="CD29" i="2"/>
  <c r="CD14" i="2"/>
  <c r="CD202" i="2"/>
  <c r="CD41" i="2"/>
  <c r="CD176" i="2"/>
  <c r="CD102" i="2"/>
  <c r="CD129" i="2"/>
  <c r="CD191" i="2"/>
  <c r="CD174" i="2"/>
  <c r="CD125" i="2"/>
  <c r="CD141" i="2"/>
  <c r="CD35" i="2"/>
  <c r="CD126" i="2"/>
  <c r="CD160" i="2"/>
  <c r="CD89" i="2"/>
  <c r="CD119" i="2"/>
  <c r="CD105" i="2"/>
  <c r="CD65" i="2"/>
  <c r="CD42" i="2"/>
  <c r="CD110" i="2"/>
  <c r="CD114" i="2"/>
  <c r="CD95" i="2"/>
  <c r="CD6" i="2"/>
  <c r="CD66" i="2"/>
  <c r="CD128" i="2"/>
  <c r="CD53" i="2"/>
  <c r="CD178" i="2"/>
  <c r="CD123" i="2"/>
  <c r="CD72" i="2"/>
  <c r="CD18" i="2"/>
  <c r="CD183" i="2"/>
  <c r="CD203" i="2"/>
  <c r="CD50" i="2"/>
  <c r="CD139" i="2"/>
  <c r="CD28" i="2"/>
  <c r="CD175" i="2"/>
  <c r="CD17" i="2"/>
  <c r="CD145" i="2"/>
  <c r="CD192" i="2"/>
  <c r="CD84" i="2"/>
  <c r="CD159" i="2"/>
  <c r="CD179" i="2"/>
  <c r="CD90" i="2"/>
  <c r="CD45" i="2"/>
  <c r="CD197" i="2"/>
  <c r="CD120" i="2"/>
  <c r="CD11" i="2"/>
  <c r="CD75" i="2"/>
  <c r="CD26" i="2"/>
  <c r="CD137" i="2"/>
  <c r="CD16" i="2"/>
  <c r="CD124" i="2"/>
  <c r="CD104" i="2"/>
  <c r="CD118" i="2"/>
  <c r="CD78" i="2"/>
  <c r="CD152" i="2"/>
  <c r="CD154" i="2"/>
  <c r="CD132" i="2"/>
  <c r="CD177" i="2"/>
  <c r="CD5" i="2"/>
  <c r="CD186" i="2"/>
  <c r="CD187" i="2"/>
  <c r="CD180" i="2"/>
  <c r="CD157" i="2"/>
  <c r="CD33" i="2"/>
  <c r="CD161" i="2"/>
  <c r="CD56" i="2"/>
  <c r="CD151" i="2"/>
  <c r="CD43" i="2"/>
  <c r="CD79" i="2"/>
  <c r="CD22" i="2"/>
  <c r="CD131" i="2"/>
  <c r="CD99" i="2"/>
  <c r="CD93" i="2"/>
  <c r="CD31" i="2"/>
  <c r="CD130" i="2"/>
  <c r="CD100" i="2"/>
  <c r="CD80" i="2"/>
  <c r="CD140" i="2"/>
  <c r="CD122" i="2"/>
  <c r="CD156" i="2"/>
  <c r="CD127" i="2"/>
  <c r="CD167" i="2"/>
  <c r="CD112" i="2"/>
  <c r="CD34" i="2"/>
  <c r="CD9" i="2"/>
  <c r="CD199" i="2"/>
  <c r="CD27" i="2"/>
  <c r="CD76" i="2"/>
  <c r="CD172" i="2"/>
  <c r="CD168" i="2"/>
  <c r="CD133" i="2"/>
  <c r="CD142" i="2"/>
  <c r="CD25" i="2"/>
  <c r="CD194" i="2"/>
  <c r="CD170" i="2"/>
  <c r="CD62" i="2"/>
  <c r="CD190" i="2"/>
  <c r="CD46" i="2"/>
  <c r="CD94" i="2"/>
  <c r="CD13" i="2"/>
  <c r="CD147" i="2"/>
  <c r="CD173" i="2"/>
  <c r="CD162" i="2"/>
  <c r="CD92" i="2"/>
  <c r="CD115" i="2"/>
  <c r="CD15" i="2"/>
  <c r="CD40" i="2"/>
  <c r="CD68" i="2"/>
  <c r="CD188" i="2"/>
  <c r="CD158" i="2"/>
  <c r="CD69" i="2"/>
  <c r="CD166" i="2"/>
  <c r="CD71" i="2"/>
  <c r="CD164" i="2"/>
  <c r="CD64" i="2"/>
  <c r="CD47" i="2"/>
  <c r="CD196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Y194" i="2" l="1"/>
  <c r="CY108" i="2"/>
  <c r="CY16" i="2"/>
  <c r="CY50" i="2"/>
  <c r="CY103" i="2"/>
  <c r="CY134" i="2"/>
  <c r="CY201" i="2"/>
  <c r="CY95" i="2"/>
  <c r="CY168" i="2"/>
  <c r="CY12" i="2"/>
  <c r="CY38" i="2"/>
  <c r="CY47" i="2"/>
  <c r="CY62" i="2"/>
  <c r="CY71" i="2"/>
  <c r="CY181" i="2"/>
  <c r="CY83" i="2"/>
  <c r="CY124" i="2"/>
  <c r="CY146" i="2"/>
  <c r="CY130" i="2"/>
  <c r="CY182" i="2"/>
  <c r="CY24" i="2"/>
  <c r="CY125" i="2"/>
  <c r="CY105" i="2"/>
  <c r="CY199" i="2"/>
  <c r="CY129" i="2"/>
  <c r="CY171" i="2"/>
  <c r="CY76" i="2"/>
  <c r="CY120" i="2"/>
  <c r="CY165" i="2"/>
  <c r="CY176" i="2"/>
  <c r="CY197" i="2"/>
  <c r="CY67" i="2"/>
  <c r="CY101" i="2"/>
  <c r="CY57" i="2"/>
  <c r="CY123" i="2"/>
  <c r="CY140" i="2"/>
  <c r="CY106" i="2"/>
  <c r="CY159" i="2"/>
  <c r="CY56" i="2"/>
  <c r="CY44" i="2"/>
  <c r="CY97" i="2"/>
  <c r="CY15" i="2"/>
  <c r="CY19" i="2"/>
  <c r="CY94" i="2"/>
  <c r="CY102" i="2"/>
  <c r="CY107" i="2"/>
  <c r="CY167" i="2"/>
  <c r="CY85" i="2"/>
  <c r="CY163" i="2"/>
  <c r="CY73" i="2"/>
  <c r="CY72" i="2"/>
  <c r="CY39" i="2"/>
  <c r="CY153" i="2"/>
  <c r="CY91" i="2"/>
  <c r="CY139" i="2"/>
  <c r="CY174" i="2"/>
  <c r="CY70" i="2"/>
  <c r="CY58" i="2"/>
  <c r="CY185" i="2"/>
  <c r="CY110" i="2"/>
  <c r="CY40" i="2"/>
  <c r="CY137" i="2"/>
  <c r="CY92" i="2"/>
  <c r="CY169" i="2"/>
  <c r="CY193" i="2"/>
  <c r="CY184" i="2"/>
  <c r="CY99" i="2"/>
  <c r="CY132" i="2"/>
  <c r="CY8" i="2"/>
  <c r="CY187" i="2"/>
  <c r="CY133" i="2"/>
  <c r="CY86" i="2"/>
  <c r="CY172" i="2"/>
  <c r="CY189" i="2"/>
  <c r="CY17" i="2"/>
  <c r="CY157" i="2"/>
  <c r="CY90" i="2"/>
  <c r="CY63" i="2"/>
  <c r="CY66" i="2"/>
  <c r="CY116" i="2"/>
  <c r="CY37" i="2"/>
  <c r="CY188" i="2"/>
  <c r="CY135" i="2"/>
  <c r="CY143" i="2"/>
  <c r="CY48" i="2"/>
  <c r="CY195" i="2"/>
  <c r="CY54" i="2"/>
  <c r="CY60" i="2"/>
  <c r="CY156" i="2"/>
  <c r="CY22" i="2"/>
  <c r="CY196" i="2"/>
  <c r="CY192" i="2"/>
  <c r="CY32" i="2"/>
  <c r="CY175" i="2"/>
  <c r="CY152" i="2"/>
  <c r="CY81" i="2"/>
  <c r="CY98" i="2"/>
  <c r="CY141" i="2"/>
  <c r="CY104" i="2"/>
  <c r="CY5" i="2"/>
  <c r="CY190" i="2"/>
  <c r="CY78" i="2"/>
  <c r="CY23" i="2"/>
  <c r="CY117" i="2"/>
  <c r="CY26" i="2"/>
  <c r="CY180" i="2"/>
  <c r="CY126" i="2"/>
  <c r="CY148" i="2"/>
  <c r="CY109" i="2"/>
  <c r="CY127" i="2"/>
  <c r="CY166" i="2"/>
  <c r="CY69" i="2"/>
  <c r="CY128" i="2"/>
  <c r="CY25" i="2"/>
  <c r="CY96" i="2"/>
  <c r="CY10" i="2"/>
  <c r="CY93" i="2"/>
  <c r="CY147" i="2"/>
  <c r="CY114" i="2"/>
  <c r="CY4" i="2"/>
  <c r="CY49" i="2"/>
  <c r="CY89" i="2"/>
  <c r="CY177" i="2"/>
  <c r="CY77" i="2"/>
  <c r="CY55" i="2"/>
  <c r="CY7" i="2"/>
  <c r="CY191" i="2"/>
  <c r="CY173" i="2"/>
  <c r="CY136" i="2"/>
  <c r="CY145" i="2"/>
  <c r="CY27" i="2"/>
  <c r="CY21" i="2"/>
  <c r="CY203" i="2"/>
  <c r="CY87" i="2"/>
  <c r="CY53" i="2"/>
  <c r="CY45" i="2"/>
  <c r="CY6" i="2"/>
  <c r="CY42" i="2"/>
  <c r="CY164" i="2"/>
  <c r="CY28" i="2"/>
  <c r="CY46" i="2"/>
  <c r="CY88" i="2"/>
  <c r="CY160" i="2"/>
  <c r="CY79" i="2"/>
  <c r="CY118" i="2"/>
  <c r="CY65" i="2"/>
  <c r="CY131" i="2"/>
  <c r="CY186" i="2"/>
  <c r="CY9" i="2"/>
  <c r="CY33" i="2"/>
  <c r="CY112" i="2"/>
  <c r="CY80" i="2"/>
  <c r="CY36" i="2"/>
  <c r="CY34" i="2"/>
  <c r="CY11" i="2"/>
  <c r="CY149" i="2"/>
  <c r="CY115" i="2"/>
  <c r="CY61" i="2"/>
  <c r="CY41" i="2"/>
  <c r="CY122" i="2"/>
  <c r="CY30" i="2"/>
  <c r="CY3" i="2"/>
  <c r="C10" i="4" s="1"/>
  <c r="E10" i="4" s="1"/>
  <c r="F10" i="4" s="1"/>
  <c r="G10" i="4" s="1"/>
  <c r="L10" i="4" s="1"/>
  <c r="CY155" i="2"/>
  <c r="CY154" i="2"/>
  <c r="CY178" i="2"/>
  <c r="CY198" i="2"/>
  <c r="CY43" i="2"/>
  <c r="CY202" i="2"/>
  <c r="CY52" i="2"/>
  <c r="CY200" i="2"/>
  <c r="CY74" i="2"/>
  <c r="CY75" i="2"/>
  <c r="CY35" i="2"/>
  <c r="CY14" i="2"/>
  <c r="CY20" i="2"/>
  <c r="CY68" i="2"/>
  <c r="CY100" i="2"/>
  <c r="CY84" i="2"/>
  <c r="CY64" i="2"/>
  <c r="CY18" i="2"/>
  <c r="CY111" i="2"/>
  <c r="CY31" i="2"/>
  <c r="CY119" i="2"/>
  <c r="CY138" i="2"/>
  <c r="CY158" i="2"/>
  <c r="CY183" i="2"/>
  <c r="CY142" i="2"/>
  <c r="CY59" i="2"/>
  <c r="CY13" i="2"/>
  <c r="CY162" i="2"/>
  <c r="CY51" i="2"/>
  <c r="CY113" i="2"/>
  <c r="CY151" i="2"/>
  <c r="CY121" i="2"/>
  <c r="CY29" i="2"/>
  <c r="CY144" i="2"/>
  <c r="CY161" i="2"/>
  <c r="CY170" i="2"/>
  <c r="CY150" i="2"/>
  <c r="CY82" i="2"/>
  <c r="CY179" i="2"/>
  <c r="FJ91" i="2"/>
  <c r="FJ154" i="2"/>
  <c r="FJ90" i="2"/>
  <c r="FJ130" i="2"/>
  <c r="FJ185" i="2"/>
  <c r="FJ60" i="2"/>
  <c r="FJ22" i="2"/>
  <c r="FJ95" i="2"/>
  <c r="FJ73" i="2"/>
  <c r="FJ55" i="2"/>
  <c r="FJ200" i="2"/>
  <c r="FJ186" i="2"/>
  <c r="FJ157" i="2"/>
  <c r="FJ194" i="2"/>
  <c r="FJ199" i="2"/>
  <c r="FJ156" i="2"/>
  <c r="FJ81" i="2"/>
  <c r="FJ121" i="2"/>
  <c r="FJ197" i="2"/>
  <c r="FJ49" i="2"/>
  <c r="FJ6" i="2"/>
  <c r="FJ33" i="2"/>
  <c r="FJ75" i="2"/>
  <c r="FJ147" i="2"/>
  <c r="FJ187" i="2"/>
  <c r="FJ35" i="2"/>
  <c r="FJ15" i="2"/>
  <c r="FJ27" i="2"/>
  <c r="FJ181" i="2"/>
  <c r="FJ48" i="2"/>
  <c r="FJ83" i="2"/>
  <c r="FJ123" i="2"/>
  <c r="FJ131" i="2"/>
  <c r="FJ64" i="2"/>
  <c r="FJ150" i="2"/>
  <c r="FJ77" i="2"/>
  <c r="FJ43" i="2"/>
  <c r="FJ102" i="2"/>
  <c r="FJ3" i="2"/>
  <c r="C13" i="4" s="1"/>
  <c r="E13" i="4" s="1"/>
  <c r="F13" i="4" s="1"/>
  <c r="G13" i="4" s="1"/>
  <c r="L13" i="4" s="1"/>
  <c r="FJ111" i="2"/>
  <c r="FJ26" i="2"/>
  <c r="FJ10" i="2"/>
  <c r="FJ79" i="2"/>
  <c r="FJ4" i="2"/>
  <c r="FJ59" i="2"/>
  <c r="FJ32" i="2"/>
  <c r="FJ172" i="2"/>
  <c r="FJ108" i="2"/>
  <c r="FJ20" i="2"/>
  <c r="FJ45" i="2"/>
  <c r="FJ196" i="2"/>
  <c r="FJ84" i="2"/>
  <c r="FJ149" i="2"/>
  <c r="FJ164" i="2"/>
  <c r="FJ70" i="2"/>
  <c r="FJ148" i="2"/>
  <c r="FJ72" i="2"/>
  <c r="FJ167" i="2"/>
  <c r="FJ41" i="2"/>
  <c r="FJ113" i="2"/>
  <c r="FJ116" i="2"/>
  <c r="FJ201" i="2"/>
  <c r="FJ153" i="2"/>
  <c r="FJ175" i="2"/>
  <c r="FJ19" i="2"/>
  <c r="FJ89" i="2"/>
  <c r="FJ182" i="2"/>
  <c r="FJ21" i="2"/>
  <c r="FJ192" i="2"/>
  <c r="FJ183" i="2"/>
  <c r="FJ11" i="2"/>
  <c r="FJ18" i="2"/>
  <c r="FJ146" i="2"/>
  <c r="FJ119" i="2"/>
  <c r="FJ133" i="2"/>
  <c r="FJ155" i="2"/>
  <c r="FJ179" i="2"/>
  <c r="FJ198" i="2"/>
  <c r="FJ86" i="2"/>
  <c r="FJ109" i="2"/>
  <c r="FJ160" i="2"/>
  <c r="FJ161" i="2"/>
  <c r="FJ120" i="2"/>
  <c r="FJ37" i="2"/>
  <c r="FJ46" i="2"/>
  <c r="FJ24" i="2"/>
  <c r="FJ9" i="2"/>
  <c r="FJ85" i="2"/>
  <c r="FJ17" i="2"/>
  <c r="FJ188" i="2"/>
  <c r="FJ132" i="2"/>
  <c r="FJ180" i="2"/>
  <c r="FJ98" i="2"/>
  <c r="FJ69" i="2"/>
  <c r="FJ16" i="2"/>
  <c r="FJ63" i="2"/>
  <c r="FJ66" i="2"/>
  <c r="FJ159" i="2"/>
  <c r="FJ82" i="2"/>
  <c r="FJ124" i="2"/>
  <c r="FJ94" i="2"/>
  <c r="FJ177" i="2"/>
  <c r="FJ92" i="2"/>
  <c r="FJ138" i="2"/>
  <c r="FJ103" i="2"/>
  <c r="FJ52" i="2"/>
  <c r="FJ40" i="2"/>
  <c r="FJ112" i="2"/>
  <c r="FJ195" i="2"/>
  <c r="FJ29" i="2"/>
  <c r="FJ7" i="2"/>
  <c r="FJ71" i="2"/>
  <c r="FJ76" i="2"/>
  <c r="FJ126" i="2"/>
  <c r="FJ38" i="2"/>
  <c r="FJ39" i="2"/>
  <c r="FJ193" i="2"/>
  <c r="FJ125" i="2"/>
  <c r="FJ189" i="2"/>
  <c r="FJ184" i="2"/>
  <c r="FJ110" i="2"/>
  <c r="FJ93" i="2"/>
  <c r="FJ174" i="2"/>
  <c r="FJ30" i="2"/>
  <c r="FJ97" i="2"/>
  <c r="FJ36" i="2"/>
  <c r="FJ61" i="2"/>
  <c r="FJ28" i="2"/>
  <c r="FJ51" i="2"/>
  <c r="FJ122" i="2"/>
  <c r="FJ80" i="2"/>
  <c r="FJ78" i="2"/>
  <c r="FJ143" i="2"/>
  <c r="FJ135" i="2"/>
  <c r="FJ100" i="2"/>
  <c r="FJ191" i="2"/>
  <c r="FJ151" i="2"/>
  <c r="FJ31" i="2"/>
  <c r="FJ142" i="2"/>
  <c r="FJ152" i="2"/>
  <c r="FJ34" i="2"/>
  <c r="FJ8" i="2"/>
  <c r="FJ136" i="2"/>
  <c r="FJ74" i="2"/>
  <c r="FJ134" i="2"/>
  <c r="FJ25" i="2"/>
  <c r="FJ144" i="2"/>
  <c r="FJ56" i="2"/>
  <c r="FJ88" i="2"/>
  <c r="FJ65" i="2"/>
  <c r="FJ87" i="2"/>
  <c r="FJ145" i="2"/>
  <c r="FJ42" i="2"/>
  <c r="FJ54" i="2"/>
  <c r="FJ68" i="2"/>
  <c r="FJ178" i="2"/>
  <c r="FJ190" i="2"/>
  <c r="FJ117" i="2"/>
  <c r="FJ50" i="2"/>
  <c r="FJ118" i="2"/>
  <c r="FJ163" i="2"/>
  <c r="FJ127" i="2"/>
  <c r="FJ202" i="2"/>
  <c r="FJ115" i="2"/>
  <c r="FJ62" i="2"/>
  <c r="FJ166" i="2"/>
  <c r="FJ99" i="2"/>
  <c r="FJ105" i="2"/>
  <c r="FJ173" i="2"/>
  <c r="FJ170" i="2"/>
  <c r="FJ158" i="2"/>
  <c r="FJ13" i="2"/>
  <c r="FJ101" i="2"/>
  <c r="FJ104" i="2"/>
  <c r="FJ169" i="2"/>
  <c r="FJ107" i="2"/>
  <c r="FJ203" i="2"/>
  <c r="FJ57" i="2"/>
  <c r="FJ114" i="2"/>
  <c r="FJ168" i="2"/>
  <c r="FJ53" i="2"/>
  <c r="FJ106" i="2"/>
  <c r="FJ137" i="2"/>
  <c r="FJ162" i="2"/>
  <c r="FJ165" i="2"/>
  <c r="FJ139" i="2"/>
  <c r="FJ96" i="2"/>
  <c r="FJ12" i="2"/>
  <c r="FJ141" i="2"/>
  <c r="FJ47" i="2"/>
  <c r="FJ171" i="2"/>
  <c r="FJ67" i="2"/>
  <c r="FJ129" i="2"/>
  <c r="FJ14" i="2"/>
  <c r="FJ128" i="2"/>
  <c r="FJ23" i="2"/>
  <c r="FJ58" i="2"/>
  <c r="FJ140" i="2"/>
  <c r="FJ44" i="2"/>
  <c r="FJ5" i="2"/>
  <c r="FJ176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DT13" i="2" l="1"/>
  <c r="DT186" i="2"/>
  <c r="DT146" i="2"/>
  <c r="DT158" i="2"/>
  <c r="DT178" i="2"/>
  <c r="DT27" i="2"/>
  <c r="DT105" i="2"/>
  <c r="DT177" i="2"/>
  <c r="DT127" i="2"/>
  <c r="DT65" i="2"/>
  <c r="DT138" i="2"/>
  <c r="DT55" i="2"/>
  <c r="DT81" i="2"/>
  <c r="DT86" i="2"/>
  <c r="DT126" i="2"/>
  <c r="DT37" i="2"/>
  <c r="DT9" i="2"/>
  <c r="DT15" i="2"/>
  <c r="DT22" i="2"/>
  <c r="DT118" i="2"/>
  <c r="DT35" i="2"/>
  <c r="DT198" i="2"/>
  <c r="DT69" i="2"/>
  <c r="DT169" i="2"/>
  <c r="DT159" i="2"/>
  <c r="DT44" i="2"/>
  <c r="DT136" i="2"/>
  <c r="DT4" i="2"/>
  <c r="DT10" i="2"/>
  <c r="DT112" i="2"/>
  <c r="DT151" i="2"/>
  <c r="DT117" i="2"/>
  <c r="DT171" i="2"/>
  <c r="DT130" i="2"/>
  <c r="DT161" i="2"/>
  <c r="DT155" i="2"/>
  <c r="DT194" i="2"/>
  <c r="DT199" i="2"/>
  <c r="DT62" i="2"/>
  <c r="DT188" i="2"/>
  <c r="DT43" i="2"/>
  <c r="DT120" i="2"/>
  <c r="DT16" i="2"/>
  <c r="DT113" i="2"/>
  <c r="DT52" i="2"/>
  <c r="DT150" i="2"/>
  <c r="DT41" i="2"/>
  <c r="DT195" i="2"/>
  <c r="DT96" i="2"/>
  <c r="DT104" i="2"/>
  <c r="DT115" i="2"/>
  <c r="DT147" i="2"/>
  <c r="DT140" i="2"/>
  <c r="DT5" i="2"/>
  <c r="DT160" i="2"/>
  <c r="DT106" i="2"/>
  <c r="DT107" i="2"/>
  <c r="DT191" i="2"/>
  <c r="DT46" i="2"/>
  <c r="DT91" i="2"/>
  <c r="DT53" i="2"/>
  <c r="DT47" i="2"/>
  <c r="DT87" i="2"/>
  <c r="DT144" i="2"/>
  <c r="DT26" i="2"/>
  <c r="DT11" i="2"/>
  <c r="DT182" i="2"/>
  <c r="DT174" i="2"/>
  <c r="DT125" i="2"/>
  <c r="DT132" i="2"/>
  <c r="DT59" i="2"/>
  <c r="DT23" i="2"/>
  <c r="DT68" i="2"/>
  <c r="DT79" i="2"/>
  <c r="DT129" i="2"/>
  <c r="DT121" i="2"/>
  <c r="DT56" i="2"/>
  <c r="DT196" i="2"/>
  <c r="DT145" i="2"/>
  <c r="DT157" i="2"/>
  <c r="DT72" i="2"/>
  <c r="DT80" i="2"/>
  <c r="DT148" i="2"/>
  <c r="DT25" i="2"/>
  <c r="DT99" i="2"/>
  <c r="DT7" i="2"/>
  <c r="DT57" i="2"/>
  <c r="DT111" i="2"/>
  <c r="DT183" i="2"/>
  <c r="DT189" i="2"/>
  <c r="DT93" i="2"/>
  <c r="DT73" i="2"/>
  <c r="DT134" i="2"/>
  <c r="DT40" i="2"/>
  <c r="DT54" i="2"/>
  <c r="DT17" i="2"/>
  <c r="DT123" i="2"/>
  <c r="DT133" i="2"/>
  <c r="DT12" i="2"/>
  <c r="DT179" i="2"/>
  <c r="DT31" i="2"/>
  <c r="DT58" i="2"/>
  <c r="DT36" i="2"/>
  <c r="DT84" i="2"/>
  <c r="DT181" i="2"/>
  <c r="DT50" i="2"/>
  <c r="DT137" i="2"/>
  <c r="DT156" i="2"/>
  <c r="DT74" i="2"/>
  <c r="DT142" i="2"/>
  <c r="DT63" i="2"/>
  <c r="DT149" i="2"/>
  <c r="DT70" i="2"/>
  <c r="DT166" i="2"/>
  <c r="DT128" i="2"/>
  <c r="DT170" i="2"/>
  <c r="DT75" i="2"/>
  <c r="DT24" i="2"/>
  <c r="DT201" i="2"/>
  <c r="DT94" i="2"/>
  <c r="DT76" i="2"/>
  <c r="DT42" i="2"/>
  <c r="DT154" i="2"/>
  <c r="DT71" i="2"/>
  <c r="DT67" i="2"/>
  <c r="DT110" i="2"/>
  <c r="DT197" i="2"/>
  <c r="DT18" i="2"/>
  <c r="DT60" i="2"/>
  <c r="DT28" i="2"/>
  <c r="DT92" i="2"/>
  <c r="DT200" i="2"/>
  <c r="DT45" i="2"/>
  <c r="DT48" i="2"/>
  <c r="DT95" i="2"/>
  <c r="DT103" i="2"/>
  <c r="DT187" i="2"/>
  <c r="DT49" i="2"/>
  <c r="DT193" i="2"/>
  <c r="DT203" i="2"/>
  <c r="DT85" i="2"/>
  <c r="DT20" i="2"/>
  <c r="DT32" i="2"/>
  <c r="DT131" i="2"/>
  <c r="DT162" i="2"/>
  <c r="DT192" i="2"/>
  <c r="DT30" i="2"/>
  <c r="DT184" i="2"/>
  <c r="DT89" i="2"/>
  <c r="DT114" i="2"/>
  <c r="DT135" i="2"/>
  <c r="DT119" i="2"/>
  <c r="DT6" i="2"/>
  <c r="DT61" i="2"/>
  <c r="DT88" i="2"/>
  <c r="DT19" i="2"/>
  <c r="DT100" i="2"/>
  <c r="DT143" i="2"/>
  <c r="DT173" i="2"/>
  <c r="DT78" i="2"/>
  <c r="DT77" i="2"/>
  <c r="DT97" i="2"/>
  <c r="DT21" i="2"/>
  <c r="DT64" i="2"/>
  <c r="DT180" i="2"/>
  <c r="DT34" i="2"/>
  <c r="DT124" i="2"/>
  <c r="DT14" i="2"/>
  <c r="DT51" i="2"/>
  <c r="DT163" i="2"/>
  <c r="DT116" i="2"/>
  <c r="DT167" i="2"/>
  <c r="DT153" i="2"/>
  <c r="DT139" i="2"/>
  <c r="DT175" i="2"/>
  <c r="DT165" i="2"/>
  <c r="DT109" i="2"/>
  <c r="DT83" i="2"/>
  <c r="DT29" i="2"/>
  <c r="DT82" i="2"/>
  <c r="DT202" i="2"/>
  <c r="DT122" i="2"/>
  <c r="DT164" i="2"/>
  <c r="DT185" i="2"/>
  <c r="DT168" i="2"/>
  <c r="DT190" i="2"/>
  <c r="DT172" i="2"/>
  <c r="DT33" i="2"/>
  <c r="DT39" i="2"/>
  <c r="DT176" i="2"/>
  <c r="DT66" i="2"/>
  <c r="DT98" i="2"/>
  <c r="DT8" i="2"/>
  <c r="DT102" i="2"/>
  <c r="DT3" i="2"/>
  <c r="C11" i="4" s="1"/>
  <c r="E11" i="4" s="1"/>
  <c r="F11" i="4" s="1"/>
  <c r="G11" i="4" s="1"/>
  <c r="L11" i="4" s="1"/>
  <c r="DT90" i="2"/>
  <c r="DT101" i="2"/>
  <c r="DT152" i="2"/>
  <c r="DT141" i="2"/>
  <c r="DT38" i="2"/>
  <c r="DT108" i="2"/>
  <c r="FE149" i="2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I20" i="2" l="1"/>
  <c r="BI43" i="2"/>
  <c r="BI93" i="2"/>
  <c r="BI4" i="2"/>
  <c r="BI180" i="2"/>
  <c r="BI23" i="2"/>
  <c r="BI194" i="2"/>
  <c r="BI15" i="2"/>
  <c r="BI30" i="2"/>
  <c r="BI106" i="2"/>
  <c r="BI86" i="2"/>
  <c r="BI148" i="2"/>
  <c r="BI121" i="2"/>
  <c r="BI34" i="2"/>
  <c r="BI8" i="2"/>
  <c r="BI66" i="2"/>
  <c r="BI19" i="2"/>
  <c r="BI16" i="2"/>
  <c r="BI198" i="2"/>
  <c r="BI17" i="2"/>
  <c r="BI146" i="2"/>
  <c r="BI123" i="2"/>
  <c r="BI5" i="2"/>
  <c r="BI10" i="2"/>
  <c r="BI161" i="2"/>
  <c r="BI80" i="2"/>
  <c r="BI137" i="2"/>
  <c r="BI159" i="2"/>
  <c r="BI85" i="2"/>
  <c r="BI74" i="2"/>
  <c r="BI196" i="2"/>
  <c r="BI40" i="2"/>
  <c r="BI118" i="2"/>
  <c r="BI111" i="2"/>
  <c r="BI108" i="2"/>
  <c r="BI202" i="2"/>
  <c r="BI50" i="2"/>
  <c r="BI179" i="2"/>
  <c r="BI84" i="2"/>
  <c r="BI31" i="2"/>
  <c r="BI90" i="2"/>
  <c r="BI41" i="2"/>
  <c r="BI166" i="2"/>
  <c r="BI78" i="2"/>
  <c r="BI151" i="2"/>
  <c r="BI133" i="2"/>
  <c r="BI190" i="2"/>
  <c r="BI197" i="2"/>
  <c r="BI170" i="2"/>
  <c r="BI126" i="2"/>
  <c r="BI191" i="2"/>
  <c r="BI47" i="2"/>
  <c r="BI96" i="2"/>
  <c r="BI177" i="2"/>
  <c r="BI79" i="2"/>
  <c r="BI67" i="2"/>
  <c r="BI176" i="2"/>
  <c r="BI172" i="2"/>
  <c r="BI201" i="2"/>
  <c r="BI164" i="2"/>
  <c r="BI117" i="2"/>
  <c r="BI94" i="2"/>
  <c r="BI9" i="2"/>
  <c r="BI141" i="2"/>
  <c r="BI73" i="2"/>
  <c r="BI13" i="2"/>
  <c r="BI163" i="2"/>
  <c r="BI24" i="2"/>
  <c r="BI114" i="2"/>
  <c r="BI184" i="2"/>
  <c r="BI37" i="2"/>
  <c r="BI38" i="2"/>
  <c r="BI160" i="2"/>
  <c r="BI178" i="2"/>
  <c r="BI70" i="2"/>
  <c r="BI187" i="2"/>
  <c r="BI150" i="2"/>
  <c r="BI119" i="2"/>
  <c r="BI45" i="2"/>
  <c r="BI109" i="2"/>
  <c r="BI149" i="2"/>
  <c r="BI107" i="2"/>
  <c r="BI154" i="2"/>
  <c r="BI49" i="2"/>
  <c r="BI59" i="2"/>
  <c r="BI112" i="2"/>
  <c r="BI27" i="2"/>
  <c r="BI124" i="2"/>
  <c r="BI136" i="2"/>
  <c r="BI39" i="2"/>
  <c r="BI144" i="2"/>
  <c r="BI55" i="2"/>
  <c r="BI46" i="2"/>
  <c r="BI3" i="2"/>
  <c r="C8" i="4" s="1"/>
  <c r="E8" i="4" s="1"/>
  <c r="F8" i="4" s="1"/>
  <c r="G8" i="4" s="1"/>
  <c r="L8" i="4" s="1"/>
  <c r="BI165" i="2"/>
  <c r="BI105" i="2"/>
  <c r="BI169" i="2"/>
  <c r="BI99" i="2"/>
  <c r="BI21" i="2"/>
  <c r="BI83" i="2"/>
  <c r="BI139" i="2"/>
  <c r="BI152" i="2"/>
  <c r="BI22" i="2"/>
  <c r="BI35" i="2"/>
  <c r="BI134" i="2"/>
  <c r="BI58" i="2"/>
  <c r="BI48" i="2"/>
  <c r="BI130" i="2"/>
  <c r="BI195" i="2"/>
  <c r="BI162" i="2"/>
  <c r="BI65" i="2"/>
  <c r="BI156" i="2"/>
  <c r="BI113" i="2"/>
  <c r="BI140" i="2"/>
  <c r="BI127" i="2"/>
  <c r="BI168" i="2"/>
  <c r="BI142" i="2"/>
  <c r="BI125" i="2"/>
  <c r="BI25" i="2"/>
  <c r="BI145" i="2"/>
  <c r="BI60" i="2"/>
  <c r="BI76" i="2"/>
  <c r="BI32" i="2"/>
  <c r="BI18" i="2"/>
  <c r="BI128" i="2"/>
  <c r="BI157" i="2"/>
  <c r="BI63" i="2"/>
  <c r="BI199" i="2"/>
  <c r="BI42" i="2"/>
  <c r="BI81" i="2"/>
  <c r="BI181" i="2"/>
  <c r="BI102" i="2"/>
  <c r="BI57" i="2"/>
  <c r="BI143" i="2"/>
  <c r="BI132" i="2"/>
  <c r="BI158" i="2"/>
  <c r="BI110" i="2"/>
  <c r="BI104" i="2"/>
  <c r="BI69" i="2"/>
  <c r="BI6" i="2"/>
  <c r="BI183" i="2"/>
  <c r="BI75" i="2"/>
  <c r="BI135" i="2"/>
  <c r="BI97" i="2"/>
  <c r="BI29" i="2"/>
  <c r="BI174" i="2"/>
  <c r="BI11" i="2"/>
  <c r="BI28" i="2"/>
  <c r="BI193" i="2"/>
  <c r="BI92" i="2"/>
  <c r="BI100" i="2"/>
  <c r="BI53" i="2"/>
  <c r="BI171" i="2"/>
  <c r="BI64" i="2"/>
  <c r="BI98" i="2"/>
  <c r="BI62" i="2"/>
  <c r="BI155" i="2"/>
  <c r="BI115" i="2"/>
  <c r="BI147" i="2"/>
  <c r="BI72" i="2"/>
  <c r="BI88" i="2"/>
  <c r="BI61" i="2"/>
  <c r="BI192" i="2"/>
  <c r="BI138" i="2"/>
  <c r="BI103" i="2"/>
  <c r="BI87" i="2"/>
  <c r="BI89" i="2"/>
  <c r="BI56" i="2"/>
  <c r="BI120" i="2"/>
  <c r="BI173" i="2"/>
  <c r="BI167" i="2"/>
  <c r="BI122" i="2"/>
  <c r="BI14" i="2"/>
  <c r="BI153" i="2"/>
  <c r="BI36" i="2"/>
  <c r="BI116" i="2"/>
  <c r="BI51" i="2"/>
  <c r="BI77" i="2"/>
  <c r="BI12" i="2"/>
  <c r="BI54" i="2"/>
  <c r="BI200" i="2"/>
  <c r="BI82" i="2"/>
  <c r="BI91" i="2"/>
  <c r="BI175" i="2"/>
  <c r="BI68" i="2"/>
  <c r="BI186" i="2"/>
  <c r="BI203" i="2"/>
  <c r="BI101" i="2"/>
  <c r="BI189" i="2"/>
  <c r="BI182" i="2"/>
  <c r="BI185" i="2"/>
  <c r="BI7" i="2"/>
  <c r="BI33" i="2"/>
  <c r="BI44" i="2"/>
  <c r="BI95" i="2"/>
  <c r="BI26" i="2"/>
  <c r="BI129" i="2"/>
  <c r="BI52" i="2"/>
  <c r="BI131" i="2"/>
  <c r="BI188" i="2"/>
  <c r="BI71" i="2"/>
  <c r="BF134" i="2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<sst xmlns="http://schemas.openxmlformats.org/spreadsheetml/2006/main" count="1178" uniqueCount="324">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</sst>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1.8463208932076591</c:v>
                </c:pt>
                <c:pt idx="2">
                  <c:v>2.2449637221911352</c:v>
                </c:pt>
                <c:pt idx="3">
                  <c:v>2.7300095763503163</c:v>
                </c:pt>
                <c:pt idx="4">
                  <c:v>3.3202536101890168</c:v>
                </c:pt>
                <c:pt idx="5">
                  <c:v>4.0385933350027141</c:v>
                </c:pt>
                <c:pt idx="6">
                  <c:v>4.9129268485794588</c:v>
                </c:pt>
                <c:pt idx="7">
                  <c:v>5.977248308596157</c:v>
                </c:pt>
                <c:pt idx="8">
                  <c:v>7.272984078441648</c:v>
                </c:pt>
                <c:pt idx="9">
                  <c:v>8.8506225595668653</c:v>
                </c:pt>
                <c:pt idx="10">
                  <c:v>10.771702430152191</c:v>
                </c:pt>
                <c:pt idx="11">
                  <c:v>13.111238305856004</c:v>
                </c:pt>
                <c:pt idx="12">
                  <c:v>15.960680298983979</c:v>
                </c:pt>
                <c:pt idx="13">
                  <c:v>19.431525279476187</c:v>
                </c:pt>
                <c:pt idx="14">
                  <c:v>23.659723692470578</c:v>
                </c:pt>
                <c:pt idx="15">
                  <c:v>28.811057611332387</c:v>
                </c:pt>
                <c:pt idx="16">
                  <c:v>32.826307859701934</c:v>
                </c:pt>
                <c:pt idx="17">
                  <c:v>36.827994779392817</c:v>
                </c:pt>
                <c:pt idx="18">
                  <c:v>40.817806972070983</c:v>
                </c:pt>
                <c:pt idx="19">
                  <c:v>44.79707392200919</c:v>
                </c:pt>
                <c:pt idx="20">
                  <c:v>48.766868321352128</c:v>
                </c:pt>
                <c:pt idx="21">
                  <c:v>54.615291695056577</c:v>
                </c:pt>
                <c:pt idx="22">
                  <c:v>60.447243260213298</c:v>
                </c:pt>
                <c:pt idx="23">
                  <c:v>66.264541483471248</c:v>
                </c:pt>
                <c:pt idx="24">
                  <c:v>72.068658057827705</c:v>
                </c:pt>
                <c:pt idx="25">
                  <c:v>77.860807323561289</c:v>
                </c:pt>
                <c:pt idx="26">
                  <c:v>85.131877110508995</c:v>
                </c:pt>
                <c:pt idx="27">
                  <c:v>92.387300937099027</c:v>
                </c:pt>
                <c:pt idx="28">
                  <c:v>99.628483492558303</c:v>
                </c:pt>
                <c:pt idx="29">
                  <c:v>106.85660799258731</c:v>
                </c:pt>
                <c:pt idx="30">
                  <c:v>114.07268406888512</c:v>
                </c:pt>
                <c:pt idx="31">
                  <c:v>122.43833050463235</c:v>
                </c:pt>
                <c:pt idx="32">
                  <c:v>130.79007722376096</c:v>
                </c:pt>
                <c:pt idx="33">
                  <c:v>139.12893836242094</c:v>
                </c:pt>
                <c:pt idx="34">
                  <c:v>147.45579631384916</c:v>
                </c:pt>
                <c:pt idx="35">
                  <c:v>155.77142548420065</c:v>
                </c:pt>
                <c:pt idx="36">
                  <c:v>164.07651069716627</c:v>
                </c:pt>
                <c:pt idx="37">
                  <c:v>127.20829411634475</c:v>
                </c:pt>
                <c:pt idx="38">
                  <c:v>134.81542378123416</c:v>
                </c:pt>
                <c:pt idx="39">
                  <c:v>142.41221295593488</c:v>
                </c:pt>
                <c:pt idx="40">
                  <c:v>149.99929195346505</c:v>
                </c:pt>
                <c:pt idx="41">
                  <c:v>157.57722199222684</c:v>
                </c:pt>
                <c:pt idx="42">
                  <c:v>165.1465058037152</c:v>
                </c:pt>
                <c:pt idx="43">
                  <c:v>172.70759618940016</c:v>
                </c:pt>
                <c:pt idx="44">
                  <c:v>180.2609029976378</c:v>
                </c:pt>
                <c:pt idx="45">
                  <c:v>188.46553650568126</c:v>
                </c:pt>
                <c:pt idx="46">
                  <c:v>196.66184315116777</c:v>
                </c:pt>
                <c:pt idx="47">
                  <c:v>204.85021936559886</c:v>
                </c:pt>
                <c:pt idx="48">
                  <c:v>213.03102725548104</c:v>
                </c:pt>
                <c:pt idx="49">
                  <c:v>221.20459880765301</c:v>
                </c:pt>
                <c:pt idx="50">
                  <c:v>229.37123943966768</c:v>
                </c:pt>
                <c:pt idx="51">
                  <c:v>237.53123101741502</c:v>
                </c:pt>
                <c:pt idx="52">
                  <c:v>245.68483443587479</c:v>
                </c:pt>
                <c:pt idx="53">
                  <c:v>154.42569363475363</c:v>
                </c:pt>
                <c:pt idx="54">
                  <c:v>160.72655611423238</c:v>
                </c:pt>
                <c:pt idx="55">
                  <c:v>167.02156916837251</c:v>
                </c:pt>
                <c:pt idx="56">
                  <c:v>173.31098477855497</c:v>
                </c:pt>
                <c:pt idx="57">
                  <c:v>179.59503510846969</c:v>
                </c:pt>
                <c:pt idx="58">
                  <c:v>185.87393471738528</c:v>
                </c:pt>
                <c:pt idx="59">
                  <c:v>192.14788245815853</c:v>
                </c:pt>
                <c:pt idx="60">
                  <c:v>198.72560532396037</c:v>
                </c:pt>
                <c:pt idx="61">
                  <c:v>205.29827852462654</c:v>
                </c:pt>
                <c:pt idx="62">
                  <c:v>211.86608679668555</c:v>
                </c:pt>
                <c:pt idx="63">
                  <c:v>218.42920246911339</c:v>
                </c:pt>
                <c:pt idx="64">
                  <c:v>224.98778665285246</c:v>
                </c:pt>
                <c:pt idx="65">
                  <c:v>231.54199028417233</c:v>
                </c:pt>
                <c:pt idx="66">
                  <c:v>238.09195504354997</c:v>
                </c:pt>
                <c:pt idx="67">
                  <c:v>244.86309808529651</c:v>
                </c:pt>
                <c:pt idx="68">
                  <c:v>251.62998668146909</c:v>
                </c:pt>
                <c:pt idx="69">
                  <c:v>258.39275154179029</c:v>
                </c:pt>
                <c:pt idx="70">
                  <c:v>265.15151596613208</c:v>
                </c:pt>
                <c:pt idx="71">
                  <c:v>271.90639644698263</c:v>
                </c:pt>
                <c:pt idx="72">
                  <c:v>278.65750320884928</c:v>
                </c:pt>
                <c:pt idx="73">
                  <c:v>285.40494069259944</c:v>
                </c:pt>
                <c:pt idx="74">
                  <c:v>292.14880799155861</c:v>
                </c:pt>
                <c:pt idx="75">
                  <c:v>151.59661212013742</c:v>
                </c:pt>
                <c:pt idx="76">
                  <c:v>156.10979525291137</c:v>
                </c:pt>
                <c:pt idx="77">
                  <c:v>160.6198793705461</c:v>
                </c:pt>
                <c:pt idx="78">
                  <c:v>165.12696398647461</c:v>
                </c:pt>
                <c:pt idx="79">
                  <c:v>169.63114272494099</c:v>
                </c:pt>
                <c:pt idx="80">
                  <c:v>174.13250382029614</c:v>
                </c:pt>
                <c:pt idx="81">
                  <c:v>178.63113056185384</c:v>
                </c:pt>
                <c:pt idx="82">
                  <c:v>183.12710169149531</c:v>
                </c:pt>
                <c:pt idx="83">
                  <c:v>187.79323042854557</c:v>
                </c:pt>
                <c:pt idx="84">
                  <c:v>192.45665483077241</c:v>
                </c:pt>
                <c:pt idx="85">
                  <c:v>197.11744981958063</c:v>
                </c:pt>
                <c:pt idx="86">
                  <c:v>201.77568647644307</c:v>
                </c:pt>
                <c:pt idx="87">
                  <c:v>206.43143232587249</c:v>
                </c:pt>
                <c:pt idx="88">
                  <c:v>211.08475159148273</c:v>
                </c:pt>
                <c:pt idx="89">
                  <c:v>215.73570542824973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2959360"/>
        <c:axId val="-1702960448"/>
      </c:scatterChart>
      <c:valAx>
        <c:axId val="-17029593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2960448"/>
        <c:crosses val="autoZero"/>
        <c:crossBetween val="midCat"/>
      </c:valAx>
      <c:valAx>
        <c:axId val="-170296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2959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28496880"/>
        <c:axId val="-1828503408"/>
      </c:scatterChart>
      <c:valAx>
        <c:axId val="-18284968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8503408"/>
        <c:crosses val="autoZero"/>
        <c:crossBetween val="midCat"/>
      </c:valAx>
      <c:valAx>
        <c:axId val="-182850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8496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3.7940715050318166</c:v>
                </c:pt>
                <c:pt idx="2">
                  <c:v>4.9377274035395011</c:v>
                </c:pt>
                <c:pt idx="3">
                  <c:v>6.4274775055040303</c:v>
                </c:pt>
                <c:pt idx="4">
                  <c:v>8.3684435076636809</c:v>
                </c:pt>
                <c:pt idx="5">
                  <c:v>10.897785858680232</c:v>
                </c:pt>
                <c:pt idx="6">
                  <c:v>14.194499309147433</c:v>
                </c:pt>
                <c:pt idx="7">
                  <c:v>18.492212032390984</c:v>
                </c:pt>
                <c:pt idx="8">
                  <c:v>24.095911719327074</c:v>
                </c:pt>
                <c:pt idx="9">
                  <c:v>31.403806616304621</c:v>
                </c:pt>
                <c:pt idx="10">
                  <c:v>40.935901924486565</c:v>
                </c:pt>
                <c:pt idx="11">
                  <c:v>45.995824937849385</c:v>
                </c:pt>
                <c:pt idx="12">
                  <c:v>51.040864550780604</c:v>
                </c:pt>
                <c:pt idx="13">
                  <c:v>56.072704833394162</c:v>
                </c:pt>
                <c:pt idx="14">
                  <c:v>61.092701422671723</c:v>
                </c:pt>
                <c:pt idx="15">
                  <c:v>66.101967977769291</c:v>
                </c:pt>
                <c:pt idx="16">
                  <c:v>71.101434889641112</c:v>
                </c:pt>
                <c:pt idx="17">
                  <c:v>76.091890520314053</c:v>
                </c:pt>
                <c:pt idx="18">
                  <c:v>81.074011002076816</c:v>
                </c:pt>
                <c:pt idx="19">
                  <c:v>86.048382294364117</c:v>
                </c:pt>
                <c:pt idx="20">
                  <c:v>91.01551685143825</c:v>
                </c:pt>
                <c:pt idx="21">
                  <c:v>96.059293424495877</c:v>
                </c:pt>
                <c:pt idx="22">
                  <c:v>101.09647592120905</c:v>
                </c:pt>
                <c:pt idx="23">
                  <c:v>106.1274401371661</c:v>
                </c:pt>
                <c:pt idx="24">
                  <c:v>111.15252322541839</c:v>
                </c:pt>
                <c:pt idx="25">
                  <c:v>116.17202927831566</c:v>
                </c:pt>
                <c:pt idx="26">
                  <c:v>121.18623389119783</c:v>
                </c:pt>
                <c:pt idx="27">
                  <c:v>126.19538792903876</c:v>
                </c:pt>
                <c:pt idx="28">
                  <c:v>131.19972066206506</c:v>
                </c:pt>
                <c:pt idx="29">
                  <c:v>136.19944239663721</c:v>
                </c:pt>
                <c:pt idx="30">
                  <c:v>141.19474669860062</c:v>
                </c:pt>
                <c:pt idx="31">
                  <c:v>117.41844889935521</c:v>
                </c:pt>
                <c:pt idx="32">
                  <c:v>122.27181352878561</c:v>
                </c:pt>
                <c:pt idx="33">
                  <c:v>127.12049242384775</c:v>
                </c:pt>
                <c:pt idx="34">
                  <c:v>131.96468999042506</c:v>
                </c:pt>
                <c:pt idx="35">
                  <c:v>136.80459436256049</c:v>
                </c:pt>
                <c:pt idx="36">
                  <c:v>141.64037924106523</c:v>
                </c:pt>
                <c:pt idx="37">
                  <c:v>146.47220546726382</c:v>
                </c:pt>
                <c:pt idx="38">
                  <c:v>151.3002223777049</c:v>
                </c:pt>
                <c:pt idx="39">
                  <c:v>156.12456897649591</c:v>
                </c:pt>
                <c:pt idx="40">
                  <c:v>160.94537495481583</c:v>
                </c:pt>
                <c:pt idx="41">
                  <c:v>148.09833122562196</c:v>
                </c:pt>
                <c:pt idx="42">
                  <c:v>152.79144700218751</c:v>
                </c:pt>
                <c:pt idx="43">
                  <c:v>157.48113180902939</c:v>
                </c:pt>
                <c:pt idx="44">
                  <c:v>162.16750248508325</c:v>
                </c:pt>
                <c:pt idx="45">
                  <c:v>166.8506685486885</c:v>
                </c:pt>
                <c:pt idx="46">
                  <c:v>171.53073285365295</c:v>
                </c:pt>
                <c:pt idx="47">
                  <c:v>176.20779216981666</c:v>
                </c:pt>
                <c:pt idx="48">
                  <c:v>180.88193769862167</c:v>
                </c:pt>
                <c:pt idx="49">
                  <c:v>185.55325553249369</c:v>
                </c:pt>
                <c:pt idx="50">
                  <c:v>190.22182706545016</c:v>
                </c:pt>
                <c:pt idx="51">
                  <c:v>175.30550445846984</c:v>
                </c:pt>
                <c:pt idx="52">
                  <c:v>179.7316123866359</c:v>
                </c:pt>
                <c:pt idx="53">
                  <c:v>184.15516689410637</c:v>
                </c:pt>
                <c:pt idx="54">
                  <c:v>188.57623811572486</c:v>
                </c:pt>
                <c:pt idx="55">
                  <c:v>192.99489262176746</c:v>
                </c:pt>
                <c:pt idx="56">
                  <c:v>197.41119367847855</c:v>
                </c:pt>
                <c:pt idx="57">
                  <c:v>201.82520148402705</c:v>
                </c:pt>
                <c:pt idx="58">
                  <c:v>206.23697338270208</c:v>
                </c:pt>
                <c:pt idx="59">
                  <c:v>210.64656405978792</c:v>
                </c:pt>
                <c:pt idx="60">
                  <c:v>215.05402571923696</c:v>
                </c:pt>
                <c:pt idx="61">
                  <c:v>198.6939177176433</c:v>
                </c:pt>
                <c:pt idx="62">
                  <c:v>202.86456278492415</c:v>
                </c:pt>
                <c:pt idx="63">
                  <c:v>207.03322289239085</c:v>
                </c:pt>
                <c:pt idx="64">
                  <c:v>211.1999437388989</c:v>
                </c:pt>
                <c:pt idx="65">
                  <c:v>215.36476906896596</c:v>
                </c:pt>
                <c:pt idx="66">
                  <c:v>219.52774079341077</c:v>
                </c:pt>
                <c:pt idx="67">
                  <c:v>223.68889910034579</c:v>
                </c:pt>
                <c:pt idx="68">
                  <c:v>227.8482825574653</c:v>
                </c:pt>
                <c:pt idx="69">
                  <c:v>232.00592820645954</c:v>
                </c:pt>
                <c:pt idx="70">
                  <c:v>236.16187165029689</c:v>
                </c:pt>
                <c:pt idx="71">
                  <c:v>218.97692512402543</c:v>
                </c:pt>
                <c:pt idx="72">
                  <c:v>222.89820975716569</c:v>
                </c:pt>
                <c:pt idx="73">
                  <c:v>226.81791209882192</c:v>
                </c:pt>
                <c:pt idx="74">
                  <c:v>230.736063412498</c:v>
                </c:pt>
                <c:pt idx="75">
                  <c:v>234.65269381098105</c:v>
                </c:pt>
                <c:pt idx="76">
                  <c:v>238.56783231764553</c:v>
                </c:pt>
                <c:pt idx="77">
                  <c:v>242.48150692351541</c:v>
                </c:pt>
                <c:pt idx="78">
                  <c:v>246.39374464044309</c:v>
                </c:pt>
                <c:pt idx="79">
                  <c:v>250.30457155072909</c:v>
                </c:pt>
                <c:pt idx="80">
                  <c:v>254.21401285347324</c:v>
                </c:pt>
                <c:pt idx="81">
                  <c:v>235.31737948255306</c:v>
                </c:pt>
                <c:pt idx="82">
                  <c:v>239.14443638206026</c:v>
                </c:pt>
                <c:pt idx="83">
                  <c:v>242.97009820492926</c:v>
                </c:pt>
                <c:pt idx="84">
                  <c:v>246.79439006404766</c:v>
                </c:pt>
                <c:pt idx="85">
                  <c:v>250.61733622888337</c:v>
                </c:pt>
                <c:pt idx="86">
                  <c:v>254.43896016654585</c:v>
                </c:pt>
                <c:pt idx="87">
                  <c:v>258.25928458024669</c:v>
                </c:pt>
                <c:pt idx="88">
                  <c:v>262.07833144536136</c:v>
                </c:pt>
                <c:pt idx="89">
                  <c:v>265.89612204327688</c:v>
                </c:pt>
                <c:pt idx="90">
                  <c:v>269.7126769931898</c:v>
                </c:pt>
                <c:pt idx="91">
                  <c:v>250.6328193987205</c:v>
                </c:pt>
                <c:pt idx="92">
                  <c:v>254.24496917314158</c:v>
                </c:pt>
                <c:pt idx="93">
                  <c:v>257.85595699105755</c:v>
                </c:pt>
                <c:pt idx="94">
                  <c:v>261.46580145486388</c:v>
                </c:pt>
                <c:pt idx="95">
                  <c:v>265.07452061034036</c:v>
                </c:pt>
                <c:pt idx="96">
                  <c:v>268.68213197083338</c:v>
                </c:pt>
                <c:pt idx="97">
                  <c:v>272.2886525400715</c:v>
                </c:pt>
                <c:pt idx="98">
                  <c:v>275.89409883370479</c:v>
                </c:pt>
                <c:pt idx="99">
                  <c:v>279.49848689966035</c:v>
                </c:pt>
                <c:pt idx="100">
                  <c:v>283.10183233738871</c:v>
                </c:pt>
                <c:pt idx="101">
                  <c:v>263.96109196677475</c:v>
                </c:pt>
                <c:pt idx="102">
                  <c:v>267.38351841754837</c:v>
                </c:pt>
                <c:pt idx="103">
                  <c:v>270.80495793510266</c:v>
                </c:pt>
                <c:pt idx="104">
                  <c:v>274.2254247741065</c:v>
                </c:pt>
                <c:pt idx="105">
                  <c:v>277.64493280389814</c:v>
                </c:pt>
                <c:pt idx="106">
                  <c:v>281.06349552363093</c:v>
                </c:pt>
                <c:pt idx="107">
                  <c:v>284.48112607664098</c:v>
                </c:pt>
                <c:pt idx="108">
                  <c:v>287.89783726408837</c:v>
                </c:pt>
                <c:pt idx="109">
                  <c:v>291.31364155791516</c:v>
                </c:pt>
                <c:pt idx="110">
                  <c:v>294.72855111316346</c:v>
                </c:pt>
                <c:pt idx="111">
                  <c:v>275.64278221892977</c:v>
                </c:pt>
                <c:pt idx="112">
                  <c:v>278.89302299078042</c:v>
                </c:pt>
                <c:pt idx="113">
                  <c:v>282.14241391291085</c:v>
                </c:pt>
                <c:pt idx="114">
                  <c:v>285.39096617407273</c:v>
                </c:pt>
                <c:pt idx="115">
                  <c:v>288.63869068701268</c:v>
                </c:pt>
                <c:pt idx="116">
                  <c:v>291.88559809838341</c:v>
                </c:pt>
                <c:pt idx="117">
                  <c:v>295.13169879818764</c:v>
                </c:pt>
                <c:pt idx="118">
                  <c:v>298.37700292878753</c:v>
                </c:pt>
                <c:pt idx="119">
                  <c:v>301.6215203934978</c:v>
                </c:pt>
                <c:pt idx="120">
                  <c:v>304.86526086479199</c:v>
                </c:pt>
                <c:pt idx="121">
                  <c:v>286.03934198193417</c:v>
                </c:pt>
                <c:pt idx="122">
                  <c:v>289.1202225994499</c:v>
                </c:pt>
                <c:pt idx="123">
                  <c:v>292.20036925031758</c:v>
                </c:pt>
                <c:pt idx="124">
                  <c:v>295.2797907788534</c:v>
                </c:pt>
                <c:pt idx="125">
                  <c:v>298.35849582949118</c:v>
                </c:pt>
                <c:pt idx="126">
                  <c:v>301.43649285336335</c:v>
                </c:pt>
                <c:pt idx="127">
                  <c:v>304.51379011459977</c:v>
                </c:pt>
                <c:pt idx="128">
                  <c:v>307.59039569635775</c:v>
                </c:pt>
                <c:pt idx="129">
                  <c:v>310.66631750659769</c:v>
                </c:pt>
                <c:pt idx="130">
                  <c:v>313.74156328361835</c:v>
                </c:pt>
                <c:pt idx="131">
                  <c:v>295.19237557407541</c:v>
                </c:pt>
                <c:pt idx="132">
                  <c:v>298.12407035611278</c:v>
                </c:pt>
                <c:pt idx="133">
                  <c:v>301.0551225538257</c:v>
                </c:pt>
                <c:pt idx="134">
                  <c:v>303.98553931871487</c:v>
                </c:pt>
                <c:pt idx="135">
                  <c:v>306.91532765288451</c:v>
                </c:pt>
                <c:pt idx="136">
                  <c:v>309.84449441359243</c:v>
                </c:pt>
                <c:pt idx="137">
                  <c:v>312.77304631762058</c:v>
                </c:pt>
                <c:pt idx="138">
                  <c:v>315.70098994547101</c:v>
                </c:pt>
                <c:pt idx="139">
                  <c:v>318.62833174539895</c:v>
                </c:pt>
                <c:pt idx="140">
                  <c:v>321.55507803729012</c:v>
                </c:pt>
                <c:pt idx="141">
                  <c:v>303.29487711261339</c:v>
                </c:pt>
                <c:pt idx="142">
                  <c:v>306.09225482910631</c:v>
                </c:pt>
                <c:pt idx="143">
                  <c:v>308.88906420647976</c:v>
                </c:pt>
                <c:pt idx="144">
                  <c:v>311.68531112708018</c:v>
                </c:pt>
                <c:pt idx="145">
                  <c:v>314.4810013588949</c:v>
                </c:pt>
                <c:pt idx="146">
                  <c:v>317.2761405587965</c:v>
                </c:pt>
                <c:pt idx="147">
                  <c:v>320.07073427566644</c:v>
                </c:pt>
                <c:pt idx="148">
                  <c:v>322.86478795340321</c:v>
                </c:pt>
                <c:pt idx="149">
                  <c:v>325.65830693382185</c:v>
                </c:pt>
                <c:pt idx="150">
                  <c:v>328.45129645944729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2958816"/>
        <c:axId val="-1702958272"/>
      </c:scatterChart>
      <c:valAx>
        <c:axId val="-1702958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2958272"/>
        <c:crosses val="autoZero"/>
        <c:crossBetween val="midCat"/>
      </c:valAx>
      <c:valAx>
        <c:axId val="-170295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2958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3.2484554075943315</c:v>
                </c:pt>
                <c:pt idx="2">
                  <c:v>3.8638757267273136</c:v>
                </c:pt>
                <c:pt idx="3">
                  <c:v>4.5963145435189166</c:v>
                </c:pt>
                <c:pt idx="4">
                  <c:v>5.4680987872157631</c:v>
                </c:pt>
                <c:pt idx="5">
                  <c:v>6.5058290031172161</c:v>
                </c:pt>
                <c:pt idx="6">
                  <c:v>7.7411998035712202</c:v>
                </c:pt>
                <c:pt idx="7">
                  <c:v>9.2119782615885182</c:v>
                </c:pt>
                <c:pt idx="8">
                  <c:v>10.963170728579342</c:v>
                </c:pt>
                <c:pt idx="9">
                  <c:v>13.048414453858408</c:v>
                </c:pt>
                <c:pt idx="10">
                  <c:v>15.531637422590252</c:v>
                </c:pt>
                <c:pt idx="11">
                  <c:v>18.489038232705958</c:v>
                </c:pt>
                <c:pt idx="12">
                  <c:v>22.011447865139349</c:v>
                </c:pt>
                <c:pt idx="13">
                  <c:v>26.207147182217046</c:v>
                </c:pt>
                <c:pt idx="14">
                  <c:v>31.20522829454438</c:v>
                </c:pt>
                <c:pt idx="15">
                  <c:v>37.159605019264767</c:v>
                </c:pt>
                <c:pt idx="16">
                  <c:v>44.253798052153108</c:v>
                </c:pt>
                <c:pt idx="17">
                  <c:v>52.706644837830567</c:v>
                </c:pt>
                <c:pt idx="18">
                  <c:v>62.779113217342307</c:v>
                </c:pt>
                <c:pt idx="19">
                  <c:v>74.782432681513072</c:v>
                </c:pt>
                <c:pt idx="20">
                  <c:v>89.087798562494868</c:v>
                </c:pt>
                <c:pt idx="21">
                  <c:v>100.32542767775175</c:v>
                </c:pt>
                <c:pt idx="22">
                  <c:v>111.53183268113673</c:v>
                </c:pt>
                <c:pt idx="23">
                  <c:v>122.7105981665725</c:v>
                </c:pt>
                <c:pt idx="24">
                  <c:v>133.86460037263845</c:v>
                </c:pt>
                <c:pt idx="25">
                  <c:v>144.99619591483787</c:v>
                </c:pt>
                <c:pt idx="26">
                  <c:v>156.70740340376838</c:v>
                </c:pt>
                <c:pt idx="27">
                  <c:v>168.39783424765028</c:v>
                </c:pt>
                <c:pt idx="28">
                  <c:v>180.0691352498327</c:v>
                </c:pt>
                <c:pt idx="29">
                  <c:v>191.72272200880596</c:v>
                </c:pt>
                <c:pt idx="30">
                  <c:v>203.35982376966172</c:v>
                </c:pt>
                <c:pt idx="31">
                  <c:v>174.98390152642602</c:v>
                </c:pt>
                <c:pt idx="32">
                  <c:v>186.94382371193379</c:v>
                </c:pt>
                <c:pt idx="33">
                  <c:v>198.88589463565646</c:v>
                </c:pt>
                <c:pt idx="34">
                  <c:v>210.81133791618547</c:v>
                </c:pt>
                <c:pt idx="35">
                  <c:v>222.7212272896368</c:v>
                </c:pt>
                <c:pt idx="36">
                  <c:v>234.61651217665062</c:v>
                </c:pt>
                <c:pt idx="37">
                  <c:v>246.49803778536844</c:v>
                </c:pt>
                <c:pt idx="38">
                  <c:v>258.36656113069779</c:v>
                </c:pt>
                <c:pt idx="39">
                  <c:v>270.22276395280278</c:v>
                </c:pt>
                <c:pt idx="40">
                  <c:v>282.06726324755329</c:v>
                </c:pt>
                <c:pt idx="41">
                  <c:v>253.3239821040373</c:v>
                </c:pt>
                <c:pt idx="42">
                  <c:v>264.59256331767233</c:v>
                </c:pt>
                <c:pt idx="43">
                  <c:v>275.85032479337616</c:v>
                </c:pt>
                <c:pt idx="44">
                  <c:v>287.09777056320473</c:v>
                </c:pt>
                <c:pt idx="45">
                  <c:v>298.33536191938384</c:v>
                </c:pt>
                <c:pt idx="46">
                  <c:v>308.97279538901205</c:v>
                </c:pt>
                <c:pt idx="47">
                  <c:v>319.60209759635984</c:v>
                </c:pt>
                <c:pt idx="48">
                  <c:v>330.22357722631432</c:v>
                </c:pt>
                <c:pt idx="49">
                  <c:v>340.83752147546761</c:v>
                </c:pt>
                <c:pt idx="50">
                  <c:v>351.44419818495675</c:v>
                </c:pt>
                <c:pt idx="51">
                  <c:v>319.01178877773668</c:v>
                </c:pt>
                <c:pt idx="52">
                  <c:v>329.33874556124147</c:v>
                </c:pt>
                <c:pt idx="53">
                  <c:v>339.65855796885859</c:v>
                </c:pt>
                <c:pt idx="54">
                  <c:v>349.97147377456463</c:v>
                </c:pt>
                <c:pt idx="55">
                  <c:v>360.27772495074413</c:v>
                </c:pt>
                <c:pt idx="56">
                  <c:v>369.98913892074944</c:v>
                </c:pt>
                <c:pt idx="57">
                  <c:v>379.69499344441101</c:v>
                </c:pt>
                <c:pt idx="58">
                  <c:v>389.39545073608247</c:v>
                </c:pt>
                <c:pt idx="59">
                  <c:v>399.09066426502704</c:v>
                </c:pt>
                <c:pt idx="60">
                  <c:v>408.78077943245563</c:v>
                </c:pt>
                <c:pt idx="61">
                  <c:v>373.81331183081375</c:v>
                </c:pt>
                <c:pt idx="62">
                  <c:v>382.92907114888516</c:v>
                </c:pt>
                <c:pt idx="63">
                  <c:v>392.04011366405786</c:v>
                </c:pt>
                <c:pt idx="64">
                  <c:v>401.14656450777994</c:v>
                </c:pt>
                <c:pt idx="65">
                  <c:v>410.24854266397205</c:v>
                </c:pt>
                <c:pt idx="66">
                  <c:v>419.05275675775698</c:v>
                </c:pt>
                <c:pt idx="67">
                  <c:v>427.85298608969606</c:v>
                </c:pt>
                <c:pt idx="68">
                  <c:v>436.64932421357253</c:v>
                </c:pt>
                <c:pt idx="69">
                  <c:v>445.44186060478069</c:v>
                </c:pt>
                <c:pt idx="70">
                  <c:v>454.23068091685923</c:v>
                </c:pt>
                <c:pt idx="71">
                  <c:v>419.63956162606559</c:v>
                </c:pt>
                <c:pt idx="72">
                  <c:v>427.55970831139103</c:v>
                </c:pt>
                <c:pt idx="73">
                  <c:v>435.4767006990491</c:v>
                </c:pt>
                <c:pt idx="74">
                  <c:v>443.39060425253047</c:v>
                </c:pt>
                <c:pt idx="75">
                  <c:v>451.30148190662823</c:v>
                </c:pt>
                <c:pt idx="76">
                  <c:v>458.91656076120006</c:v>
                </c:pt>
                <c:pt idx="77">
                  <c:v>466.52894195081808</c:v>
                </c:pt>
                <c:pt idx="78">
                  <c:v>474.13867572260983</c:v>
                </c:pt>
                <c:pt idx="79">
                  <c:v>481.74581057850463</c:v>
                </c:pt>
                <c:pt idx="80">
                  <c:v>489.35039336305164</c:v>
                </c:pt>
                <c:pt idx="81">
                  <c:v>455.69512882957935</c:v>
                </c:pt>
                <c:pt idx="82">
                  <c:v>463.01586721713073</c:v>
                </c:pt>
                <c:pt idx="83">
                  <c:v>470.33413669272704</c:v>
                </c:pt>
                <c:pt idx="84">
                  <c:v>477.64998110947209</c:v>
                </c:pt>
                <c:pt idx="85">
                  <c:v>484.96344286690504</c:v>
                </c:pt>
                <c:pt idx="86">
                  <c:v>491.68975860111124</c:v>
                </c:pt>
                <c:pt idx="87">
                  <c:v>498.41412333379748</c:v>
                </c:pt>
                <c:pt idx="88">
                  <c:v>505.13656711251906</c:v>
                </c:pt>
                <c:pt idx="89">
                  <c:v>511.85711911946265</c:v>
                </c:pt>
                <c:pt idx="90">
                  <c:v>518.57580770765355</c:v>
                </c:pt>
                <c:pt idx="91">
                  <c:v>487.30325414786125</c:v>
                </c:pt>
                <c:pt idx="92">
                  <c:v>494.02888780918585</c:v>
                </c:pt>
                <c:pt idx="93">
                  <c:v>500.75258102081324</c:v>
                </c:pt>
                <c:pt idx="94">
                  <c:v>507.47436352506497</c:v>
                </c:pt>
                <c:pt idx="95">
                  <c:v>514.19426421172068</c:v>
                </c:pt>
                <c:pt idx="96">
                  <c:v>520.3282060516276</c:v>
                </c:pt>
                <c:pt idx="97">
                  <c:v>526.46062332551276</c:v>
                </c:pt>
                <c:pt idx="98">
                  <c:v>532.59153630548462</c:v>
                </c:pt>
                <c:pt idx="99">
                  <c:v>538.72096475864475</c:v>
                </c:pt>
                <c:pt idx="100">
                  <c:v>544.8489279653985</c:v>
                </c:pt>
                <c:pt idx="101">
                  <c:v>513.90213336355043</c:v>
                </c:pt>
                <c:pt idx="102">
                  <c:v>519.45202246598103</c:v>
                </c:pt>
                <c:pt idx="103">
                  <c:v>525.00066116885989</c:v>
                </c:pt>
                <c:pt idx="104">
                  <c:v>530.54806455888422</c:v>
                </c:pt>
                <c:pt idx="105">
                  <c:v>536.09424738135738</c:v>
                </c:pt>
                <c:pt idx="106">
                  <c:v>541.63922405144251</c:v>
                </c:pt>
                <c:pt idx="107">
                  <c:v>547.18300866493462</c:v>
                </c:pt>
                <c:pt idx="108">
                  <c:v>552.72561500857068</c:v>
                </c:pt>
                <c:pt idx="109">
                  <c:v>558.26705656990612</c:v>
                </c:pt>
                <c:pt idx="110">
                  <c:v>563.80734654677724</c:v>
                </c:pt>
                <c:pt idx="111">
                  <c:v>569.34649785637419</c:v>
                </c:pt>
                <c:pt idx="112">
                  <c:v>574.88452314394056</c:v>
                </c:pt>
                <c:pt idx="113">
                  <c:v>580.42143479112144</c:v>
                </c:pt>
                <c:pt idx="114">
                  <c:v>585.95724492397483</c:v>
                </c:pt>
                <c:pt idx="115">
                  <c:v>591.4919654206675</c:v>
                </c:pt>
                <c:pt idx="116">
                  <c:v>548.25272578077613</c:v>
                </c:pt>
                <c:pt idx="117">
                  <c:v>553.11452594690388</c:v>
                </c:pt>
                <c:pt idx="118">
                  <c:v>557.97543057498933</c:v>
                </c:pt>
                <c:pt idx="119">
                  <c:v>562.83544857133199</c:v>
                </c:pt>
                <c:pt idx="120">
                  <c:v>567.6945886757976</c:v>
                </c:pt>
                <c:pt idx="121">
                  <c:v>572.55285946635706</c:v>
                </c:pt>
                <c:pt idx="122">
                  <c:v>577.41026936346509</c:v>
                </c:pt>
                <c:pt idx="123">
                  <c:v>582.26682663428221</c:v>
                </c:pt>
                <c:pt idx="124">
                  <c:v>587.12253939674872</c:v>
                </c:pt>
                <c:pt idx="125">
                  <c:v>591.97741562351814</c:v>
                </c:pt>
                <c:pt idx="126">
                  <c:v>596.83146314575333</c:v>
                </c:pt>
                <c:pt idx="127">
                  <c:v>601.68468965679278</c:v>
                </c:pt>
                <c:pt idx="128">
                  <c:v>606.53710271569446</c:v>
                </c:pt>
                <c:pt idx="129">
                  <c:v>611.38870975065743</c:v>
                </c:pt>
                <c:pt idx="130">
                  <c:v>616.23951806233038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2960992"/>
        <c:axId val="-1702957728"/>
      </c:scatterChart>
      <c:valAx>
        <c:axId val="-1702960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2957728"/>
        <c:crosses val="autoZero"/>
        <c:crossBetween val="midCat"/>
      </c:valAx>
      <c:valAx>
        <c:axId val="-170295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2960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1.764623946992776</c:v>
                </c:pt>
                <c:pt idx="2">
                  <c:v>2.296820149719109</c:v>
                </c:pt>
                <c:pt idx="3">
                  <c:v>2.9901813361334599</c:v>
                </c:pt>
                <c:pt idx="4">
                  <c:v>3.8937015078679331</c:v>
                </c:pt>
                <c:pt idx="5">
                  <c:v>5.0713224460225206</c:v>
                </c:pt>
                <c:pt idx="6">
                  <c:v>6.6065094082284403</c:v>
                </c:pt>
                <c:pt idx="7">
                  <c:v>8.6082318034868219</c:v>
                </c:pt>
                <c:pt idx="8">
                  <c:v>11.218781457943201</c:v>
                </c:pt>
                <c:pt idx="9">
                  <c:v>14.623994632945491</c:v>
                </c:pt>
                <c:pt idx="10">
                  <c:v>19.066618826697646</c:v>
                </c:pt>
                <c:pt idx="11">
                  <c:v>24.86379439475003</c:v>
                </c:pt>
                <c:pt idx="12">
                  <c:v>32.429920954599254</c:v>
                </c:pt>
                <c:pt idx="13">
                  <c:v>42.306571406283155</c:v>
                </c:pt>
                <c:pt idx="14">
                  <c:v>55.201631057160647</c:v>
                </c:pt>
                <c:pt idx="15">
                  <c:v>72.040513611415278</c:v>
                </c:pt>
                <c:pt idx="16">
                  <c:v>77.773664376116372</c:v>
                </c:pt>
                <c:pt idx="17">
                  <c:v>83.496074849233494</c:v>
                </c:pt>
                <c:pt idx="18">
                  <c:v>89.208586896212196</c:v>
                </c:pt>
                <c:pt idx="19">
                  <c:v>94.911925413388516</c:v>
                </c:pt>
                <c:pt idx="20">
                  <c:v>100.60672079779079</c:v>
                </c:pt>
                <c:pt idx="21">
                  <c:v>106.01963887584141</c:v>
                </c:pt>
                <c:pt idx="22">
                  <c:v>111.42574146198729</c:v>
                </c:pt>
                <c:pt idx="23">
                  <c:v>116.82540670207005</c:v>
                </c:pt>
                <c:pt idx="24">
                  <c:v>122.21897483770141</c:v>
                </c:pt>
                <c:pt idx="25">
                  <c:v>127.60675354961728</c:v>
                </c:pt>
                <c:pt idx="26">
                  <c:v>132.71663076326527</c:v>
                </c:pt>
                <c:pt idx="27">
                  <c:v>137.82176072987758</c:v>
                </c:pt>
                <c:pt idx="28">
                  <c:v>142.92234453232751</c:v>
                </c:pt>
                <c:pt idx="29">
                  <c:v>148.01856769367024</c:v>
                </c:pt>
                <c:pt idx="30">
                  <c:v>153.11060188786209</c:v>
                </c:pt>
                <c:pt idx="31">
                  <c:v>157.88213418449652</c:v>
                </c:pt>
                <c:pt idx="32">
                  <c:v>162.65024524533573</c:v>
                </c:pt>
                <c:pt idx="33">
                  <c:v>167.41504975541088</c:v>
                </c:pt>
                <c:pt idx="34">
                  <c:v>172.17665532326225</c:v>
                </c:pt>
                <c:pt idx="35">
                  <c:v>176.93516310576447</c:v>
                </c:pt>
                <c:pt idx="36">
                  <c:v>181.44282374804376</c:v>
                </c:pt>
                <c:pt idx="37">
                  <c:v>185.9478634358592</c:v>
                </c:pt>
                <c:pt idx="38">
                  <c:v>190.45035477579145</c:v>
                </c:pt>
                <c:pt idx="39">
                  <c:v>194.95036665337292</c:v>
                </c:pt>
                <c:pt idx="40">
                  <c:v>199.44796450728037</c:v>
                </c:pt>
                <c:pt idx="41">
                  <c:v>203.651089871236</c:v>
                </c:pt>
                <c:pt idx="42">
                  <c:v>207.85220779220174</c:v>
                </c:pt>
                <c:pt idx="43">
                  <c:v>212.05136466234376</c:v>
                </c:pt>
                <c:pt idx="44">
                  <c:v>216.24860488245017</c:v>
                </c:pt>
                <c:pt idx="45">
                  <c:v>220.44397098530536</c:v>
                </c:pt>
                <c:pt idx="46">
                  <c:v>224.36845432498728</c:v>
                </c:pt>
                <c:pt idx="47">
                  <c:v>228.29136419539634</c:v>
                </c:pt>
                <c:pt idx="48">
                  <c:v>232.21273151004849</c:v>
                </c:pt>
                <c:pt idx="49">
                  <c:v>236.1325860509443</c:v>
                </c:pt>
                <c:pt idx="50">
                  <c:v>240.05095652852046</c:v>
                </c:pt>
                <c:pt idx="51">
                  <c:v>243.6993281954004</c:v>
                </c:pt>
                <c:pt idx="52">
                  <c:v>247.34645801142526</c:v>
                </c:pt>
                <c:pt idx="53">
                  <c:v>250.9923669113472</c:v>
                </c:pt>
                <c:pt idx="54">
                  <c:v>254.63707517082017</c:v>
                </c:pt>
                <c:pt idx="55">
                  <c:v>258.28060243650765</c:v>
                </c:pt>
                <c:pt idx="56">
                  <c:v>261.63251456340146</c:v>
                </c:pt>
                <c:pt idx="57">
                  <c:v>264.9834571116574</c:v>
                </c:pt>
                <c:pt idx="58">
                  <c:v>268.33344409875974</c:v>
                </c:pt>
                <c:pt idx="59">
                  <c:v>271.6824891629139</c:v>
                </c:pt>
                <c:pt idx="60">
                  <c:v>275.03060557796795</c:v>
                </c:pt>
                <c:pt idx="61">
                  <c:v>278.11006361255676</c:v>
                </c:pt>
                <c:pt idx="62">
                  <c:v>281.18875639212592</c:v>
                </c:pt>
                <c:pt idx="63">
                  <c:v>284.26669349521865</c:v>
                </c:pt>
                <c:pt idx="64">
                  <c:v>287.34388427560884</c:v>
                </c:pt>
                <c:pt idx="65">
                  <c:v>290.42033786998297</c:v>
                </c:pt>
                <c:pt idx="66">
                  <c:v>293.22863751617655</c:v>
                </c:pt>
                <c:pt idx="67">
                  <c:v>296.03633669968633</c:v>
                </c:pt>
                <c:pt idx="68">
                  <c:v>298.84344193087276</c:v>
                </c:pt>
                <c:pt idx="69">
                  <c:v>301.64995958756714</c:v>
                </c:pt>
                <c:pt idx="70">
                  <c:v>304.45589591900688</c:v>
                </c:pt>
                <c:pt idx="71">
                  <c:v>306.9718414631887</c:v>
                </c:pt>
                <c:pt idx="72">
                  <c:v>309.48732871195836</c:v>
                </c:pt>
                <c:pt idx="73">
                  <c:v>312.00236192356948</c:v>
                </c:pt>
                <c:pt idx="74">
                  <c:v>314.51694528188881</c:v>
                </c:pt>
                <c:pt idx="75">
                  <c:v>317.03108289829282</c:v>
                </c:pt>
                <c:pt idx="76">
                  <c:v>319.27785849736955</c:v>
                </c:pt>
                <c:pt idx="77">
                  <c:v>321.52428406625762</c:v>
                </c:pt>
                <c:pt idx="78">
                  <c:v>323.77036240061921</c:v>
                </c:pt>
                <c:pt idx="79">
                  <c:v>326.01609625408747</c:v>
                </c:pt>
                <c:pt idx="80">
                  <c:v>328.26148833919024</c:v>
                </c:pt>
                <c:pt idx="81">
                  <c:v>330.23982002340057</c:v>
                </c:pt>
                <c:pt idx="82">
                  <c:v>332.21789020579178</c:v>
                </c:pt>
                <c:pt idx="83">
                  <c:v>334.19570066624607</c:v>
                </c:pt>
                <c:pt idx="84">
                  <c:v>336.17325316181842</c:v>
                </c:pt>
                <c:pt idx="85">
                  <c:v>338.15054942716534</c:v>
                </c:pt>
                <c:pt idx="86">
                  <c:v>339.86103853173319</c:v>
                </c:pt>
                <c:pt idx="87">
                  <c:v>341.57133822210039</c:v>
                </c:pt>
                <c:pt idx="88">
                  <c:v>343.28144958244587</c:v>
                </c:pt>
                <c:pt idx="89">
                  <c:v>344.99137368524379</c:v>
                </c:pt>
                <c:pt idx="90">
                  <c:v>346.70111159144932</c:v>
                </c:pt>
                <c:pt idx="91">
                  <c:v>348.12205150612652</c:v>
                </c:pt>
                <c:pt idx="92">
                  <c:v>349.54286411058598</c:v>
                </c:pt>
                <c:pt idx="93">
                  <c:v>350.96354999639215</c:v>
                </c:pt>
                <c:pt idx="94">
                  <c:v>352.38410974991922</c:v>
                </c:pt>
                <c:pt idx="95">
                  <c:v>353.80454395241924</c:v>
                </c:pt>
                <c:pt idx="96">
                  <c:v>354.95855469311226</c:v>
                </c:pt>
                <c:pt idx="97">
                  <c:v>356.11248323760998</c:v>
                </c:pt>
                <c:pt idx="98">
                  <c:v>357.26632989038745</c:v>
                </c:pt>
                <c:pt idx="99">
                  <c:v>358.42009495378846</c:v>
                </c:pt>
                <c:pt idx="100">
                  <c:v>359.57377872804733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2959904"/>
        <c:axId val="-1828496336"/>
      </c:scatterChart>
      <c:valAx>
        <c:axId val="-170295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8496336"/>
        <c:crosses val="autoZero"/>
        <c:crossBetween val="midCat"/>
      </c:valAx>
      <c:valAx>
        <c:axId val="-182849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295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2.6107584023177419</c:v>
                </c:pt>
                <c:pt idx="2">
                  <c:v>3.1049999591548709</c:v>
                </c:pt>
                <c:pt idx="3">
                  <c:v>3.6931528021813484</c:v>
                </c:pt>
                <c:pt idx="4">
                  <c:v>4.393123291439327</c:v>
                </c:pt>
                <c:pt idx="5">
                  <c:v>5.2262431659966877</c:v>
                </c:pt>
                <c:pt idx="6">
                  <c:v>6.2179267787053014</c:v>
                </c:pt>
                <c:pt idx="7">
                  <c:v>7.3984547876138231</c:v>
                </c:pt>
                <c:pt idx="8">
                  <c:v>8.8039086974423153</c:v>
                </c:pt>
                <c:pt idx="9">
                  <c:v>10.47728536098662</c:v>
                </c:pt>
                <c:pt idx="10">
                  <c:v>12.469826180642729</c:v>
                </c:pt>
                <c:pt idx="11">
                  <c:v>14.842602471834818</c:v>
                </c:pt>
                <c:pt idx="12">
                  <c:v>17.668406474905712</c:v>
                </c:pt>
                <c:pt idx="13">
                  <c:v>21.034007083115242</c:v>
                </c:pt>
                <c:pt idx="14">
                  <c:v>25.042840794171411</c:v>
                </c:pt>
                <c:pt idx="15">
                  <c:v>29.81822205241906</c:v>
                </c:pt>
                <c:pt idx="16">
                  <c:v>35.507173459975228</c:v>
                </c:pt>
                <c:pt idx="17">
                  <c:v>42.284995813298941</c:v>
                </c:pt>
                <c:pt idx="18">
                  <c:v>50.360721182890977</c:v>
                </c:pt>
                <c:pt idx="19">
                  <c:v>59.983620034002193</c:v>
                </c:pt>
                <c:pt idx="20">
                  <c:v>71.450966564748299</c:v>
                </c:pt>
                <c:pt idx="21">
                  <c:v>80.458487402403108</c:v>
                </c:pt>
                <c:pt idx="22">
                  <c:v>89.440453732867482</c:v>
                </c:pt>
                <c:pt idx="23">
                  <c:v>98.39979926748434</c:v>
                </c:pt>
                <c:pt idx="24">
                  <c:v>107.33887798383877</c:v>
                </c:pt>
                <c:pt idx="25">
                  <c:v>116.25961858844029</c:v>
                </c:pt>
                <c:pt idx="26">
                  <c:v>125.64447759548017</c:v>
                </c:pt>
                <c:pt idx="27">
                  <c:v>135.01233253439906</c:v>
                </c:pt>
                <c:pt idx="28">
                  <c:v>144.36453118566223</c:v>
                </c:pt>
                <c:pt idx="29">
                  <c:v>153.70223210653933</c:v>
                </c:pt>
                <c:pt idx="30">
                  <c:v>163.02644133853653</c:v>
                </c:pt>
                <c:pt idx="31">
                  <c:v>140.28977850816344</c:v>
                </c:pt>
                <c:pt idx="32">
                  <c:v>149.87306670214187</c:v>
                </c:pt>
                <c:pt idx="33">
                  <c:v>159.44174502668625</c:v>
                </c:pt>
                <c:pt idx="34">
                  <c:v>168.99681491844967</c:v>
                </c:pt>
                <c:pt idx="35">
                  <c:v>178.53915514693605</c:v>
                </c:pt>
                <c:pt idx="36">
                  <c:v>188.0695427391004</c:v>
                </c:pt>
                <c:pt idx="37">
                  <c:v>197.58866943207283</c:v>
                </c:pt>
                <c:pt idx="38">
                  <c:v>207.09715478368</c:v>
                </c:pt>
                <c:pt idx="39">
                  <c:v>216.59555674522571</c:v>
                </c:pt>
                <c:pt idx="40">
                  <c:v>226.08438027984417</c:v>
                </c:pt>
                <c:pt idx="41">
                  <c:v>203.05731165810622</c:v>
                </c:pt>
                <c:pt idx="42">
                  <c:v>212.0850399320116</c:v>
                </c:pt>
                <c:pt idx="43">
                  <c:v>221.10391309189819</c:v>
                </c:pt>
                <c:pt idx="44">
                  <c:v>230.11434364880392</c:v>
                </c:pt>
                <c:pt idx="45">
                  <c:v>239.11670913453978</c:v>
                </c:pt>
                <c:pt idx="46">
                  <c:v>247.63814096400338</c:v>
                </c:pt>
                <c:pt idx="47">
                  <c:v>256.15291798767913</c:v>
                </c:pt>
                <c:pt idx="48">
                  <c:v>264.66129284013959</c:v>
                </c:pt>
                <c:pt idx="49">
                  <c:v>273.16350056945959</c:v>
                </c:pt>
                <c:pt idx="50">
                  <c:v>281.65976038277915</c:v>
                </c:pt>
                <c:pt idx="51">
                  <c:v>255.68004502751933</c:v>
                </c:pt>
                <c:pt idx="52">
                  <c:v>263.95250028498424</c:v>
                </c:pt>
                <c:pt idx="53">
                  <c:v>272.21910842642092</c:v>
                </c:pt>
                <c:pt idx="54">
                  <c:v>280.48007223555913</c:v>
                </c:pt>
                <c:pt idx="55">
                  <c:v>288.73558156375475</c:v>
                </c:pt>
                <c:pt idx="56">
                  <c:v>296.51451179876398</c:v>
                </c:pt>
                <c:pt idx="57">
                  <c:v>304.2888920593129</c:v>
                </c:pt>
                <c:pt idx="58">
                  <c:v>312.05885510523393</c:v>
                </c:pt>
                <c:pt idx="59">
                  <c:v>319.82452653918352</c:v>
                </c:pt>
                <c:pt idx="60">
                  <c:v>327.58602536074454</c:v>
                </c:pt>
                <c:pt idx="61">
                  <c:v>299.57768207257419</c:v>
                </c:pt>
                <c:pt idx="62">
                  <c:v>306.87936419861757</c:v>
                </c:pt>
                <c:pt idx="63">
                  <c:v>314.17718598832579</c:v>
                </c:pt>
                <c:pt idx="64">
                  <c:v>321.4712498520575</c:v>
                </c:pt>
                <c:pt idx="65">
                  <c:v>328.76165316889802</c:v>
                </c:pt>
                <c:pt idx="66">
                  <c:v>335.81348420755882</c:v>
                </c:pt>
                <c:pt idx="67">
                  <c:v>342.86205402855381</c:v>
                </c:pt>
                <c:pt idx="68">
                  <c:v>349.90743919837837</c:v>
                </c:pt>
                <c:pt idx="69">
                  <c:v>356.94971294568427</c:v>
                </c:pt>
                <c:pt idx="70">
                  <c:v>363.98894537123101</c:v>
                </c:pt>
                <c:pt idx="71">
                  <c:v>336.28348945689703</c:v>
                </c:pt>
                <c:pt idx="72">
                  <c:v>342.62715342500252</c:v>
                </c:pt>
                <c:pt idx="73">
                  <c:v>348.9682358457847</c:v>
                </c:pt>
                <c:pt idx="74">
                  <c:v>355.3067902960197</c:v>
                </c:pt>
                <c:pt idx="75">
                  <c:v>361.64286828294081</c:v>
                </c:pt>
                <c:pt idx="76">
                  <c:v>367.74198240650753</c:v>
                </c:pt>
                <c:pt idx="77">
                  <c:v>373.83888870111377</c:v>
                </c:pt>
                <c:pt idx="78">
                  <c:v>379.93362829012523</c:v>
                </c:pt>
                <c:pt idx="79">
                  <c:v>386.02624086859925</c:v>
                </c:pt>
                <c:pt idx="80">
                  <c:v>392.11676477515601</c:v>
                </c:pt>
                <c:pt idx="81">
                  <c:v>365.1618598487903</c:v>
                </c:pt>
                <c:pt idx="82">
                  <c:v>371.02520364074002</c:v>
                </c:pt>
                <c:pt idx="83">
                  <c:v>376.88652682026787</c:v>
                </c:pt>
                <c:pt idx="84">
                  <c:v>382.74586527772891</c:v>
                </c:pt>
                <c:pt idx="85">
                  <c:v>388.60325371384835</c:v>
                </c:pt>
                <c:pt idx="86">
                  <c:v>393.99035769186139</c:v>
                </c:pt>
                <c:pt idx="87">
                  <c:v>399.37586492686484</c:v>
                </c:pt>
                <c:pt idx="88">
                  <c:v>404.75980001044553</c:v>
                </c:pt>
                <c:pt idx="89">
                  <c:v>410.14218682595362</c:v>
                </c:pt>
                <c:pt idx="90">
                  <c:v>415.52304857813533</c:v>
                </c:pt>
                <c:pt idx="91">
                  <c:v>390.47721168197495</c:v>
                </c:pt>
                <c:pt idx="92">
                  <c:v>395.86375743638109</c:v>
                </c:pt>
                <c:pt idx="93">
                  <c:v>401.24871508362367</c:v>
                </c:pt>
                <c:pt idx="94">
                  <c:v>406.63210896547963</c:v>
                </c:pt>
                <c:pt idx="95">
                  <c:v>412.01396272598686</c:v>
                </c:pt>
                <c:pt idx="96">
                  <c:v>416.92650364000542</c:v>
                </c:pt>
                <c:pt idx="97">
                  <c:v>421.83779681530456</c:v>
                </c:pt>
                <c:pt idx="98">
                  <c:v>426.74785884302815</c:v>
                </c:pt>
                <c:pt idx="99">
                  <c:v>431.65670590101172</c:v>
                </c:pt>
                <c:pt idx="100">
                  <c:v>436.56435376876772</c:v>
                </c:pt>
                <c:pt idx="101">
                  <c:v>411.7800007955513</c:v>
                </c:pt>
                <c:pt idx="102">
                  <c:v>416.22478886527784</c:v>
                </c:pt>
                <c:pt idx="103">
                  <c:v>420.66855358021803</c:v>
                </c:pt>
                <c:pt idx="104">
                  <c:v>425.11130728766017</c:v>
                </c:pt>
                <c:pt idx="105">
                  <c:v>429.553062055488</c:v>
                </c:pt>
                <c:pt idx="106">
                  <c:v>433.99382968139184</c:v>
                </c:pt>
                <c:pt idx="107">
                  <c:v>438.43362170168348</c:v>
                </c:pt>
                <c:pt idx="108">
                  <c:v>442.87244939973493</c:v>
                </c:pt>
                <c:pt idx="109">
                  <c:v>447.31032381406135</c:v>
                </c:pt>
                <c:pt idx="110">
                  <c:v>451.74725574606526</c:v>
                </c:pt>
                <c:pt idx="111">
                  <c:v>456.18325576746224</c:v>
                </c:pt>
                <c:pt idx="112">
                  <c:v>460.61833422740091</c:v>
                </c:pt>
                <c:pt idx="113">
                  <c:v>465.0525012592945</c:v>
                </c:pt>
                <c:pt idx="114">
                  <c:v>469.48576678737845</c:v>
                </c:pt>
                <c:pt idx="115">
                  <c:v>473.91814053300862</c:v>
                </c:pt>
                <c:pt idx="116">
                  <c:v>439.29031231992559</c:v>
                </c:pt>
                <c:pt idx="117">
                  <c:v>443.18391015745766</c:v>
                </c:pt>
                <c:pt idx="118">
                  <c:v>447.07677506675009</c:v>
                </c:pt>
                <c:pt idx="119">
                  <c:v>450.96891433691673</c:v>
                </c:pt>
                <c:pt idx="120">
                  <c:v>454.86033512085766</c:v>
                </c:pt>
                <c:pt idx="121">
                  <c:v>458.75104443897527</c:v>
                </c:pt>
                <c:pt idx="122">
                  <c:v>462.64104918275689</c:v>
                </c:pt>
                <c:pt idx="123">
                  <c:v>466.53035611822997</c:v>
                </c:pt>
                <c:pt idx="124">
                  <c:v>470.41897188929778</c:v>
                </c:pt>
                <c:pt idx="125">
                  <c:v>474.3069030209569</c:v>
                </c:pt>
                <c:pt idx="126">
                  <c:v>478.19415592240517</c:v>
                </c:pt>
                <c:pt idx="127">
                  <c:v>482.08073689004186</c:v>
                </c:pt>
                <c:pt idx="128">
                  <c:v>485.9666521103681</c:v>
                </c:pt>
                <c:pt idx="129">
                  <c:v>489.85190766278652</c:v>
                </c:pt>
                <c:pt idx="130">
                  <c:v>493.73650952231105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28501776"/>
        <c:axId val="-1828500144"/>
      </c:scatterChart>
      <c:valAx>
        <c:axId val="-18285017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8500144"/>
        <c:crosses val="autoZero"/>
        <c:crossBetween val="midCat"/>
      </c:valAx>
      <c:valAx>
        <c:axId val="-182850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8501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1.4217567752663396</c:v>
                </c:pt>
                <c:pt idx="2">
                  <c:v>1.6496387760333995</c:v>
                </c:pt>
                <c:pt idx="3">
                  <c:v>1.9141825094116696</c:v>
                </c:pt>
                <c:pt idx="4">
                  <c:v>2.2213069404908978</c:v>
                </c:pt>
                <c:pt idx="5">
                  <c:v>2.5778898048880068</c:v>
                </c:pt>
                <c:pt idx="6">
                  <c:v>2.9919233927322302</c:v>
                </c:pt>
                <c:pt idx="7">
                  <c:v>3.472695717358198</c:v>
                </c:pt>
                <c:pt idx="8">
                  <c:v>4.0310012160061346</c:v>
                </c:pt>
                <c:pt idx="9">
                  <c:v>4.6793858090430804</c:v>
                </c:pt>
                <c:pt idx="10">
                  <c:v>5.432431934915944</c:v>
                </c:pt>
                <c:pt idx="11">
                  <c:v>6.3070900985608995</c:v>
                </c:pt>
                <c:pt idx="12">
                  <c:v>7.3230645426796004</c:v>
                </c:pt>
                <c:pt idx="13">
                  <c:v>8.5032618990257713</c:v>
                </c:pt>
                <c:pt idx="14">
                  <c:v>9.8743131296009761</c:v>
                </c:pt>
                <c:pt idx="15">
                  <c:v>11.467180759188034</c:v>
                </c:pt>
                <c:pt idx="16">
                  <c:v>13.31786537027314</c:v>
                </c:pt>
                <c:pt idx="17">
                  <c:v>15.468227624926827</c:v>
                </c:pt>
                <c:pt idx="18">
                  <c:v>17.96694474899018</c:v>
                </c:pt>
                <c:pt idx="19">
                  <c:v>20.870623524111782</c:v>
                </c:pt>
                <c:pt idx="20">
                  <c:v>24.245095455229389</c:v>
                </c:pt>
                <c:pt idx="21">
                  <c:v>28.166923999370677</c:v>
                </c:pt>
                <c:pt idx="22">
                  <c:v>32.725158654475884</c:v>
                </c:pt>
                <c:pt idx="23">
                  <c:v>38.023376428874322</c:v>
                </c:pt>
                <c:pt idx="24">
                  <c:v>44.182057876552157</c:v>
                </c:pt>
                <c:pt idx="25">
                  <c:v>51.341352645956526</c:v>
                </c:pt>
                <c:pt idx="26">
                  <c:v>59.664298532021071</c:v>
                </c:pt>
                <c:pt idx="27">
                  <c:v>69.340568553547996</c:v>
                </c:pt>
                <c:pt idx="28">
                  <c:v>80.590832847134777</c:v>
                </c:pt>
                <c:pt idx="29">
                  <c:v>93.671836461268967</c:v>
                </c:pt>
                <c:pt idx="30">
                  <c:v>108.88231078423301</c:v>
                </c:pt>
                <c:pt idx="31">
                  <c:v>118.03208120289025</c:v>
                </c:pt>
                <c:pt idx="32">
                  <c:v>127.16454093707324</c:v>
                </c:pt>
                <c:pt idx="33">
                  <c:v>136.28111027557466</c:v>
                </c:pt>
                <c:pt idx="34">
                  <c:v>145.38300356865543</c:v>
                </c:pt>
                <c:pt idx="35">
                  <c:v>154.47127040505103</c:v>
                </c:pt>
                <c:pt idx="36">
                  <c:v>164.62257075242445</c:v>
                </c:pt>
                <c:pt idx="37">
                  <c:v>174.75908346315285</c:v>
                </c:pt>
                <c:pt idx="38">
                  <c:v>184.88178804027584</c:v>
                </c:pt>
                <c:pt idx="39">
                  <c:v>194.99154782254652</c:v>
                </c:pt>
                <c:pt idx="40">
                  <c:v>205.08912920241869</c:v>
                </c:pt>
                <c:pt idx="41">
                  <c:v>216.07167176294379</c:v>
                </c:pt>
                <c:pt idx="42">
                  <c:v>227.04137501930674</c:v>
                </c:pt>
                <c:pt idx="43">
                  <c:v>237.99894718169116</c:v>
                </c:pt>
                <c:pt idx="44">
                  <c:v>248.9450258663492</c:v>
                </c:pt>
                <c:pt idx="45">
                  <c:v>259.88018799430489</c:v>
                </c:pt>
                <c:pt idx="46">
                  <c:v>271.55455561199773</c:v>
                </c:pt>
                <c:pt idx="47">
                  <c:v>283.21763703149043</c:v>
                </c:pt>
                <c:pt idx="48">
                  <c:v>294.86996273477894</c:v>
                </c:pt>
                <c:pt idx="49">
                  <c:v>306.51201783346147</c:v>
                </c:pt>
                <c:pt idx="50">
                  <c:v>318.14424756196712</c:v>
                </c:pt>
                <c:pt idx="51">
                  <c:v>329.76706192494237</c:v>
                </c:pt>
                <c:pt idx="52">
                  <c:v>239.67683700392948</c:v>
                </c:pt>
                <c:pt idx="53">
                  <c:v>250.29218464838678</c:v>
                </c:pt>
                <c:pt idx="54">
                  <c:v>260.8973260680587</c:v>
                </c:pt>
                <c:pt idx="55">
                  <c:v>271.49273488667239</c:v>
                </c:pt>
                <c:pt idx="56">
                  <c:v>282.07884471495868</c:v>
                </c:pt>
                <c:pt idx="57">
                  <c:v>292.65605393833511</c:v>
                </c:pt>
                <c:pt idx="58">
                  <c:v>303.66796237794057</c:v>
                </c:pt>
                <c:pt idx="59">
                  <c:v>314.67098963455902</c:v>
                </c:pt>
                <c:pt idx="60">
                  <c:v>325.66549017002541</c:v>
                </c:pt>
                <c:pt idx="61">
                  <c:v>336.65179254781509</c:v>
                </c:pt>
                <c:pt idx="62">
                  <c:v>347.63020212685018</c:v>
                </c:pt>
                <c:pt idx="63">
                  <c:v>358.60100339709601</c:v>
                </c:pt>
                <c:pt idx="64">
                  <c:v>260.03231321547509</c:v>
                </c:pt>
                <c:pt idx="65">
                  <c:v>269.77193063297682</c:v>
                </c:pt>
                <c:pt idx="66">
                  <c:v>279.50363527600848</c:v>
                </c:pt>
                <c:pt idx="67">
                  <c:v>289.22774169786436</c:v>
                </c:pt>
                <c:pt idx="68">
                  <c:v>298.94454155777515</c:v>
                </c:pt>
                <c:pt idx="69">
                  <c:v>308.65430599336338</c:v>
                </c:pt>
                <c:pt idx="70">
                  <c:v>318.62294171430648</c:v>
                </c:pt>
                <c:pt idx="71">
                  <c:v>328.58467368958503</c:v>
                </c:pt>
                <c:pt idx="72">
                  <c:v>338.53974084807078</c:v>
                </c:pt>
                <c:pt idx="73">
                  <c:v>348.48836691199364</c:v>
                </c:pt>
                <c:pt idx="74">
                  <c:v>358.43076178064831</c:v>
                </c:pt>
                <c:pt idx="75">
                  <c:v>368.36712275248732</c:v>
                </c:pt>
                <c:pt idx="76">
                  <c:v>291.91671551884872</c:v>
                </c:pt>
                <c:pt idx="77">
                  <c:v>300.87214322749122</c:v>
                </c:pt>
                <c:pt idx="78">
                  <c:v>309.82163676754641</c:v>
                </c:pt>
                <c:pt idx="79">
                  <c:v>318.76539185761334</c:v>
                </c:pt>
                <c:pt idx="80">
                  <c:v>327.70359232869743</c:v>
                </c:pt>
                <c:pt idx="81">
                  <c:v>336.63641115786692</c:v>
                </c:pt>
                <c:pt idx="82">
                  <c:v>345.70364470995446</c:v>
                </c:pt>
                <c:pt idx="83">
                  <c:v>354.76565626068276</c:v>
                </c:pt>
                <c:pt idx="84">
                  <c:v>363.82259809116505</c:v>
                </c:pt>
                <c:pt idx="85">
                  <c:v>372.87461427751396</c:v>
                </c:pt>
                <c:pt idx="86">
                  <c:v>381.92184132571924</c:v>
                </c:pt>
                <c:pt idx="87">
                  <c:v>390.96440874320393</c:v>
                </c:pt>
                <c:pt idx="88">
                  <c:v>316.23957957327008</c:v>
                </c:pt>
                <c:pt idx="89">
                  <c:v>324.36731982730089</c:v>
                </c:pt>
                <c:pt idx="90">
                  <c:v>332.49055967837018</c:v>
                </c:pt>
                <c:pt idx="91">
                  <c:v>340.60942467657702</c:v>
                </c:pt>
                <c:pt idx="92">
                  <c:v>348.72403389340735</c:v>
                </c:pt>
                <c:pt idx="93">
                  <c:v>356.8345004023297</c:v>
                </c:pt>
                <c:pt idx="94">
                  <c:v>364.97803760821688</c:v>
                </c:pt>
                <c:pt idx="95">
                  <c:v>373.11760631918406</c:v>
                </c:pt>
                <c:pt idx="96">
                  <c:v>381.25330537802529</c:v>
                </c:pt>
                <c:pt idx="97">
                  <c:v>389.38522906199631</c:v>
                </c:pt>
                <c:pt idx="98">
                  <c:v>397.51346738672737</c:v>
                </c:pt>
                <c:pt idx="99">
                  <c:v>405.63810638397126</c:v>
                </c:pt>
                <c:pt idx="100">
                  <c:v>212.76508133047199</c:v>
                </c:pt>
                <c:pt idx="101">
                  <c:v>218.67199561794735</c:v>
                </c:pt>
                <c:pt idx="102">
                  <c:v>224.57524361030281</c:v>
                </c:pt>
                <c:pt idx="103">
                  <c:v>230.47493544221061</c:v>
                </c:pt>
                <c:pt idx="104">
                  <c:v>236.37117514013221</c:v>
                </c:pt>
                <c:pt idx="105">
                  <c:v>241.87202761852049</c:v>
                </c:pt>
                <c:pt idx="106">
                  <c:v>247.37003385573931</c:v>
                </c:pt>
                <c:pt idx="107">
                  <c:v>252.86526614443781</c:v>
                </c:pt>
                <c:pt idx="108">
                  <c:v>258.35779337351011</c:v>
                </c:pt>
                <c:pt idx="109">
                  <c:v>263.84768125895852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28500688"/>
        <c:axId val="-1828501232"/>
      </c:scatterChart>
      <c:valAx>
        <c:axId val="-18285006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8501232"/>
        <c:crosses val="autoZero"/>
        <c:crossBetween val="midCat"/>
      </c:valAx>
      <c:valAx>
        <c:axId val="-1828501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8500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3.0667377729618424</c:v>
                </c:pt>
                <c:pt idx="2">
                  <c:v>3.6476185573115179</c:v>
                </c:pt>
                <c:pt idx="3">
                  <c:v>4.3389300752052948</c:v>
                </c:pt>
                <c:pt idx="4">
                  <c:v>5.1617386995071506</c:v>
                </c:pt>
                <c:pt idx="5">
                  <c:v>6.1411424901631699</c:v>
                </c:pt>
                <c:pt idx="6">
                  <c:v>7.3070450851261457</c:v>
                </c:pt>
                <c:pt idx="7">
                  <c:v>8.6950785505114965</c:v>
                </c:pt>
                <c:pt idx="8">
                  <c:v>10.347703934203979</c:v>
                </c:pt>
                <c:pt idx="9">
                  <c:v>12.315523826598733</c:v>
                </c:pt>
                <c:pt idx="10">
                  <c:v>14.658847869138306</c:v>
                </c:pt>
                <c:pt idx="11">
                  <c:v>17.449560075033236</c:v>
                </c:pt>
                <c:pt idx="12">
                  <c:v>20.773346286961637</c:v>
                </c:pt>
                <c:pt idx="13">
                  <c:v>24.73235139219355</c:v>
                </c:pt>
                <c:pt idx="14">
                  <c:v>29.44834940314243</c:v>
                </c:pt>
                <c:pt idx="15">
                  <c:v>35.066525616899931</c:v>
                </c:pt>
                <c:pt idx="16">
                  <c:v>41.759989299912178</c:v>
                </c:pt>
                <c:pt idx="17">
                  <c:v>49.735158311794855</c:v>
                </c:pt>
                <c:pt idx="18">
                  <c:v>59.238184512018925</c:v>
                </c:pt>
                <c:pt idx="19">
                  <c:v>70.562621553066407</c:v>
                </c:pt>
                <c:pt idx="20">
                  <c:v>84.058575791096914</c:v>
                </c:pt>
                <c:pt idx="21">
                  <c:v>94.66015539957867</c:v>
                </c:pt>
                <c:pt idx="22">
                  <c:v>105.23211581110307</c:v>
                </c:pt>
                <c:pt idx="23">
                  <c:v>115.77785737197439</c:v>
                </c:pt>
                <c:pt idx="24">
                  <c:v>126.3001084825177</c:v>
                </c:pt>
                <c:pt idx="25">
                  <c:v>136.80110462853409</c:v>
                </c:pt>
                <c:pt idx="26">
                  <c:v>147.84876199460427</c:v>
                </c:pt>
                <c:pt idx="27">
                  <c:v>158.87671063222982</c:v>
                </c:pt>
                <c:pt idx="28">
                  <c:v>169.8865126993017</c:v>
                </c:pt>
                <c:pt idx="29">
                  <c:v>180.87951103274887</c:v>
                </c:pt>
                <c:pt idx="30">
                  <c:v>191.85687169464003</c:v>
                </c:pt>
                <c:pt idx="31">
                  <c:v>165.08950868398776</c:v>
                </c:pt>
                <c:pt idx="32">
                  <c:v>176.37151746908603</c:v>
                </c:pt>
                <c:pt idx="33">
                  <c:v>187.63659254471909</c:v>
                </c:pt>
                <c:pt idx="34">
                  <c:v>198.88589463565646</c:v>
                </c:pt>
                <c:pt idx="35">
                  <c:v>210.12044228813056</c:v>
                </c:pt>
                <c:pt idx="36">
                  <c:v>221.34113612269516</c:v>
                </c:pt>
                <c:pt idx="37">
                  <c:v>232.54877790391365</c:v>
                </c:pt>
                <c:pt idx="38">
                  <c:v>243.74408573623464</c:v>
                </c:pt>
                <c:pt idx="39">
                  <c:v>254.92770631847489</c:v>
                </c:pt>
                <c:pt idx="40">
                  <c:v>266.10022493300397</c:v>
                </c:pt>
                <c:pt idx="41">
                  <c:v>238.98754397231357</c:v>
                </c:pt>
                <c:pt idx="42">
                  <c:v>249.61690536823664</c:v>
                </c:pt>
                <c:pt idx="43">
                  <c:v>260.23600315922118</c:v>
                </c:pt>
                <c:pt idx="44">
                  <c:v>270.845315470147</c:v>
                </c:pt>
                <c:pt idx="45">
                  <c:v>281.44527988288496</c:v>
                </c:pt>
                <c:pt idx="46">
                  <c:v>291.47909319413736</c:v>
                </c:pt>
                <c:pt idx="47">
                  <c:v>301.50519318883562</c:v>
                </c:pt>
                <c:pt idx="48">
                  <c:v>311.52387268550723</c:v>
                </c:pt>
                <c:pt idx="49">
                  <c:v>321.53540411888031</c:v>
                </c:pt>
                <c:pt idx="50">
                  <c:v>331.5400415630956</c:v>
                </c:pt>
                <c:pt idx="51">
                  <c:v>300.94838491458546</c:v>
                </c:pt>
                <c:pt idx="52">
                  <c:v>310.68925937475251</c:v>
                </c:pt>
                <c:pt idx="53">
                  <c:v>320.42335667893747</c:v>
                </c:pt>
                <c:pt idx="54">
                  <c:v>330.15091186556998</c:v>
                </c:pt>
                <c:pt idx="55">
                  <c:v>339.87214498368684</c:v>
                </c:pt>
                <c:pt idx="56">
                  <c:v>349.03227419847917</c:v>
                </c:pt>
                <c:pt idx="57">
                  <c:v>358.18712972168026</c:v>
                </c:pt>
                <c:pt idx="58">
                  <c:v>367.33686542984861</c:v>
                </c:pt>
                <c:pt idx="59">
                  <c:v>376.48162690394952</c:v>
                </c:pt>
                <c:pt idx="60">
                  <c:v>385.62155207159208</c:v>
                </c:pt>
                <c:pt idx="61">
                  <c:v>352.63935325702045</c:v>
                </c:pt>
                <c:pt idx="62">
                  <c:v>361.23760313932479</c:v>
                </c:pt>
                <c:pt idx="63">
                  <c:v>369.83137866172916</c:v>
                </c:pt>
                <c:pt idx="64">
                  <c:v>378.42079852394346</c:v>
                </c:pt>
                <c:pt idx="65">
                  <c:v>387.00597559413131</c:v>
                </c:pt>
                <c:pt idx="66">
                  <c:v>395.310273009897</c:v>
                </c:pt>
                <c:pt idx="67">
                  <c:v>403.61079048000937</c:v>
                </c:pt>
                <c:pt idx="68">
                  <c:v>411.90761674960095</c:v>
                </c:pt>
                <c:pt idx="69">
                  <c:v>420.20083669504334</c:v>
                </c:pt>
                <c:pt idx="70">
                  <c:v>428.49053156729536</c:v>
                </c:pt>
                <c:pt idx="71">
                  <c:v>395.86375743638081</c:v>
                </c:pt>
                <c:pt idx="72">
                  <c:v>403.33416651532389</c:v>
                </c:pt>
                <c:pt idx="73">
                  <c:v>410.80158342705113</c:v>
                </c:pt>
                <c:pt idx="74">
                  <c:v>418.26607027023982</c:v>
                </c:pt>
                <c:pt idx="75">
                  <c:v>425.72768674484331</c:v>
                </c:pt>
                <c:pt idx="76">
                  <c:v>432.91028781367299</c:v>
                </c:pt>
                <c:pt idx="77">
                  <c:v>440.09032987714409</c:v>
                </c:pt>
                <c:pt idx="78">
                  <c:v>447.26786059968907</c:v>
                </c:pt>
                <c:pt idx="79">
                  <c:v>454.44292599024499</c:v>
                </c:pt>
                <c:pt idx="80">
                  <c:v>461.61557048555801</c:v>
                </c:pt>
                <c:pt idx="81">
                  <c:v>429.87181017795359</c:v>
                </c:pt>
                <c:pt idx="82">
                  <c:v>436.77677921543108</c:v>
                </c:pt>
                <c:pt idx="83">
                  <c:v>443.67940624267703</c:v>
                </c:pt>
                <c:pt idx="84">
                  <c:v>450.57973285875249</c:v>
                </c:pt>
                <c:pt idx="85">
                  <c:v>457.47779928386586</c:v>
                </c:pt>
                <c:pt idx="86">
                  <c:v>463.82205766289138</c:v>
                </c:pt>
                <c:pt idx="87">
                  <c:v>470.16446532159807</c:v>
                </c:pt>
                <c:pt idx="88">
                  <c:v>476.50505076310088</c:v>
                </c:pt>
                <c:pt idx="89">
                  <c:v>482.84384166962627</c:v>
                </c:pt>
                <c:pt idx="90">
                  <c:v>489.1808649368582</c:v>
                </c:pt>
                <c:pt idx="91">
                  <c:v>459.68470957755443</c:v>
                </c:pt>
                <c:pt idx="92">
                  <c:v>466.02832094214745</c:v>
                </c:pt>
                <c:pt idx="93">
                  <c:v>472.37009159588246</c:v>
                </c:pt>
                <c:pt idx="94">
                  <c:v>478.7100497523291</c:v>
                </c:pt>
                <c:pt idx="95">
                  <c:v>485.04822281633693</c:v>
                </c:pt>
                <c:pt idx="96">
                  <c:v>490.83371399003272</c:v>
                </c:pt>
                <c:pt idx="97">
                  <c:v>496.61775896018366</c:v>
                </c:pt>
                <c:pt idx="98">
                  <c:v>502.4003769569145</c:v>
                </c:pt>
                <c:pt idx="99">
                  <c:v>508.18158673130102</c:v>
                </c:pt>
                <c:pt idx="100">
                  <c:v>513.96140657273838</c:v>
                </c:pt>
                <c:pt idx="101">
                  <c:v>484.77268682974017</c:v>
                </c:pt>
                <c:pt idx="102">
                  <c:v>490.00730424865037</c:v>
                </c:pt>
                <c:pt idx="103">
                  <c:v>495.24073553836797</c:v>
                </c:pt>
                <c:pt idx="104">
                  <c:v>500.47299501013646</c:v>
                </c:pt>
                <c:pt idx="105">
                  <c:v>505.70409665135247</c:v>
                </c:pt>
                <c:pt idx="106">
                  <c:v>510.93405413624191</c:v>
                </c:pt>
                <c:pt idx="107">
                  <c:v>516.16288083607753</c:v>
                </c:pt>
                <c:pt idx="108">
                  <c:v>521.39058982896074</c:v>
                </c:pt>
                <c:pt idx="109">
                  <c:v>526.61719390918779</c:v>
                </c:pt>
                <c:pt idx="110">
                  <c:v>531.84270559622871</c:v>
                </c:pt>
                <c:pt idx="111">
                  <c:v>537.06713714333148</c:v>
                </c:pt>
                <c:pt idx="112">
                  <c:v>542.29050054577613</c:v>
                </c:pt>
                <c:pt idx="113">
                  <c:v>547.51280754879269</c:v>
                </c:pt>
                <c:pt idx="114">
                  <c:v>552.73406965516199</c:v>
                </c:pt>
                <c:pt idx="115">
                  <c:v>557.95429813251428</c:v>
                </c:pt>
                <c:pt idx="116">
                  <c:v>517.17182359337812</c:v>
                </c:pt>
                <c:pt idx="117">
                  <c:v>521.75740496367564</c:v>
                </c:pt>
                <c:pt idx="118">
                  <c:v>526.34213682645907</c:v>
                </c:pt>
                <c:pt idx="119">
                  <c:v>530.92602763024536</c:v>
                </c:pt>
                <c:pt idx="120">
                  <c:v>535.50908566567216</c:v>
                </c:pt>
                <c:pt idx="121">
                  <c:v>540.09131906980429</c:v>
                </c:pt>
                <c:pt idx="122">
                  <c:v>544.672735830286</c:v>
                </c:pt>
                <c:pt idx="123">
                  <c:v>549.25334378934701</c:v>
                </c:pt>
                <c:pt idx="124">
                  <c:v>553.83315064766691</c:v>
                </c:pt>
                <c:pt idx="125">
                  <c:v>558.41216396810557</c:v>
                </c:pt>
                <c:pt idx="126">
                  <c:v>562.99039117930533</c:v>
                </c:pt>
                <c:pt idx="127">
                  <c:v>567.56783957916821</c:v>
                </c:pt>
                <c:pt idx="128">
                  <c:v>572.14451633821761</c:v>
                </c:pt>
                <c:pt idx="129">
                  <c:v>576.72042850284402</c:v>
                </c:pt>
                <c:pt idx="130">
                  <c:v>581.29558299844427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28499056"/>
        <c:axId val="-1828498512"/>
      </c:scatterChart>
      <c:valAx>
        <c:axId val="-1828499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8498512"/>
        <c:crosses val="autoZero"/>
        <c:crossBetween val="midCat"/>
      </c:valAx>
      <c:valAx>
        <c:axId val="-182849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8499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3.1576414327245192</c:v>
                </c:pt>
                <c:pt idx="2">
                  <c:v>3.7557997112480344</c:v>
                </c:pt>
                <c:pt idx="3">
                  <c:v>4.4676839367713423</c:v>
                </c:pt>
                <c:pt idx="4">
                  <c:v>5.3149909897624239</c:v>
                </c:pt>
                <c:pt idx="5">
                  <c:v>6.3235704417866758</c:v>
                </c:pt>
                <c:pt idx="6">
                  <c:v>7.5242217332785373</c:v>
                </c:pt>
                <c:pt idx="7">
                  <c:v>8.9536448034116152</c:v>
                </c:pt>
                <c:pt idx="8">
                  <c:v>10.655573785131358</c:v>
                </c:pt>
                <c:pt idx="9">
                  <c:v>12.682129106252026</c:v>
                </c:pt>
                <c:pt idx="10">
                  <c:v>15.095430175562756</c:v>
                </c:pt>
                <c:pt idx="11">
                  <c:v>17.969518996727786</c:v>
                </c:pt>
                <c:pt idx="12">
                  <c:v>21.3926547999347</c:v>
                </c:pt>
                <c:pt idx="13">
                  <c:v>25.470051419378432</c:v>
                </c:pt>
                <c:pt idx="14">
                  <c:v>30.327143041278173</c:v>
                </c:pt>
                <c:pt idx="15">
                  <c:v>36.113480541259463</c:v>
                </c:pt>
                <c:pt idx="16">
                  <c:v>43.007380446132458</c:v>
                </c:pt>
                <c:pt idx="17">
                  <c:v>51.221472220053933</c:v>
                </c:pt>
                <c:pt idx="18">
                  <c:v>61.009317837551897</c:v>
                </c:pt>
                <c:pt idx="19">
                  <c:v>72.673311360581707</c:v>
                </c:pt>
                <c:pt idx="20">
                  <c:v>86.574106552703938</c:v>
                </c:pt>
                <c:pt idx="21">
                  <c:v>97.493815618109565</c:v>
                </c:pt>
                <c:pt idx="22">
                  <c:v>108.3831016347627</c:v>
                </c:pt>
                <c:pt idx="23">
                  <c:v>119.24545723284972</c:v>
                </c:pt>
                <c:pt idx="24">
                  <c:v>130.08368486026362</c:v>
                </c:pt>
                <c:pt idx="25">
                  <c:v>140.90008067289321</c:v>
                </c:pt>
                <c:pt idx="26">
                  <c:v>152.27961748590789</c:v>
                </c:pt>
                <c:pt idx="27">
                  <c:v>163.63891068437815</c:v>
                </c:pt>
                <c:pt idx="28">
                  <c:v>174.97956482246332</c:v>
                </c:pt>
                <c:pt idx="29">
                  <c:v>186.30295918108774</c:v>
                </c:pt>
                <c:pt idx="30">
                  <c:v>197.61029146872451</c:v>
                </c:pt>
                <c:pt idx="31">
                  <c:v>170.03840132928266</c:v>
                </c:pt>
                <c:pt idx="32">
                  <c:v>181.65947157363232</c:v>
                </c:pt>
                <c:pt idx="33">
                  <c:v>193.26314853519432</c:v>
                </c:pt>
                <c:pt idx="34">
                  <c:v>204.85062444029083</c:v>
                </c:pt>
                <c:pt idx="35">
                  <c:v>216.42294547804465</c:v>
                </c:pt>
                <c:pt idx="36">
                  <c:v>227.98103671144975</c:v>
                </c:pt>
                <c:pt idx="37">
                  <c:v>239.52572166460229</c:v>
                </c:pt>
                <c:pt idx="38">
                  <c:v>251.05773793098513</c:v>
                </c:pt>
                <c:pt idx="39">
                  <c:v>262.57774976053264</c:v>
                </c:pt>
                <c:pt idx="40">
                  <c:v>274.08635831991677</c:v>
                </c:pt>
                <c:pt idx="41">
                  <c:v>246.15813481665387</c:v>
                </c:pt>
                <c:pt idx="42">
                  <c:v>257.10720147413707</c:v>
                </c:pt>
                <c:pt idx="43">
                  <c:v>268.04572597702139</c:v>
                </c:pt>
                <c:pt idx="44">
                  <c:v>278.97419942628261</c:v>
                </c:pt>
                <c:pt idx="45">
                  <c:v>289.89307127956818</c:v>
                </c:pt>
                <c:pt idx="46">
                  <c:v>300.2287833043473</c:v>
                </c:pt>
                <c:pt idx="47">
                  <c:v>310.55657267660109</c:v>
                </c:pt>
                <c:pt idx="48">
                  <c:v>320.8767401618216</c:v>
                </c:pt>
                <c:pt idx="49">
                  <c:v>331.18956558849356</c:v>
                </c:pt>
                <c:pt idx="50">
                  <c:v>341.49530992621681</c:v>
                </c:pt>
                <c:pt idx="51">
                  <c:v>309.98300923549442</c:v>
                </c:pt>
                <c:pt idx="52">
                  <c:v>320.01701036010542</c:v>
                </c:pt>
                <c:pt idx="53">
                  <c:v>330.04405039974381</c:v>
                </c:pt>
                <c:pt idx="54">
                  <c:v>340.06437077167715</c:v>
                </c:pt>
                <c:pt idx="55">
                  <c:v>350.07819749697484</c:v>
                </c:pt>
                <c:pt idx="56">
                  <c:v>359.51404857063443</c:v>
                </c:pt>
                <c:pt idx="57">
                  <c:v>368.94448282706475</c:v>
                </c:pt>
                <c:pt idx="58">
                  <c:v>378.369658318966</c:v>
                </c:pt>
                <c:pt idx="59">
                  <c:v>387.7897245783056</c:v>
                </c:pt>
                <c:pt idx="60">
                  <c:v>397.20482327598666</c:v>
                </c:pt>
                <c:pt idx="61">
                  <c:v>363.22970579716235</c:v>
                </c:pt>
                <c:pt idx="62">
                  <c:v>372.08678474521804</c:v>
                </c:pt>
                <c:pt idx="63">
                  <c:v>380.93926790124192</c:v>
                </c:pt>
                <c:pt idx="64">
                  <c:v>389.78727718640067</c:v>
                </c:pt>
                <c:pt idx="65">
                  <c:v>398.63092853204972</c:v>
                </c:pt>
                <c:pt idx="66">
                  <c:v>407.18525545541297</c:v>
                </c:pt>
                <c:pt idx="67">
                  <c:v>415.73569984708359</c:v>
                </c:pt>
                <c:pt idx="68">
                  <c:v>424.28235286069776</c:v>
                </c:pt>
                <c:pt idx="69">
                  <c:v>432.82530167613362</c:v>
                </c:pt>
                <c:pt idx="70">
                  <c:v>441.36462974946488</c:v>
                </c:pt>
                <c:pt idx="71">
                  <c:v>407.75540484100753</c:v>
                </c:pt>
                <c:pt idx="72">
                  <c:v>415.45074661205581</c:v>
                </c:pt>
                <c:pt idx="73">
                  <c:v>423.14301500980469</c:v>
                </c:pt>
                <c:pt idx="74">
                  <c:v>430.83227381826168</c:v>
                </c:pt>
                <c:pt idx="75">
                  <c:v>438.51858435761028</c:v>
                </c:pt>
                <c:pt idx="76">
                  <c:v>445.91748531819809</c:v>
                </c:pt>
                <c:pt idx="77">
                  <c:v>453.31375782316337</c:v>
                </c:pt>
                <c:pt idx="78">
                  <c:v>460.70745083052981</c:v>
                </c:pt>
                <c:pt idx="79">
                  <c:v>468.09861159789665</c:v>
                </c:pt>
                <c:pt idx="80">
                  <c:v>475.48728576800335</c:v>
                </c:pt>
                <c:pt idx="81">
                  <c:v>442.78750474214127</c:v>
                </c:pt>
                <c:pt idx="82">
                  <c:v>449.90041704255503</c:v>
                </c:pt>
                <c:pt idx="83">
                  <c:v>457.01092377162405</c:v>
                </c:pt>
                <c:pt idx="84">
                  <c:v>464.11906765738928</c:v>
                </c:pt>
                <c:pt idx="85">
                  <c:v>471.22489001161802</c:v>
                </c:pt>
                <c:pt idx="86">
                  <c:v>477.76023057775632</c:v>
                </c:pt>
                <c:pt idx="87">
                  <c:v>484.2936701958518</c:v>
                </c:pt>
                <c:pt idx="88">
                  <c:v>490.82523814258121</c:v>
                </c:pt>
                <c:pt idx="89">
                  <c:v>497.35496285145433</c:v>
                </c:pt>
                <c:pt idx="90">
                  <c:v>503.8828719480918</c:v>
                </c:pt>
                <c:pt idx="91">
                  <c:v>473.49826942091528</c:v>
                </c:pt>
                <c:pt idx="92">
                  <c:v>480.0329454129382</c:v>
                </c:pt>
                <c:pt idx="93">
                  <c:v>486.56573073803094</c:v>
                </c:pt>
                <c:pt idx="94">
                  <c:v>493.09665437546772</c:v>
                </c:pt>
                <c:pt idx="95">
                  <c:v>499.62574447385276</c:v>
                </c:pt>
                <c:pt idx="96">
                  <c:v>505.58550950328885</c:v>
                </c:pt>
                <c:pt idx="97">
                  <c:v>511.5437890798608</c:v>
                </c:pt>
                <c:pt idx="98">
                  <c:v>517.50060295559058</c:v>
                </c:pt>
                <c:pt idx="99">
                  <c:v>523.45597039044981</c:v>
                </c:pt>
                <c:pt idx="100">
                  <c:v>529.40991017019951</c:v>
                </c:pt>
                <c:pt idx="101">
                  <c:v>499.34190874415384</c:v>
                </c:pt>
                <c:pt idx="102">
                  <c:v>504.73420591215904</c:v>
                </c:pt>
                <c:pt idx="103">
                  <c:v>510.12528475995447</c:v>
                </c:pt>
                <c:pt idx="104">
                  <c:v>515.51515998718435</c:v>
                </c:pt>
                <c:pt idx="105">
                  <c:v>520.90384596085676</c:v>
                </c:pt>
                <c:pt idx="106">
                  <c:v>526.29135672631037</c:v>
                </c:pt>
                <c:pt idx="107">
                  <c:v>531.67770601770837</c:v>
                </c:pt>
                <c:pt idx="108">
                  <c:v>537.06290726808527</c:v>
                </c:pt>
                <c:pt idx="109">
                  <c:v>542.44697361896976</c:v>
                </c:pt>
                <c:pt idx="110">
                  <c:v>547.82991792960388</c:v>
                </c:pt>
                <c:pt idx="111">
                  <c:v>553.2117527857838</c:v>
                </c:pt>
                <c:pt idx="112">
                  <c:v>558.59249050833591</c:v>
                </c:pt>
                <c:pt idx="113">
                  <c:v>563.97214316125064</c:v>
                </c:pt>
                <c:pt idx="114">
                  <c:v>569.35072255948921</c:v>
                </c:pt>
                <c:pt idx="115">
                  <c:v>574.72824027648028</c:v>
                </c:pt>
                <c:pt idx="116">
                  <c:v>532.71704436894174</c:v>
                </c:pt>
                <c:pt idx="117">
                  <c:v>537.4407733610434</c:v>
                </c:pt>
                <c:pt idx="118">
                  <c:v>542.16362979037581</c:v>
                </c:pt>
                <c:pt idx="119">
                  <c:v>546.88562233474534</c:v>
                </c:pt>
                <c:pt idx="120">
                  <c:v>551.60675950979328</c:v>
                </c:pt>
                <c:pt idx="121">
                  <c:v>556.32704967342102</c:v>
                </c:pt>
                <c:pt idx="122">
                  <c:v>561.04650103005395</c:v>
                </c:pt>
                <c:pt idx="123">
                  <c:v>565.76512163475638</c:v>
                </c:pt>
                <c:pt idx="124">
                  <c:v>570.48291939720082</c:v>
                </c:pt>
                <c:pt idx="125">
                  <c:v>575.19990208549996</c:v>
                </c:pt>
                <c:pt idx="126">
                  <c:v>579.91607732990553</c:v>
                </c:pt>
                <c:pt idx="127">
                  <c:v>584.63145262638261</c:v>
                </c:pt>
                <c:pt idx="128">
                  <c:v>589.34603534005839</c:v>
                </c:pt>
                <c:pt idx="129">
                  <c:v>594.05983270855927</c:v>
                </c:pt>
                <c:pt idx="130">
                  <c:v>598.77285184523487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28497424"/>
        <c:axId val="-1828497968"/>
      </c:scatterChart>
      <c:valAx>
        <c:axId val="-18284974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8497968"/>
        <c:crosses val="autoZero"/>
        <c:crossBetween val="midCat"/>
      </c:valAx>
      <c:valAx>
        <c:axId val="-182849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8497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2.5674081613595483</c:v>
                </c:pt>
                <c:pt idx="2">
                  <c:v>2.9509973995419365</c:v>
                </c:pt>
                <c:pt idx="3">
                  <c:v>3.3921035249964064</c:v>
                </c:pt>
                <c:pt idx="4">
                  <c:v>3.8993800326575379</c:v>
                </c:pt>
                <c:pt idx="5">
                  <c:v>4.4827864698435551</c:v>
                </c:pt>
                <c:pt idx="6">
                  <c:v>5.1537861360321822</c:v>
                </c:pt>
                <c:pt idx="7">
                  <c:v>5.9255737902693291</c:v>
                </c:pt>
                <c:pt idx="8">
                  <c:v>6.8133379322758998</c:v>
                </c:pt>
                <c:pt idx="9">
                  <c:v>7.834562919695732</c:v>
                </c:pt>
                <c:pt idx="10">
                  <c:v>9.0093769867322209</c:v>
                </c:pt>
                <c:pt idx="11">
                  <c:v>10.360953154948495</c:v>
                </c:pt>
                <c:pt idx="12">
                  <c:v>11.915971094051232</c:v>
                </c:pt>
                <c:pt idx="13">
                  <c:v>13.705149220720239</c:v>
                </c:pt>
                <c:pt idx="14">
                  <c:v>15.763857741989639</c:v>
                </c:pt>
                <c:pt idx="15">
                  <c:v>18.132824985174668</c:v>
                </c:pt>
                <c:pt idx="16">
                  <c:v>20.858951242140964</c:v>
                </c:pt>
                <c:pt idx="17">
                  <c:v>23.996246530208428</c:v>
                </c:pt>
                <c:pt idx="18">
                  <c:v>27.606911179441123</c:v>
                </c:pt>
                <c:pt idx="19">
                  <c:v>31.762581047569586</c:v>
                </c:pt>
                <c:pt idx="20">
                  <c:v>36.545762498237771</c:v>
                </c:pt>
                <c:pt idx="21">
                  <c:v>51.452977619505397</c:v>
                </c:pt>
                <c:pt idx="22">
                  <c:v>66.244820001279194</c:v>
                </c:pt>
                <c:pt idx="23">
                  <c:v>80.950986488725476</c:v>
                </c:pt>
                <c:pt idx="24">
                  <c:v>95.589333040289148</c:v>
                </c:pt>
                <c:pt idx="25">
                  <c:v>110.1717474820732</c:v>
                </c:pt>
                <c:pt idx="26">
                  <c:v>124.32474628741488</c:v>
                </c:pt>
                <c:pt idx="27">
                  <c:v>138.43860238853472</c:v>
                </c:pt>
                <c:pt idx="28">
                  <c:v>152.51787303662658</c:v>
                </c:pt>
                <c:pt idx="29">
                  <c:v>166.56620334791356</c:v>
                </c:pt>
                <c:pt idx="30">
                  <c:v>180.58657218998465</c:v>
                </c:pt>
                <c:pt idx="31">
                  <c:v>134.24638938649051</c:v>
                </c:pt>
                <c:pt idx="32">
                  <c:v>146.81397834828738</c:v>
                </c:pt>
                <c:pt idx="33">
                  <c:v>159.35586286360197</c:v>
                </c:pt>
                <c:pt idx="34">
                  <c:v>171.87435267338171</c:v>
                </c:pt>
                <c:pt idx="35">
                  <c:v>184.37139305479852</c:v>
                </c:pt>
                <c:pt idx="36">
                  <c:v>194.95936423701301</c:v>
                </c:pt>
                <c:pt idx="37">
                  <c:v>205.53397529366748</c:v>
                </c:pt>
                <c:pt idx="38">
                  <c:v>216.09601105321735</c:v>
                </c:pt>
                <c:pt idx="39">
                  <c:v>226.64617327952342</c:v>
                </c:pt>
                <c:pt idx="40">
                  <c:v>237.18509300501162</c:v>
                </c:pt>
                <c:pt idx="41">
                  <c:v>193.82559249840713</c:v>
                </c:pt>
                <c:pt idx="42">
                  <c:v>203.26907123098991</c:v>
                </c:pt>
                <c:pt idx="43">
                  <c:v>212.70239804910193</c:v>
                </c:pt>
                <c:pt idx="44">
                  <c:v>222.12608711761615</c:v>
                </c:pt>
                <c:pt idx="45">
                  <c:v>231.54060536306474</c:v>
                </c:pt>
                <c:pt idx="46">
                  <c:v>239.44202608060968</c:v>
                </c:pt>
                <c:pt idx="47">
                  <c:v>247.3375095024121</c:v>
                </c:pt>
                <c:pt idx="48">
                  <c:v>255.22727211134475</c:v>
                </c:pt>
                <c:pt idx="49">
                  <c:v>263.11151589765069</c:v>
                </c:pt>
                <c:pt idx="50">
                  <c:v>270.99042974399339</c:v>
                </c:pt>
                <c:pt idx="51">
                  <c:v>230.41133295181569</c:v>
                </c:pt>
                <c:pt idx="52">
                  <c:v>236.80889001154424</c:v>
                </c:pt>
                <c:pt idx="53">
                  <c:v>243.20250692836794</c:v>
                </c:pt>
                <c:pt idx="54">
                  <c:v>249.59230205465974</c:v>
                </c:pt>
                <c:pt idx="55">
                  <c:v>255.97838717928323</c:v>
                </c:pt>
                <c:pt idx="56">
                  <c:v>261.98552595095452</c:v>
                </c:pt>
                <c:pt idx="57">
                  <c:v>267.98955571724849</c:v>
                </c:pt>
                <c:pt idx="58">
                  <c:v>273.99055606211817</c:v>
                </c:pt>
                <c:pt idx="59">
                  <c:v>279.98860279382745</c:v>
                </c:pt>
                <c:pt idx="60">
                  <c:v>285.98376820295493</c:v>
                </c:pt>
                <c:pt idx="61">
                  <c:v>260.85942671475146</c:v>
                </c:pt>
                <c:pt idx="62">
                  <c:v>265.73840375453756</c:v>
                </c:pt>
                <c:pt idx="63">
                  <c:v>270.61536157536972</c:v>
                </c:pt>
                <c:pt idx="64">
                  <c:v>275.49034176419678</c:v>
                </c:pt>
                <c:pt idx="65">
                  <c:v>280.36338431358672</c:v>
                </c:pt>
                <c:pt idx="66">
                  <c:v>284.48524314677434</c:v>
                </c:pt>
                <c:pt idx="67">
                  <c:v>288.60576477216398</c:v>
                </c:pt>
                <c:pt idx="68">
                  <c:v>292.72497100977245</c:v>
                </c:pt>
                <c:pt idx="69">
                  <c:v>296.84288301434077</c:v>
                </c:pt>
                <c:pt idx="70">
                  <c:v>300.95952130477946</c:v>
                </c:pt>
                <c:pt idx="71">
                  <c:v>283.73591438004922</c:v>
                </c:pt>
                <c:pt idx="72">
                  <c:v>287.107546598586</c:v>
                </c:pt>
                <c:pt idx="73">
                  <c:v>290.47829302179042</c:v>
                </c:pt>
                <c:pt idx="74">
                  <c:v>293.84816539917762</c:v>
                </c:pt>
                <c:pt idx="75">
                  <c:v>297.21717518827523</c:v>
                </c:pt>
                <c:pt idx="76">
                  <c:v>300.5853335651845</c:v>
                </c:pt>
                <c:pt idx="77">
                  <c:v>303.95265143464218</c:v>
                </c:pt>
                <c:pt idx="78">
                  <c:v>307.31913943961314</c:v>
                </c:pt>
                <c:pt idx="79">
                  <c:v>310.68480797043952</c:v>
                </c:pt>
                <c:pt idx="80">
                  <c:v>314.04966717357325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28499600"/>
        <c:axId val="-1828502864"/>
      </c:scatterChart>
      <c:valAx>
        <c:axId val="-18284996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8502864"/>
        <c:crosses val="autoZero"/>
        <c:crossBetween val="midCat"/>
      </c:valAx>
      <c:valAx>
        <c:axId val="-18285028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8499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7" zoomScaleNormal="40" workbookViewId="0">
      <selection activeCell="C26" sqref="C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90</v>
      </c>
      <c r="C9" s="35">
        <v>0.22159999999999999</v>
      </c>
      <c r="D9" s="36">
        <f t="shared" ref="D9:D18" si="0">C9*$C$5</f>
        <v>0.81991999999999998</v>
      </c>
      <c r="E9" s="37">
        <v>89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39</v>
      </c>
      <c r="C10" s="35">
        <v>0.1784</v>
      </c>
      <c r="D10" s="36">
        <f t="shared" si="0"/>
        <v>0.66008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52</v>
      </c>
      <c r="C11" s="35">
        <v>0.12970000000000001</v>
      </c>
      <c r="D11" s="36">
        <f t="shared" si="0"/>
        <v>0.47989000000000004</v>
      </c>
      <c r="E11" s="37">
        <v>130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17</v>
      </c>
      <c r="C12" s="35">
        <v>0.12970000000000001</v>
      </c>
      <c r="D12" s="36">
        <f t="shared" si="0"/>
        <v>0.47989000000000004</v>
      </c>
      <c r="E12" s="37">
        <v>100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102</v>
      </c>
      <c r="C13" s="35">
        <v>0.1</v>
      </c>
      <c r="D13" s="36">
        <f t="shared" si="0"/>
        <v>0.37000000000000005</v>
      </c>
      <c r="E13" s="37">
        <v>130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164</v>
      </c>
      <c r="C14" s="35">
        <v>8.9200000000000002E-2</v>
      </c>
      <c r="D14" s="36">
        <f t="shared" si="0"/>
        <v>0.33004</v>
      </c>
      <c r="E14" s="37">
        <v>109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12</v>
      </c>
      <c r="C15" s="35">
        <v>4.0500000000000001E-2</v>
      </c>
      <c r="D15" s="36">
        <f t="shared" si="0"/>
        <v>0.14985000000000001</v>
      </c>
      <c r="E15" s="37">
        <v>130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9</v>
      </c>
      <c r="C16" s="35">
        <v>4.0500000000000001E-2</v>
      </c>
      <c r="D16" s="36">
        <f t="shared" si="0"/>
        <v>0.14985000000000001</v>
      </c>
      <c r="E16" s="37">
        <v>130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21</v>
      </c>
      <c r="C17" s="35">
        <v>4.0599999999999997E-2</v>
      </c>
      <c r="D17" s="36">
        <f t="shared" si="0"/>
        <v>0.15021999999999999</v>
      </c>
      <c r="E17" s="37">
        <v>80</v>
      </c>
      <c r="F17" s="38" t="str">
        <f t="array" ref="F17">IF(E17="","",IF(INDEX(A:A,MAX(IF(ISNUMBER($A$244:$A$263),ROW($A$244:$A$263),"")))&lt;&gt;E17,"Corrigez : révolution incorrecte","OK"))</f>
        <v>OK</v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0.97019999999999995</v>
      </c>
      <c r="D19" s="41">
        <f>SUM(D9:D18)</f>
        <v>3.5897399999999999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d'Alep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3">
        <f>27.35/1.3</f>
        <v>21.03846153846154</v>
      </c>
      <c r="C36" s="63"/>
      <c r="D36" s="63"/>
      <c r="E36" s="54"/>
      <c r="F36" s="54"/>
      <c r="G36" s="54"/>
      <c r="H36" s="54"/>
      <c r="I36" s="52">
        <f>IFERROR(B36/A36,"")</f>
        <v>1.4025641025641027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3">
        <f>47.03/1.3</f>
        <v>36.176923076923075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3.0276923076923068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f>76.1/1.3</f>
        <v>58.538461538461533</v>
      </c>
      <c r="C38" s="63"/>
      <c r="D38" s="63"/>
      <c r="E38" s="54"/>
      <c r="F38" s="54"/>
      <c r="G38" s="54"/>
      <c r="H38" s="54"/>
      <c r="I38" s="56">
        <f t="shared" si="1"/>
        <v>4.4723076923076919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f>112.67/1.3</f>
        <v>86.669230769230765</v>
      </c>
      <c r="C39" s="63"/>
      <c r="D39" s="63"/>
      <c r="E39" s="54"/>
      <c r="F39" s="54"/>
      <c r="G39" s="54"/>
      <c r="H39" s="54"/>
      <c r="I39" s="52">
        <f t="shared" si="1"/>
        <v>5.6261538461538461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36</v>
      </c>
      <c r="B40" s="63">
        <f>163.63/1.3</f>
        <v>125.86923076923077</v>
      </c>
      <c r="C40" s="63">
        <v>1</v>
      </c>
      <c r="D40" s="63">
        <f>45.36/1.3</f>
        <v>34.892307692307689</v>
      </c>
      <c r="E40" s="54"/>
      <c r="F40" s="54"/>
      <c r="G40" s="54"/>
      <c r="H40" s="54"/>
      <c r="I40" s="52">
        <f t="shared" si="1"/>
        <v>6.5333333333333341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44</v>
      </c>
      <c r="B41" s="63">
        <f>180.21/1.3</f>
        <v>138.62307692307692</v>
      </c>
      <c r="C41" s="63"/>
      <c r="D41" s="63"/>
      <c r="E41" s="54"/>
      <c r="F41" s="54"/>
      <c r="G41" s="54"/>
      <c r="H41" s="54"/>
      <c r="I41" s="56">
        <f t="shared" si="1"/>
        <v>5.9557692307692314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63">
        <v>52</v>
      </c>
      <c r="B42" s="63">
        <f>247.56/1.3</f>
        <v>190.43076923076922</v>
      </c>
      <c r="C42" s="63">
        <v>2</v>
      </c>
      <c r="D42" s="63">
        <f>100.24/1.3</f>
        <v>77.107692307692304</v>
      </c>
      <c r="E42" s="54"/>
      <c r="F42" s="54"/>
      <c r="G42" s="54"/>
      <c r="H42" s="54"/>
      <c r="I42" s="56">
        <f t="shared" si="1"/>
        <v>6.4759615384615365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63">
        <v>59</v>
      </c>
      <c r="B43" s="63">
        <f>192.41/1.3</f>
        <v>148.00769230769231</v>
      </c>
      <c r="C43" s="63"/>
      <c r="D43" s="63"/>
      <c r="E43" s="54"/>
      <c r="F43" s="54"/>
      <c r="G43" s="54"/>
      <c r="H43" s="54"/>
      <c r="I43" s="52">
        <f t="shared" si="1"/>
        <v>4.9549450549450569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63">
        <v>66</v>
      </c>
      <c r="B44" s="63">
        <f>239.72/1.3</f>
        <v>184.4</v>
      </c>
      <c r="C44" s="63"/>
      <c r="D44" s="63"/>
      <c r="E44" s="54"/>
      <c r="F44" s="54"/>
      <c r="G44" s="54"/>
      <c r="H44" s="54"/>
      <c r="I44" s="52">
        <f t="shared" si="1"/>
        <v>5.1989010989010991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63">
        <v>74</v>
      </c>
      <c r="B45" s="63">
        <f>295.65/1.3</f>
        <v>227.42307692307691</v>
      </c>
      <c r="C45" s="63">
        <v>3</v>
      </c>
      <c r="D45" s="63">
        <f>149.39/1.3</f>
        <v>114.9153846153846</v>
      </c>
      <c r="E45" s="54"/>
      <c r="F45" s="54"/>
      <c r="G45" s="54"/>
      <c r="H45" s="54"/>
      <c r="I45" s="52">
        <f t="shared" si="1"/>
        <v>5.3778846153846125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63">
        <v>82</v>
      </c>
      <c r="B46" s="63">
        <f>183.15/1.3</f>
        <v>140.88461538461539</v>
      </c>
      <c r="C46" s="63"/>
      <c r="D46" s="63"/>
      <c r="E46" s="54"/>
      <c r="F46" s="54"/>
      <c r="G46" s="54"/>
      <c r="H46" s="54"/>
      <c r="I46" s="52">
        <f t="shared" si="1"/>
        <v>3.5471153846153847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63">
        <v>89</v>
      </c>
      <c r="B47" s="63">
        <f>216.67/1.3</f>
        <v>166.66923076923075</v>
      </c>
      <c r="C47" s="63">
        <v>4</v>
      </c>
      <c r="D47" s="63">
        <f>B47</f>
        <v>166.66923076923075</v>
      </c>
      <c r="E47" s="54"/>
      <c r="F47" s="54"/>
      <c r="G47" s="54"/>
      <c r="H47" s="54"/>
      <c r="I47" s="52">
        <f t="shared" si="1"/>
        <v>3.6835164835164806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pignon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10</v>
      </c>
      <c r="B62" s="63">
        <f>36.82/2.4</f>
        <v>15.341666666666667</v>
      </c>
      <c r="C62" s="63"/>
      <c r="D62" s="63"/>
      <c r="E62" s="54"/>
      <c r="F62" s="54"/>
      <c r="G62" s="54"/>
      <c r="H62" s="54"/>
      <c r="I62" s="56">
        <f>IFERROR(B62/A62,"")</f>
        <v>1.5341666666666667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3">
        <f>(79.16+4.6)/2.4</f>
        <v>34.9</v>
      </c>
      <c r="C63" s="63"/>
      <c r="D63" s="63"/>
      <c r="E63" s="54"/>
      <c r="F63" s="54"/>
      <c r="G63" s="54"/>
      <c r="H63" s="54"/>
      <c r="I63" s="52">
        <f>IF(A63&lt;&gt;0,(B63-(B62-D62))/(A63-A62),"")</f>
        <v>1.9558333333333331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f>(117.39+4.6+9.5)/2.4</f>
        <v>54.787500000000009</v>
      </c>
      <c r="C64" s="63">
        <v>1</v>
      </c>
      <c r="D64" s="63">
        <f>(4.6+9.5+13.2)/2.4</f>
        <v>11.375</v>
      </c>
      <c r="E64" s="54"/>
      <c r="F64" s="54"/>
      <c r="G64" s="54"/>
      <c r="H64" s="54">
        <v>1</v>
      </c>
      <c r="I64" s="52">
        <f>IF(A64&lt;&gt;0,(B64-(B63-D63))/(A64-A63),"")</f>
        <v>1.9887500000000009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f>150.4/2.4</f>
        <v>62.666666666666671</v>
      </c>
      <c r="C65" s="63">
        <v>2</v>
      </c>
      <c r="D65" s="63">
        <f>16.8/2.4</f>
        <v>7.0000000000000009</v>
      </c>
      <c r="E65" s="54"/>
      <c r="F65" s="54"/>
      <c r="G65" s="54"/>
      <c r="H65" s="54"/>
      <c r="I65" s="52">
        <f>IF(A65&lt;&gt;0,(B65-(B64-D64))/(A65-A64),"")</f>
        <v>1.9254166666666663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50</v>
      </c>
      <c r="B66" s="63">
        <f>178.53/2.4</f>
        <v>74.387500000000003</v>
      </c>
      <c r="C66" s="63">
        <v>3</v>
      </c>
      <c r="D66" s="63">
        <f>18.6/2.4</f>
        <v>7.7500000000000009</v>
      </c>
      <c r="E66" s="54"/>
      <c r="F66" s="54"/>
      <c r="G66" s="54"/>
      <c r="H66" s="54"/>
      <c r="I66" s="52">
        <f t="shared" ref="I66:I81" si="2">IF(A66&lt;&gt;0,(B66-(B65-D65))/(A66-A65),"")</f>
        <v>1.8720833333333331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60</v>
      </c>
      <c r="B67" s="63">
        <f>202.47/2.4</f>
        <v>84.362499999999997</v>
      </c>
      <c r="C67" s="63">
        <v>4</v>
      </c>
      <c r="D67" s="63">
        <f>19.8/2.4</f>
        <v>8.25</v>
      </c>
      <c r="E67" s="54"/>
      <c r="F67" s="54"/>
      <c r="G67" s="54"/>
      <c r="H67" s="54"/>
      <c r="I67" s="52">
        <f t="shared" si="2"/>
        <v>1.7724999999999995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70</v>
      </c>
      <c r="B68" s="63">
        <f>222.87/2.4</f>
        <v>92.862500000000011</v>
      </c>
      <c r="C68" s="63">
        <v>5</v>
      </c>
      <c r="D68" s="63">
        <f>20.4/2.4</f>
        <v>8.5</v>
      </c>
      <c r="E68" s="54"/>
      <c r="F68" s="54"/>
      <c r="G68" s="54"/>
      <c r="H68" s="54"/>
      <c r="I68" s="52">
        <f t="shared" si="2"/>
        <v>1.6750000000000014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80</v>
      </c>
      <c r="B69" s="53">
        <v>100.14583333333333</v>
      </c>
      <c r="C69" s="53">
        <v>6</v>
      </c>
      <c r="D69" s="53">
        <v>9.1666666666666679</v>
      </c>
      <c r="E69" s="54"/>
      <c r="F69" s="54"/>
      <c r="G69" s="54"/>
      <c r="H69" s="54"/>
      <c r="I69" s="52">
        <f t="shared" si="2"/>
        <v>1.5783333333333318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90</v>
      </c>
      <c r="B70" s="53">
        <v>106.40833333333333</v>
      </c>
      <c r="C70" s="53">
        <v>7</v>
      </c>
      <c r="D70" s="53">
        <v>9.1666666666666679</v>
      </c>
      <c r="E70" s="54"/>
      <c r="F70" s="54"/>
      <c r="G70" s="54"/>
      <c r="H70" s="54"/>
      <c r="I70" s="52">
        <f t="shared" si="2"/>
        <v>1.5429166666666674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100</v>
      </c>
      <c r="B71" s="53">
        <v>111.825</v>
      </c>
      <c r="C71" s="53">
        <v>8</v>
      </c>
      <c r="D71" s="53">
        <v>9.125</v>
      </c>
      <c r="E71" s="54"/>
      <c r="F71" s="54"/>
      <c r="G71" s="54"/>
      <c r="H71" s="54"/>
      <c r="I71" s="52">
        <f t="shared" si="2"/>
        <v>1.4583333333333344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110</v>
      </c>
      <c r="B72" s="53">
        <v>116.53333333333335</v>
      </c>
      <c r="C72" s="53">
        <v>9</v>
      </c>
      <c r="D72" s="53">
        <v>9.0416666666666661</v>
      </c>
      <c r="E72" s="54"/>
      <c r="F72" s="54"/>
      <c r="G72" s="54"/>
      <c r="H72" s="54"/>
      <c r="I72" s="52">
        <f t="shared" si="2"/>
        <v>1.3833333333333342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120</v>
      </c>
      <c r="B73" s="53">
        <v>120.64166666666668</v>
      </c>
      <c r="C73" s="53">
        <v>10</v>
      </c>
      <c r="D73" s="53">
        <v>8.875</v>
      </c>
      <c r="E73" s="54"/>
      <c r="F73" s="54"/>
      <c r="G73" s="54"/>
      <c r="H73" s="54"/>
      <c r="I73" s="52">
        <f t="shared" si="2"/>
        <v>1.3150000000000006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130</v>
      </c>
      <c r="B74" s="53">
        <v>124.24166666666667</v>
      </c>
      <c r="C74" s="53">
        <v>11</v>
      </c>
      <c r="D74" s="53">
        <v>8.7083333333333339</v>
      </c>
      <c r="E74" s="54"/>
      <c r="F74" s="54"/>
      <c r="G74" s="54"/>
      <c r="H74" s="54"/>
      <c r="I74" s="52">
        <f t="shared" si="2"/>
        <v>1.2474999999999994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140</v>
      </c>
      <c r="B75" s="53">
        <v>127.41250000000001</v>
      </c>
      <c r="C75" s="53">
        <v>12</v>
      </c>
      <c r="D75" s="53">
        <v>8.5416666666666679</v>
      </c>
      <c r="E75" s="54"/>
      <c r="F75" s="54"/>
      <c r="G75" s="54"/>
      <c r="H75" s="54"/>
      <c r="I75" s="52">
        <f t="shared" si="2"/>
        <v>1.1879166666666663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150</v>
      </c>
      <c r="B76" s="53">
        <v>130.21250000000001</v>
      </c>
      <c r="C76" s="53">
        <v>13</v>
      </c>
      <c r="D76" s="53">
        <v>130.21250000000001</v>
      </c>
      <c r="E76" s="54"/>
      <c r="F76" s="54"/>
      <c r="G76" s="54"/>
      <c r="H76" s="54"/>
      <c r="I76" s="52">
        <f t="shared" si="2"/>
        <v>1.1341666666666668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Cormier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f>57/1.56</f>
        <v>36.53846153846154</v>
      </c>
      <c r="C88" s="53"/>
      <c r="D88" s="63"/>
      <c r="E88" s="66"/>
      <c r="F88" s="66"/>
      <c r="G88" s="66"/>
      <c r="H88" s="66"/>
      <c r="I88" s="56">
        <f>IFERROR(B88/A88,"")</f>
        <v>1.8269230769230771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f>(87+7)/1.56</f>
        <v>60.256410256410255</v>
      </c>
      <c r="C89" s="53"/>
      <c r="D89" s="63"/>
      <c r="E89" s="66"/>
      <c r="F89" s="66"/>
      <c r="G89" s="66"/>
      <c r="H89" s="66"/>
      <c r="I89" s="56">
        <f t="shared" ref="I89:I107" si="3">IF(A89&lt;&gt;0,(B89-(B88-D88))/(A89-A88),"")</f>
        <v>4.7435897435897427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f>(117+7+9)/1.56</f>
        <v>85.256410256410248</v>
      </c>
      <c r="C90" s="53">
        <v>1</v>
      </c>
      <c r="D90" s="63">
        <f>(7+9+11)/1.56</f>
        <v>17.307692307692307</v>
      </c>
      <c r="E90" s="66"/>
      <c r="F90" s="66"/>
      <c r="G90" s="66"/>
      <c r="H90" s="66">
        <v>1</v>
      </c>
      <c r="I90" s="56">
        <f t="shared" si="3"/>
        <v>4.9999999999999982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8">
        <v>35</v>
      </c>
      <c r="B91" s="58">
        <v>93.589743589743591</v>
      </c>
      <c r="C91" s="58"/>
      <c r="D91" s="58"/>
      <c r="E91" s="66"/>
      <c r="F91" s="66"/>
      <c r="G91" s="66"/>
      <c r="H91" s="66"/>
      <c r="I91" s="56">
        <f t="shared" si="3"/>
        <v>5.1282051282051295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8">
        <v>40</v>
      </c>
      <c r="B92" s="58">
        <v>119.23076923076923</v>
      </c>
      <c r="C92" s="58">
        <v>2</v>
      </c>
      <c r="D92" s="58">
        <v>17.307692307692307</v>
      </c>
      <c r="E92" s="66"/>
      <c r="F92" s="66"/>
      <c r="G92" s="66"/>
      <c r="H92" s="66"/>
      <c r="I92" s="56">
        <f t="shared" si="3"/>
        <v>5.1282051282051269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8">
        <v>45</v>
      </c>
      <c r="B93" s="58">
        <v>126.28205128205128</v>
      </c>
      <c r="C93" s="58"/>
      <c r="D93" s="58"/>
      <c r="E93" s="66"/>
      <c r="F93" s="66"/>
      <c r="G93" s="66"/>
      <c r="H93" s="66"/>
      <c r="I93" s="56">
        <f t="shared" si="3"/>
        <v>4.8717948717948731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8">
        <v>50</v>
      </c>
      <c r="B94" s="58">
        <v>149.35897435897436</v>
      </c>
      <c r="C94" s="58">
        <v>3</v>
      </c>
      <c r="D94" s="58">
        <v>18.589743589743588</v>
      </c>
      <c r="E94" s="66"/>
      <c r="F94" s="66"/>
      <c r="G94" s="66"/>
      <c r="H94" s="66"/>
      <c r="I94" s="56">
        <f t="shared" si="3"/>
        <v>4.6153846153846159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8">
        <v>55</v>
      </c>
      <c r="B95" s="58">
        <v>153.2051282051282</v>
      </c>
      <c r="C95" s="58"/>
      <c r="D95" s="58"/>
      <c r="E95" s="66"/>
      <c r="F95" s="66"/>
      <c r="G95" s="66"/>
      <c r="H95" s="66"/>
      <c r="I95" s="56">
        <f t="shared" si="3"/>
        <v>4.4871794871794863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8">
        <v>60</v>
      </c>
      <c r="B96" s="58">
        <v>174.35897435897436</v>
      </c>
      <c r="C96" s="58">
        <v>4</v>
      </c>
      <c r="D96" s="58">
        <v>19.23076923076923</v>
      </c>
      <c r="E96" s="66"/>
      <c r="F96" s="66"/>
      <c r="G96" s="66"/>
      <c r="H96" s="66"/>
      <c r="I96" s="56">
        <f t="shared" si="3"/>
        <v>4.2307692307692317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8">
        <v>65</v>
      </c>
      <c r="B97" s="58">
        <v>175</v>
      </c>
      <c r="C97" s="58"/>
      <c r="D97" s="58"/>
      <c r="E97" s="66"/>
      <c r="F97" s="66"/>
      <c r="G97" s="66"/>
      <c r="H97" s="66"/>
      <c r="I97" s="56">
        <f t="shared" si="3"/>
        <v>3.9743589743589722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8">
        <v>70</v>
      </c>
      <c r="B98" s="58">
        <v>194.23076923076923</v>
      </c>
      <c r="C98" s="58">
        <v>5</v>
      </c>
      <c r="D98" s="58">
        <v>18.589743589743588</v>
      </c>
      <c r="E98" s="66"/>
      <c r="F98" s="66"/>
      <c r="G98" s="66"/>
      <c r="H98" s="66"/>
      <c r="I98" s="56">
        <f t="shared" si="3"/>
        <v>3.8461538461538454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8">
        <v>75</v>
      </c>
      <c r="B99" s="58">
        <v>192.94871794871796</v>
      </c>
      <c r="C99" s="58"/>
      <c r="D99" s="58"/>
      <c r="E99" s="66"/>
      <c r="F99" s="66"/>
      <c r="G99" s="66"/>
      <c r="H99" s="66"/>
      <c r="I99" s="56">
        <f t="shared" si="3"/>
        <v>3.4615384615384643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8">
        <v>80</v>
      </c>
      <c r="B100" s="58">
        <v>209.61538461538461</v>
      </c>
      <c r="C100" s="58">
        <v>6</v>
      </c>
      <c r="D100" s="58">
        <v>17.948717948717949</v>
      </c>
      <c r="E100" s="67"/>
      <c r="F100" s="67"/>
      <c r="G100" s="67"/>
      <c r="H100" s="67"/>
      <c r="I100" s="56">
        <f t="shared" si="3"/>
        <v>3.3333333333333313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94">
        <v>85</v>
      </c>
      <c r="B101" s="63">
        <f>324/1.56</f>
        <v>207.69230769230768</v>
      </c>
      <c r="C101" s="94"/>
      <c r="D101" s="63"/>
      <c r="E101" s="57"/>
      <c r="F101" s="57"/>
      <c r="G101" s="57"/>
      <c r="H101" s="57"/>
      <c r="I101" s="56">
        <f t="shared" si="3"/>
        <v>3.2051282051282044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90</v>
      </c>
      <c r="B102" s="53">
        <v>222.43589743589743</v>
      </c>
      <c r="C102" s="53">
        <v>7</v>
      </c>
      <c r="D102" s="53">
        <v>16.666666666666668</v>
      </c>
      <c r="E102" s="57"/>
      <c r="F102" s="57"/>
      <c r="G102" s="57"/>
      <c r="H102" s="57"/>
      <c r="I102" s="56">
        <f t="shared" si="3"/>
        <v>2.9487179487179502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95</v>
      </c>
      <c r="B103" s="53">
        <v>220.5128205128205</v>
      </c>
      <c r="C103" s="53"/>
      <c r="D103" s="53"/>
      <c r="E103" s="57"/>
      <c r="F103" s="57"/>
      <c r="G103" s="57"/>
      <c r="H103" s="57"/>
      <c r="I103" s="56">
        <f t="shared" si="3"/>
        <v>2.9487179487179445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100</v>
      </c>
      <c r="B104" s="53">
        <v>233.97435897435898</v>
      </c>
      <c r="C104" s="53">
        <v>8</v>
      </c>
      <c r="D104" s="53">
        <v>16.025641025641026</v>
      </c>
      <c r="E104" s="57"/>
      <c r="F104" s="57"/>
      <c r="G104" s="57"/>
      <c r="H104" s="57"/>
      <c r="I104" s="56">
        <f t="shared" si="3"/>
        <v>2.6923076923076961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115</v>
      </c>
      <c r="B105" s="53">
        <v>254.48717948717947</v>
      </c>
      <c r="C105" s="53">
        <v>9</v>
      </c>
      <c r="D105" s="53">
        <v>21.153846153846153</v>
      </c>
      <c r="E105" s="57"/>
      <c r="F105" s="57"/>
      <c r="G105" s="57"/>
      <c r="H105" s="57"/>
      <c r="I105" s="56">
        <f t="shared" si="3"/>
        <v>2.4358974358974348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130</v>
      </c>
      <c r="B106" s="53">
        <v>265.38461538461536</v>
      </c>
      <c r="C106" s="53">
        <v>10</v>
      </c>
      <c r="D106" s="53">
        <v>265.38461538461536</v>
      </c>
      <c r="E106" s="57"/>
      <c r="F106" s="57"/>
      <c r="G106" s="57"/>
      <c r="H106" s="57"/>
      <c r="I106" s="56">
        <f t="shared" si="3"/>
        <v>2.1367521367521363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Cyprès de Provence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3">
        <v>60.8</v>
      </c>
      <c r="C114" s="63"/>
      <c r="D114" s="63"/>
      <c r="E114" s="54"/>
      <c r="F114" s="54"/>
      <c r="G114" s="54"/>
      <c r="H114" s="93"/>
      <c r="I114" s="56">
        <f>IFERROR(B114/A114,"")</f>
        <v>4.0533333333333328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v>85.7</v>
      </c>
      <c r="C115" s="63"/>
      <c r="D115" s="63"/>
      <c r="E115" s="54"/>
      <c r="F115" s="54"/>
      <c r="G115" s="54"/>
      <c r="H115" s="93"/>
      <c r="I115" s="56">
        <f t="shared" ref="I115:I133" si="4">IF(A115&lt;&gt;0,(B115-(B114-D114))/(A115-A114),"")</f>
        <v>4.9800000000000013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v>109.4</v>
      </c>
      <c r="C116" s="63"/>
      <c r="D116" s="63"/>
      <c r="E116" s="93"/>
      <c r="F116" s="93"/>
      <c r="G116" s="93"/>
      <c r="H116" s="93"/>
      <c r="I116" s="56">
        <f t="shared" si="4"/>
        <v>4.74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v>131.9</v>
      </c>
      <c r="C117" s="63"/>
      <c r="D117" s="63"/>
      <c r="E117" s="93"/>
      <c r="F117" s="93"/>
      <c r="G117" s="93"/>
      <c r="H117" s="93"/>
      <c r="I117" s="56">
        <f t="shared" si="4"/>
        <v>4.5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3">
        <v>153</v>
      </c>
      <c r="C118" s="63"/>
      <c r="D118" s="63"/>
      <c r="E118" s="93"/>
      <c r="F118" s="93"/>
      <c r="G118" s="93"/>
      <c r="H118" s="93"/>
      <c r="I118" s="56">
        <f t="shared" si="4"/>
        <v>4.2199999999999989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3">
        <v>173</v>
      </c>
      <c r="C119" s="63"/>
      <c r="D119" s="63"/>
      <c r="E119" s="93"/>
      <c r="F119" s="93"/>
      <c r="G119" s="93"/>
      <c r="H119" s="93"/>
      <c r="I119" s="56">
        <f t="shared" si="4"/>
        <v>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45</v>
      </c>
      <c r="B120" s="63">
        <v>191.7</v>
      </c>
      <c r="C120" s="63"/>
      <c r="D120" s="63"/>
      <c r="E120" s="93"/>
      <c r="F120" s="93"/>
      <c r="G120" s="93"/>
      <c r="H120" s="93"/>
      <c r="I120" s="56">
        <f t="shared" si="4"/>
        <v>3.7399999999999975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50</v>
      </c>
      <c r="B121" s="63">
        <v>209.2</v>
      </c>
      <c r="C121" s="63"/>
      <c r="D121" s="63"/>
      <c r="E121" s="93"/>
      <c r="F121" s="93"/>
      <c r="G121" s="93"/>
      <c r="H121" s="93"/>
      <c r="I121" s="56">
        <f t="shared" si="4"/>
        <v>3.5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55</v>
      </c>
      <c r="B122" s="63">
        <v>225.5</v>
      </c>
      <c r="C122" s="63"/>
      <c r="D122" s="63"/>
      <c r="E122" s="93"/>
      <c r="F122" s="93"/>
      <c r="G122" s="93"/>
      <c r="H122" s="93"/>
      <c r="I122" s="56">
        <f t="shared" si="4"/>
        <v>3.2600000000000025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60</v>
      </c>
      <c r="B123" s="63">
        <v>240.5</v>
      </c>
      <c r="C123" s="63"/>
      <c r="D123" s="63"/>
      <c r="E123" s="93"/>
      <c r="F123" s="93"/>
      <c r="G123" s="93"/>
      <c r="H123" s="93"/>
      <c r="I123" s="56">
        <f t="shared" si="4"/>
        <v>3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65</v>
      </c>
      <c r="B124" s="63">
        <v>254.3</v>
      </c>
      <c r="C124" s="63"/>
      <c r="D124" s="63"/>
      <c r="E124" s="93"/>
      <c r="F124" s="93"/>
      <c r="G124" s="93"/>
      <c r="H124" s="93"/>
      <c r="I124" s="56">
        <f t="shared" si="4"/>
        <v>2.7600000000000025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70</v>
      </c>
      <c r="B125" s="63">
        <v>266.89999999999998</v>
      </c>
      <c r="C125" s="63"/>
      <c r="D125" s="63"/>
      <c r="E125" s="93"/>
      <c r="F125" s="93"/>
      <c r="G125" s="93"/>
      <c r="H125" s="93"/>
      <c r="I125" s="56">
        <f t="shared" si="4"/>
        <v>2.5199999999999934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75</v>
      </c>
      <c r="B126" s="63">
        <v>278.2</v>
      </c>
      <c r="C126" s="63"/>
      <c r="D126" s="63"/>
      <c r="E126" s="68"/>
      <c r="F126" s="68"/>
      <c r="G126" s="68"/>
      <c r="H126" s="68"/>
      <c r="I126" s="56">
        <f t="shared" si="4"/>
        <v>2.2600000000000025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80</v>
      </c>
      <c r="B127" s="63">
        <v>288.3</v>
      </c>
      <c r="C127" s="63"/>
      <c r="D127" s="63"/>
      <c r="E127" s="68"/>
      <c r="F127" s="68"/>
      <c r="G127" s="68"/>
      <c r="H127" s="68"/>
      <c r="I127" s="56">
        <f t="shared" si="4"/>
        <v>2.0200000000000045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63">
        <v>85</v>
      </c>
      <c r="B128" s="53">
        <v>297.2</v>
      </c>
      <c r="C128" s="63"/>
      <c r="D128" s="53"/>
      <c r="E128" s="57"/>
      <c r="F128" s="57"/>
      <c r="G128" s="57"/>
      <c r="H128" s="57"/>
      <c r="I128" s="56">
        <f t="shared" si="4"/>
        <v>1.7799999999999954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90</v>
      </c>
      <c r="B129" s="53">
        <v>304.89999999999998</v>
      </c>
      <c r="C129" s="53"/>
      <c r="D129" s="53"/>
      <c r="E129" s="54"/>
      <c r="F129" s="54"/>
      <c r="G129" s="54"/>
      <c r="H129" s="54"/>
      <c r="I129" s="56">
        <f t="shared" si="4"/>
        <v>1.5399999999999978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95</v>
      </c>
      <c r="B130" s="53">
        <v>311.3</v>
      </c>
      <c r="C130" s="53"/>
      <c r="D130" s="53"/>
      <c r="E130" s="54"/>
      <c r="F130" s="54"/>
      <c r="G130" s="54"/>
      <c r="H130" s="54"/>
      <c r="I130" s="56">
        <f t="shared" si="4"/>
        <v>1.2800000000000069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100</v>
      </c>
      <c r="B131" s="53">
        <v>316.5</v>
      </c>
      <c r="C131" s="53">
        <v>1</v>
      </c>
      <c r="D131" s="53">
        <v>316.5</v>
      </c>
      <c r="E131" s="54"/>
      <c r="F131" s="54"/>
      <c r="G131" s="54"/>
      <c r="H131" s="54"/>
      <c r="I131" s="56">
        <f t="shared" si="4"/>
        <v>1.0399999999999978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Micocoulier de Provence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3">
        <f>57/1.56</f>
        <v>36.53846153846154</v>
      </c>
      <c r="C140" s="53"/>
      <c r="D140" s="63"/>
      <c r="E140" s="66"/>
      <c r="F140" s="66"/>
      <c r="G140" s="66"/>
      <c r="H140" s="66"/>
      <c r="I140" s="60">
        <f>IFERROR(B140/A140,"")</f>
        <v>1.8269230769230771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3">
        <f>(87+7)/1.56</f>
        <v>60.256410256410255</v>
      </c>
      <c r="C141" s="53"/>
      <c r="D141" s="63"/>
      <c r="E141" s="66"/>
      <c r="F141" s="66"/>
      <c r="G141" s="66"/>
      <c r="H141" s="66"/>
      <c r="I141" s="60">
        <f t="shared" ref="I141:I159" si="5">IF(A141&lt;&gt;0,(B141-(B140-D140))/(A141-A140),"")</f>
        <v>4.7435897435897427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3">
        <f>(117+7+9)/1.56</f>
        <v>85.256410256410248</v>
      </c>
      <c r="C142" s="53">
        <v>1</v>
      </c>
      <c r="D142" s="63">
        <f>(7+9+11)/1.56</f>
        <v>17.307692307692307</v>
      </c>
      <c r="E142" s="66"/>
      <c r="F142" s="66"/>
      <c r="G142" s="66"/>
      <c r="H142" s="66">
        <v>1</v>
      </c>
      <c r="I142" s="60">
        <f t="shared" si="5"/>
        <v>4.9999999999999982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8">
        <v>35</v>
      </c>
      <c r="B143" s="58">
        <v>93.589743589743591</v>
      </c>
      <c r="C143" s="58"/>
      <c r="D143" s="58"/>
      <c r="E143" s="66"/>
      <c r="F143" s="66"/>
      <c r="G143" s="66"/>
      <c r="H143" s="66"/>
      <c r="I143" s="60">
        <f t="shared" si="5"/>
        <v>5.1282051282051295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8">
        <v>40</v>
      </c>
      <c r="B144" s="58">
        <v>119.23076923076923</v>
      </c>
      <c r="C144" s="58">
        <v>2</v>
      </c>
      <c r="D144" s="58">
        <v>17.307692307692307</v>
      </c>
      <c r="E144" s="66"/>
      <c r="F144" s="66"/>
      <c r="G144" s="66"/>
      <c r="H144" s="66"/>
      <c r="I144" s="60">
        <f t="shared" si="5"/>
        <v>5.1282051282051269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8">
        <v>45</v>
      </c>
      <c r="B145" s="58">
        <v>126.28205128205128</v>
      </c>
      <c r="C145" s="58"/>
      <c r="D145" s="58"/>
      <c r="E145" s="66"/>
      <c r="F145" s="66"/>
      <c r="G145" s="66"/>
      <c r="H145" s="66"/>
      <c r="I145" s="60">
        <f t="shared" si="5"/>
        <v>4.8717948717948731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8">
        <v>50</v>
      </c>
      <c r="B146" s="58">
        <v>149.35897435897436</v>
      </c>
      <c r="C146" s="58">
        <v>3</v>
      </c>
      <c r="D146" s="58">
        <v>18.589743589743588</v>
      </c>
      <c r="E146" s="66"/>
      <c r="F146" s="66"/>
      <c r="G146" s="66"/>
      <c r="H146" s="66"/>
      <c r="I146" s="60">
        <f t="shared" si="5"/>
        <v>4.6153846153846159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8">
        <v>55</v>
      </c>
      <c r="B147" s="58">
        <v>153.2051282051282</v>
      </c>
      <c r="C147" s="58"/>
      <c r="D147" s="58"/>
      <c r="E147" s="66"/>
      <c r="F147" s="66"/>
      <c r="G147" s="66"/>
      <c r="H147" s="66"/>
      <c r="I147" s="60">
        <f>IF(A147&lt;&gt;0,(B147-(B146-D146))/(A147-A146),"")</f>
        <v>4.4871794871794863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8">
        <v>60</v>
      </c>
      <c r="B148" s="58">
        <v>174.35897435897436</v>
      </c>
      <c r="C148" s="58">
        <v>4</v>
      </c>
      <c r="D148" s="58">
        <v>19.23076923076923</v>
      </c>
      <c r="E148" s="66"/>
      <c r="F148" s="66"/>
      <c r="G148" s="66"/>
      <c r="H148" s="66"/>
      <c r="I148" s="60">
        <f t="shared" si="5"/>
        <v>4.2307692307692317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8">
        <v>65</v>
      </c>
      <c r="B149" s="58">
        <v>175</v>
      </c>
      <c r="C149" s="58"/>
      <c r="D149" s="58"/>
      <c r="E149" s="66"/>
      <c r="F149" s="66"/>
      <c r="G149" s="66"/>
      <c r="H149" s="66"/>
      <c r="I149" s="60">
        <f t="shared" si="5"/>
        <v>3.9743589743589722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8">
        <v>70</v>
      </c>
      <c r="B150" s="58">
        <v>194.23076923076923</v>
      </c>
      <c r="C150" s="58">
        <v>5</v>
      </c>
      <c r="D150" s="58">
        <v>18.589743589743588</v>
      </c>
      <c r="E150" s="66"/>
      <c r="F150" s="66"/>
      <c r="G150" s="66"/>
      <c r="H150" s="66"/>
      <c r="I150" s="60">
        <f t="shared" si="5"/>
        <v>3.8461538461538454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8">
        <v>75</v>
      </c>
      <c r="B151" s="58">
        <v>192.94871794871796</v>
      </c>
      <c r="C151" s="58"/>
      <c r="D151" s="58"/>
      <c r="E151" s="66"/>
      <c r="F151" s="66"/>
      <c r="G151" s="66"/>
      <c r="H151" s="66"/>
      <c r="I151" s="60">
        <f t="shared" si="5"/>
        <v>3.4615384615384643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8">
        <v>80</v>
      </c>
      <c r="B152" s="58">
        <v>209.61538461538461</v>
      </c>
      <c r="C152" s="58">
        <v>6</v>
      </c>
      <c r="D152" s="58">
        <v>17.948717948717949</v>
      </c>
      <c r="E152" s="67"/>
      <c r="F152" s="67"/>
      <c r="G152" s="67"/>
      <c r="H152" s="67"/>
      <c r="I152" s="60">
        <f t="shared" si="5"/>
        <v>3.3333333333333313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94">
        <v>85</v>
      </c>
      <c r="B153" s="63">
        <f>324/1.56</f>
        <v>207.69230769230768</v>
      </c>
      <c r="C153" s="94"/>
      <c r="D153" s="63"/>
      <c r="E153" s="57"/>
      <c r="F153" s="57"/>
      <c r="G153" s="57"/>
      <c r="H153" s="57"/>
      <c r="I153" s="60">
        <f t="shared" si="5"/>
        <v>3.2051282051282044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>
        <v>90</v>
      </c>
      <c r="B154" s="53">
        <v>222.43589743589743</v>
      </c>
      <c r="C154" s="53">
        <v>7</v>
      </c>
      <c r="D154" s="53">
        <v>16.666666666666668</v>
      </c>
      <c r="E154" s="57"/>
      <c r="F154" s="57"/>
      <c r="G154" s="57"/>
      <c r="H154" s="57"/>
      <c r="I154" s="60">
        <f t="shared" si="5"/>
        <v>2.9487179487179502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>
        <v>95</v>
      </c>
      <c r="B155" s="53">
        <v>220.5128205128205</v>
      </c>
      <c r="C155" s="53"/>
      <c r="D155" s="53"/>
      <c r="E155" s="57"/>
      <c r="F155" s="57"/>
      <c r="G155" s="57"/>
      <c r="H155" s="57"/>
      <c r="I155" s="60">
        <f t="shared" si="5"/>
        <v>2.9487179487179445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>
        <v>100</v>
      </c>
      <c r="B156" s="53">
        <v>233.97435897435898</v>
      </c>
      <c r="C156" s="53">
        <v>8</v>
      </c>
      <c r="D156" s="53">
        <v>16.025641025641026</v>
      </c>
      <c r="E156" s="57"/>
      <c r="F156" s="57"/>
      <c r="G156" s="57"/>
      <c r="H156" s="57"/>
      <c r="I156" s="60">
        <f t="shared" si="5"/>
        <v>2.6923076923076961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>
        <v>115</v>
      </c>
      <c r="B157" s="53">
        <v>254.48717948717947</v>
      </c>
      <c r="C157" s="53">
        <v>9</v>
      </c>
      <c r="D157" s="53">
        <v>21.153846153846153</v>
      </c>
      <c r="E157" s="57"/>
      <c r="F157" s="57"/>
      <c r="G157" s="57"/>
      <c r="H157" s="57"/>
      <c r="I157" s="60">
        <f t="shared" si="5"/>
        <v>2.4358974358974348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>
        <v>130</v>
      </c>
      <c r="B158" s="53">
        <v>265.38461538461536</v>
      </c>
      <c r="C158" s="53">
        <v>10</v>
      </c>
      <c r="D158" s="53">
        <v>265.38461538461536</v>
      </c>
      <c r="E158" s="57"/>
      <c r="F158" s="57"/>
      <c r="G158" s="57"/>
      <c r="H158" s="57"/>
      <c r="I158" s="60">
        <f t="shared" si="5"/>
        <v>2.1367521367521363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Cèdre de l'Atlas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30</v>
      </c>
      <c r="B166" s="63">
        <f>134.26/1.3</f>
        <v>103.27692307692307</v>
      </c>
      <c r="C166" s="63"/>
      <c r="D166" s="63"/>
      <c r="E166" s="54"/>
      <c r="F166" s="54"/>
      <c r="G166" s="54"/>
      <c r="H166" s="54"/>
      <c r="I166" s="52">
        <f>IFERROR(B166/A166,"")</f>
        <v>3.4425641025641025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35</v>
      </c>
      <c r="B167" s="63">
        <f>192.26/1.3</f>
        <v>147.89230769230767</v>
      </c>
      <c r="C167" s="63"/>
      <c r="D167" s="63"/>
      <c r="E167" s="54"/>
      <c r="F167" s="54"/>
      <c r="G167" s="54"/>
      <c r="H167" s="54"/>
      <c r="I167" s="52">
        <f t="shared" ref="I167:I185" si="6">IF(A167&lt;&gt;0,(B167-(B166-D166))/(A167-A166),"")</f>
        <v>8.9230769230769198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40</v>
      </c>
      <c r="B168" s="63">
        <f>257.14/1.3</f>
        <v>197.79999999999998</v>
      </c>
      <c r="C168" s="63"/>
      <c r="D168" s="63"/>
      <c r="E168" s="54"/>
      <c r="F168" s="54"/>
      <c r="G168" s="54"/>
      <c r="H168" s="54"/>
      <c r="I168" s="52">
        <f t="shared" si="6"/>
        <v>9.981538461538463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45</v>
      </c>
      <c r="B169" s="63">
        <f>327.79/1.3</f>
        <v>252.14615384615385</v>
      </c>
      <c r="C169" s="63"/>
      <c r="D169" s="63"/>
      <c r="E169" s="54"/>
      <c r="F169" s="54"/>
      <c r="G169" s="54"/>
      <c r="H169" s="54"/>
      <c r="I169" s="52">
        <f t="shared" si="6"/>
        <v>10.869230769230773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51</v>
      </c>
      <c r="B170" s="63">
        <f>418.39/1.3</f>
        <v>321.8384615384615</v>
      </c>
      <c r="C170" s="63">
        <v>1</v>
      </c>
      <c r="D170" s="63">
        <f>130.4/1.3</f>
        <v>100.30769230769231</v>
      </c>
      <c r="E170" s="54"/>
      <c r="F170" s="54"/>
      <c r="G170" s="54"/>
      <c r="H170" s="54"/>
      <c r="I170" s="52">
        <f t="shared" si="6"/>
        <v>11.615384615384608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57</v>
      </c>
      <c r="B171" s="63">
        <f>370.22/1.3</f>
        <v>284.78461538461539</v>
      </c>
      <c r="C171" s="63"/>
      <c r="D171" s="63"/>
      <c r="E171" s="54"/>
      <c r="F171" s="54"/>
      <c r="G171" s="54"/>
      <c r="H171" s="54"/>
      <c r="I171" s="52">
        <f t="shared" si="6"/>
        <v>10.542307692307702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63</v>
      </c>
      <c r="B172" s="63">
        <f>455.9/1.3</f>
        <v>350.69230769230768</v>
      </c>
      <c r="C172" s="63">
        <v>2</v>
      </c>
      <c r="D172" s="63">
        <f>140.51/1.3</f>
        <v>108.08461538461538</v>
      </c>
      <c r="E172" s="54"/>
      <c r="F172" s="54"/>
      <c r="G172" s="54"/>
      <c r="H172" s="54"/>
      <c r="I172" s="52">
        <f t="shared" si="6"/>
        <v>10.984615384615381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283">
        <v>69</v>
      </c>
      <c r="B173" s="63">
        <f>390.97/1.3</f>
        <v>300.74615384615385</v>
      </c>
      <c r="C173" s="63"/>
      <c r="D173" s="63"/>
      <c r="E173" s="54"/>
      <c r="F173" s="54"/>
      <c r="G173" s="54"/>
      <c r="H173" s="54"/>
      <c r="I173" s="52">
        <f t="shared" si="6"/>
        <v>9.6897435897435908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283">
        <v>75</v>
      </c>
      <c r="B174" s="63">
        <f>468.62/1.3</f>
        <v>360.47692307692307</v>
      </c>
      <c r="C174" s="63">
        <v>3</v>
      </c>
      <c r="D174" s="63">
        <f>110.97/1.3</f>
        <v>85.361538461538458</v>
      </c>
      <c r="E174" s="54"/>
      <c r="F174" s="54"/>
      <c r="G174" s="54"/>
      <c r="H174" s="54"/>
      <c r="I174" s="52">
        <f t="shared" si="6"/>
        <v>9.9551282051282044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283">
        <v>81</v>
      </c>
      <c r="B175" s="63">
        <f>427.32/1.3</f>
        <v>328.7076923076923</v>
      </c>
      <c r="C175" s="63"/>
      <c r="D175" s="63"/>
      <c r="E175" s="54"/>
      <c r="F175" s="54"/>
      <c r="G175" s="54"/>
      <c r="H175" s="54"/>
      <c r="I175" s="52">
        <f t="shared" si="6"/>
        <v>8.9320512820512761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283">
        <v>87</v>
      </c>
      <c r="B176" s="63">
        <f>498.08/1.3</f>
        <v>383.13846153846151</v>
      </c>
      <c r="C176" s="63">
        <v>4</v>
      </c>
      <c r="D176" s="63">
        <f>107.82/1.3</f>
        <v>82.938461538461524</v>
      </c>
      <c r="E176" s="54"/>
      <c r="F176" s="54"/>
      <c r="G176" s="54"/>
      <c r="H176" s="54"/>
      <c r="I176" s="52">
        <f t="shared" si="6"/>
        <v>9.0717948717948698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283">
        <v>93</v>
      </c>
      <c r="B177" s="63">
        <f>453.6/1.3</f>
        <v>348.92307692307691</v>
      </c>
      <c r="C177" s="63"/>
      <c r="D177" s="63"/>
      <c r="E177" s="54"/>
      <c r="F177" s="54"/>
      <c r="G177" s="54"/>
      <c r="H177" s="54"/>
      <c r="I177" s="52">
        <f t="shared" si="6"/>
        <v>8.1205128205128201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283">
        <v>99</v>
      </c>
      <c r="B178" s="63">
        <f>517.23/1.3</f>
        <v>397.8692307692308</v>
      </c>
      <c r="C178" s="63">
        <v>5</v>
      </c>
      <c r="D178" s="63">
        <f>257.82/1.3</f>
        <v>198.32307692307691</v>
      </c>
      <c r="E178" s="54"/>
      <c r="F178" s="54"/>
      <c r="G178" s="54"/>
      <c r="H178" s="54"/>
      <c r="I178" s="52">
        <f t="shared" si="6"/>
        <v>8.1576923076923151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283">
        <v>104</v>
      </c>
      <c r="B179" s="63">
        <f>297.43/1.3</f>
        <v>228.7923076923077</v>
      </c>
      <c r="C179" s="63"/>
      <c r="D179" s="63"/>
      <c r="E179" s="54"/>
      <c r="F179" s="54"/>
      <c r="G179" s="54"/>
      <c r="H179" s="54"/>
      <c r="I179" s="52">
        <f t="shared" si="6"/>
        <v>5.849230769230763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283">
        <v>109</v>
      </c>
      <c r="B180" s="53">
        <f>332.92/1.3</f>
        <v>256.09230769230771</v>
      </c>
      <c r="C180" s="53">
        <v>6</v>
      </c>
      <c r="D180" s="53">
        <f>B180</f>
        <v>256.09230769230771</v>
      </c>
      <c r="E180" s="54"/>
      <c r="F180" s="54"/>
      <c r="G180" s="54"/>
      <c r="H180" s="54"/>
      <c r="I180" s="52">
        <f t="shared" si="6"/>
        <v>5.4600000000000026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28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28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28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28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28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Chêne pubescent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20</v>
      </c>
      <c r="B192" s="63">
        <f>57/1.56</f>
        <v>36.53846153846154</v>
      </c>
      <c r="C192" s="53"/>
      <c r="D192" s="63"/>
      <c r="E192" s="66"/>
      <c r="F192" s="66"/>
      <c r="G192" s="66"/>
      <c r="H192" s="66"/>
      <c r="I192" s="52">
        <f>IFERROR(B192/A192,"")</f>
        <v>1.8269230769230771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25</v>
      </c>
      <c r="B193" s="63">
        <f>(87+7)/1.56</f>
        <v>60.256410256410255</v>
      </c>
      <c r="C193" s="53"/>
      <c r="D193" s="63"/>
      <c r="E193" s="66"/>
      <c r="F193" s="66"/>
      <c r="G193" s="66"/>
      <c r="H193" s="66"/>
      <c r="I193" s="52">
        <f t="shared" ref="I193:I211" si="7">IF(A193&lt;&gt;0,(B193-(B192-D192))/(A193-A192),"")</f>
        <v>4.7435897435897427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30</v>
      </c>
      <c r="B194" s="63">
        <f>(117+7+9)/1.56</f>
        <v>85.256410256410248</v>
      </c>
      <c r="C194" s="53">
        <v>1</v>
      </c>
      <c r="D194" s="63">
        <f>(7+9+11)/1.56</f>
        <v>17.307692307692307</v>
      </c>
      <c r="E194" s="66"/>
      <c r="F194" s="66"/>
      <c r="G194" s="66"/>
      <c r="H194" s="66">
        <v>1</v>
      </c>
      <c r="I194" s="52">
        <f t="shared" si="7"/>
        <v>4.9999999999999982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8">
        <v>35</v>
      </c>
      <c r="B195" s="58">
        <v>93.589743589743591</v>
      </c>
      <c r="C195" s="58"/>
      <c r="D195" s="58"/>
      <c r="E195" s="66"/>
      <c r="F195" s="66"/>
      <c r="G195" s="66"/>
      <c r="H195" s="66"/>
      <c r="I195" s="52">
        <f t="shared" si="7"/>
        <v>5.1282051282051295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8">
        <v>40</v>
      </c>
      <c r="B196" s="58">
        <v>119.23076923076923</v>
      </c>
      <c r="C196" s="58">
        <v>2</v>
      </c>
      <c r="D196" s="58">
        <v>17.307692307692307</v>
      </c>
      <c r="E196" s="66"/>
      <c r="F196" s="66"/>
      <c r="G196" s="66"/>
      <c r="H196" s="66"/>
      <c r="I196" s="52">
        <f t="shared" si="7"/>
        <v>5.1282051282051269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8">
        <v>45</v>
      </c>
      <c r="B197" s="58">
        <v>126.28205128205128</v>
      </c>
      <c r="C197" s="58"/>
      <c r="D197" s="58"/>
      <c r="E197" s="66"/>
      <c r="F197" s="66"/>
      <c r="G197" s="66"/>
      <c r="H197" s="66"/>
      <c r="I197" s="52">
        <f t="shared" si="7"/>
        <v>4.8717948717948731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8">
        <v>50</v>
      </c>
      <c r="B198" s="58">
        <v>149.35897435897436</v>
      </c>
      <c r="C198" s="58">
        <v>3</v>
      </c>
      <c r="D198" s="58">
        <v>18.589743589743588</v>
      </c>
      <c r="E198" s="66"/>
      <c r="F198" s="66"/>
      <c r="G198" s="66"/>
      <c r="H198" s="66"/>
      <c r="I198" s="52">
        <f t="shared" si="7"/>
        <v>4.6153846153846159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8">
        <v>55</v>
      </c>
      <c r="B199" s="58">
        <v>153.2051282051282</v>
      </c>
      <c r="C199" s="58"/>
      <c r="D199" s="58"/>
      <c r="E199" s="66"/>
      <c r="F199" s="66"/>
      <c r="G199" s="66"/>
      <c r="H199" s="66"/>
      <c r="I199" s="52">
        <f t="shared" si="7"/>
        <v>4.4871794871794863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8">
        <v>60</v>
      </c>
      <c r="B200" s="58">
        <v>174.35897435897436</v>
      </c>
      <c r="C200" s="58">
        <v>4</v>
      </c>
      <c r="D200" s="58">
        <v>19.23076923076923</v>
      </c>
      <c r="E200" s="66"/>
      <c r="F200" s="66"/>
      <c r="G200" s="66"/>
      <c r="H200" s="66"/>
      <c r="I200" s="52">
        <f t="shared" si="7"/>
        <v>4.2307692307692317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8">
        <v>65</v>
      </c>
      <c r="B201" s="58">
        <v>175</v>
      </c>
      <c r="C201" s="58"/>
      <c r="D201" s="58"/>
      <c r="E201" s="66"/>
      <c r="F201" s="66"/>
      <c r="G201" s="66"/>
      <c r="H201" s="66"/>
      <c r="I201" s="52">
        <f t="shared" si="7"/>
        <v>3.9743589743589722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8">
        <v>70</v>
      </c>
      <c r="B202" s="58">
        <v>194.23076923076923</v>
      </c>
      <c r="C202" s="58">
        <v>5</v>
      </c>
      <c r="D202" s="58">
        <v>18.589743589743588</v>
      </c>
      <c r="E202" s="66"/>
      <c r="F202" s="66"/>
      <c r="G202" s="66"/>
      <c r="H202" s="66"/>
      <c r="I202" s="52">
        <f t="shared" si="7"/>
        <v>3.8461538461538454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8">
        <v>75</v>
      </c>
      <c r="B203" s="58">
        <v>192.94871794871796</v>
      </c>
      <c r="C203" s="58"/>
      <c r="D203" s="58"/>
      <c r="E203" s="66"/>
      <c r="F203" s="66"/>
      <c r="G203" s="66"/>
      <c r="H203" s="66"/>
      <c r="I203" s="52">
        <f t="shared" si="7"/>
        <v>3.4615384615384643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8">
        <v>80</v>
      </c>
      <c r="B204" s="58">
        <v>209.61538461538461</v>
      </c>
      <c r="C204" s="58">
        <v>6</v>
      </c>
      <c r="D204" s="58">
        <v>17.948717948717949</v>
      </c>
      <c r="E204" s="67"/>
      <c r="F204" s="67"/>
      <c r="G204" s="67"/>
      <c r="H204" s="67"/>
      <c r="I204" s="52">
        <f t="shared" si="7"/>
        <v>3.3333333333333313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94">
        <v>85</v>
      </c>
      <c r="B205" s="63">
        <f>324/1.56</f>
        <v>207.69230769230768</v>
      </c>
      <c r="C205" s="94"/>
      <c r="D205" s="63"/>
      <c r="E205" s="57"/>
      <c r="F205" s="57"/>
      <c r="G205" s="57"/>
      <c r="H205" s="57"/>
      <c r="I205" s="52">
        <f t="shared" si="7"/>
        <v>3.2051282051282044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90</v>
      </c>
      <c r="B206" s="53">
        <v>222.43589743589743</v>
      </c>
      <c r="C206" s="53">
        <v>7</v>
      </c>
      <c r="D206" s="53">
        <v>16.666666666666668</v>
      </c>
      <c r="E206" s="57"/>
      <c r="F206" s="57"/>
      <c r="G206" s="57"/>
      <c r="H206" s="57"/>
      <c r="I206" s="52">
        <f t="shared" si="7"/>
        <v>2.9487179487179502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95</v>
      </c>
      <c r="B207" s="53">
        <v>220.5128205128205</v>
      </c>
      <c r="C207" s="53"/>
      <c r="D207" s="53"/>
      <c r="E207" s="57"/>
      <c r="F207" s="57"/>
      <c r="G207" s="57"/>
      <c r="H207" s="57"/>
      <c r="I207" s="52">
        <f t="shared" si="7"/>
        <v>2.9487179487179445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100</v>
      </c>
      <c r="B208" s="53">
        <v>233.97435897435898</v>
      </c>
      <c r="C208" s="53">
        <v>8</v>
      </c>
      <c r="D208" s="53">
        <v>16.025641025641026</v>
      </c>
      <c r="E208" s="57"/>
      <c r="F208" s="57"/>
      <c r="G208" s="57"/>
      <c r="H208" s="57"/>
      <c r="I208" s="52">
        <f t="shared" si="7"/>
        <v>2.6923076923076961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115</v>
      </c>
      <c r="B209" s="53">
        <v>254.48717948717947</v>
      </c>
      <c r="C209" s="53">
        <v>9</v>
      </c>
      <c r="D209" s="53">
        <v>21.153846153846153</v>
      </c>
      <c r="E209" s="57"/>
      <c r="F209" s="57"/>
      <c r="G209" s="57"/>
      <c r="H209" s="57"/>
      <c r="I209" s="52">
        <f t="shared" si="7"/>
        <v>2.4358974358974348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130</v>
      </c>
      <c r="B210" s="53">
        <v>265.38461538461536</v>
      </c>
      <c r="C210" s="53">
        <v>10</v>
      </c>
      <c r="D210" s="53">
        <v>265.38461538461536</v>
      </c>
      <c r="E210" s="57"/>
      <c r="F210" s="57"/>
      <c r="G210" s="57"/>
      <c r="H210" s="57"/>
      <c r="I210" s="52">
        <f t="shared" si="7"/>
        <v>2.1367521367521363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Chêne chevelu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20</v>
      </c>
      <c r="B218" s="63">
        <f>57/1.56</f>
        <v>36.53846153846154</v>
      </c>
      <c r="C218" s="53"/>
      <c r="D218" s="63"/>
      <c r="E218" s="66"/>
      <c r="F218" s="66"/>
      <c r="G218" s="66"/>
      <c r="H218" s="66"/>
      <c r="I218" s="56">
        <f>IFERROR(B218/A218,"")</f>
        <v>1.8269230769230771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25</v>
      </c>
      <c r="B219" s="63">
        <f>(87+7)/1.56</f>
        <v>60.256410256410255</v>
      </c>
      <c r="C219" s="53"/>
      <c r="D219" s="63"/>
      <c r="E219" s="66"/>
      <c r="F219" s="66"/>
      <c r="G219" s="66"/>
      <c r="H219" s="66"/>
      <c r="I219" s="56">
        <f t="shared" ref="I219:I237" si="8">IF(A219&lt;&gt;0,(B219-(B218-D218))/(A219-A218),"")</f>
        <v>4.7435897435897427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30</v>
      </c>
      <c r="B220" s="63">
        <f>(117+7+9)/1.56</f>
        <v>85.256410256410248</v>
      </c>
      <c r="C220" s="53">
        <v>1</v>
      </c>
      <c r="D220" s="63">
        <f>(7+9+11)/1.56</f>
        <v>17.307692307692307</v>
      </c>
      <c r="E220" s="66"/>
      <c r="F220" s="66"/>
      <c r="G220" s="66"/>
      <c r="H220" s="66">
        <v>1</v>
      </c>
      <c r="I220" s="56">
        <f t="shared" si="8"/>
        <v>4.9999999999999982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>
        <v>35</v>
      </c>
      <c r="B221" s="58">
        <f>146/1.56</f>
        <v>93.589743589743591</v>
      </c>
      <c r="C221" s="58"/>
      <c r="D221" s="58"/>
      <c r="E221" s="66"/>
      <c r="F221" s="66"/>
      <c r="G221" s="66"/>
      <c r="H221" s="66"/>
      <c r="I221" s="56">
        <f t="shared" si="8"/>
        <v>5.1282051282051295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>
        <v>40</v>
      </c>
      <c r="B222" s="58">
        <f>(173+13)/1.56</f>
        <v>119.23076923076923</v>
      </c>
      <c r="C222" s="58">
        <v>2</v>
      </c>
      <c r="D222" s="58">
        <f>(13+14)/1.56</f>
        <v>17.307692307692307</v>
      </c>
      <c r="E222" s="66"/>
      <c r="F222" s="66"/>
      <c r="G222" s="66"/>
      <c r="H222" s="66"/>
      <c r="I222" s="56">
        <f t="shared" si="8"/>
        <v>5.1282051282051269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>
        <v>45</v>
      </c>
      <c r="B223" s="58">
        <f>197/1.56</f>
        <v>126.28205128205128</v>
      </c>
      <c r="C223" s="58"/>
      <c r="D223" s="58"/>
      <c r="E223" s="66"/>
      <c r="F223" s="66"/>
      <c r="G223" s="66"/>
      <c r="H223" s="66"/>
      <c r="I223" s="56">
        <f t="shared" si="8"/>
        <v>4.8717948717948731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>
        <v>50</v>
      </c>
      <c r="B224" s="58">
        <f>(219+14)/1.56</f>
        <v>149.35897435897436</v>
      </c>
      <c r="C224" s="58">
        <v>3</v>
      </c>
      <c r="D224" s="58">
        <f>(14+15)/1.56</f>
        <v>18.589743589743588</v>
      </c>
      <c r="E224" s="66"/>
      <c r="F224" s="66"/>
      <c r="G224" s="66"/>
      <c r="H224" s="66"/>
      <c r="I224" s="56">
        <f t="shared" si="8"/>
        <v>4.6153846153846159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>
        <v>55</v>
      </c>
      <c r="B225" s="58">
        <f>239/1.56</f>
        <v>153.2051282051282</v>
      </c>
      <c r="C225" s="58"/>
      <c r="D225" s="58"/>
      <c r="E225" s="66"/>
      <c r="F225" s="66"/>
      <c r="G225" s="66"/>
      <c r="H225" s="66"/>
      <c r="I225" s="56">
        <f t="shared" si="8"/>
        <v>4.4871794871794863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>
        <v>60</v>
      </c>
      <c r="B226" s="58">
        <f>(257+15)/1.56</f>
        <v>174.35897435897436</v>
      </c>
      <c r="C226" s="58">
        <v>4</v>
      </c>
      <c r="D226" s="58">
        <f>(15+15)/1.56</f>
        <v>19.23076923076923</v>
      </c>
      <c r="E226" s="66"/>
      <c r="F226" s="66"/>
      <c r="G226" s="66"/>
      <c r="H226" s="66"/>
      <c r="I226" s="56">
        <f t="shared" si="8"/>
        <v>4.2307692307692317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>
        <v>65</v>
      </c>
      <c r="B227" s="58">
        <f>273/1.56</f>
        <v>175</v>
      </c>
      <c r="C227" s="58"/>
      <c r="D227" s="58"/>
      <c r="E227" s="66"/>
      <c r="F227" s="66"/>
      <c r="G227" s="66"/>
      <c r="H227" s="66"/>
      <c r="I227" s="56">
        <f t="shared" si="8"/>
        <v>3.9743589743589722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>
        <v>70</v>
      </c>
      <c r="B228" s="58">
        <f>(288+15)/1.56</f>
        <v>194.23076923076923</v>
      </c>
      <c r="C228" s="58">
        <v>5</v>
      </c>
      <c r="D228" s="58">
        <f>(15+14)/1.56</f>
        <v>18.589743589743588</v>
      </c>
      <c r="E228" s="66"/>
      <c r="F228" s="66"/>
      <c r="G228" s="66"/>
      <c r="H228" s="66"/>
      <c r="I228" s="56">
        <f t="shared" si="8"/>
        <v>3.8461538461538454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>
        <v>75</v>
      </c>
      <c r="B229" s="58">
        <f>301/1.56</f>
        <v>192.94871794871796</v>
      </c>
      <c r="C229" s="58"/>
      <c r="D229" s="58"/>
      <c r="E229" s="66"/>
      <c r="F229" s="66"/>
      <c r="G229" s="66"/>
      <c r="H229" s="66"/>
      <c r="I229" s="56">
        <f t="shared" si="8"/>
        <v>3.4615384615384643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>
        <v>80</v>
      </c>
      <c r="B230" s="58">
        <f>(313+14)/1.56</f>
        <v>209.61538461538461</v>
      </c>
      <c r="C230" s="58">
        <v>6</v>
      </c>
      <c r="D230" s="58">
        <f>(14+14)/1.56</f>
        <v>17.948717948717949</v>
      </c>
      <c r="E230" s="67"/>
      <c r="F230" s="67"/>
      <c r="G230" s="67"/>
      <c r="H230" s="67"/>
      <c r="I230" s="56">
        <f t="shared" si="8"/>
        <v>3.3333333333333313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>
        <v>85</v>
      </c>
      <c r="B231" s="63">
        <f>324/1.56</f>
        <v>207.69230769230768</v>
      </c>
      <c r="C231" s="94"/>
      <c r="D231" s="63"/>
      <c r="E231" s="57"/>
      <c r="F231" s="57"/>
      <c r="G231" s="57"/>
      <c r="H231" s="57"/>
      <c r="I231" s="56">
        <f t="shared" si="8"/>
        <v>3.2051282051282044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>
        <v>90</v>
      </c>
      <c r="B232" s="53">
        <f>(334+13)/1.56</f>
        <v>222.43589743589743</v>
      </c>
      <c r="C232" s="53">
        <v>7</v>
      </c>
      <c r="D232" s="53">
        <f>(13+13)/1.56</f>
        <v>16.666666666666668</v>
      </c>
      <c r="E232" s="57"/>
      <c r="F232" s="57"/>
      <c r="G232" s="57"/>
      <c r="H232" s="57"/>
      <c r="I232" s="56">
        <f t="shared" si="8"/>
        <v>2.9487179487179502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>
        <v>95</v>
      </c>
      <c r="B233" s="53">
        <f>344/1.56</f>
        <v>220.5128205128205</v>
      </c>
      <c r="C233" s="53"/>
      <c r="D233" s="53"/>
      <c r="E233" s="57"/>
      <c r="F233" s="57"/>
      <c r="G233" s="57"/>
      <c r="H233" s="57"/>
      <c r="I233" s="56">
        <f t="shared" si="8"/>
        <v>2.9487179487179445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>
        <v>100</v>
      </c>
      <c r="B234" s="53">
        <f>(352+13)/1.56</f>
        <v>233.97435897435898</v>
      </c>
      <c r="C234" s="53">
        <v>8</v>
      </c>
      <c r="D234" s="53">
        <f>(13+12)/1.56</f>
        <v>16.025641025641026</v>
      </c>
      <c r="E234" s="57"/>
      <c r="F234" s="57"/>
      <c r="G234" s="57"/>
      <c r="H234" s="57"/>
      <c r="I234" s="56">
        <f t="shared" si="8"/>
        <v>2.6923076923076961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>
        <v>115</v>
      </c>
      <c r="B235" s="53">
        <f>(375+11+11)/1.56</f>
        <v>254.48717948717947</v>
      </c>
      <c r="C235" s="53">
        <v>9</v>
      </c>
      <c r="D235" s="53">
        <f>(11+11+11)/1.56</f>
        <v>21.153846153846153</v>
      </c>
      <c r="E235" s="57"/>
      <c r="F235" s="57"/>
      <c r="G235" s="57"/>
      <c r="H235" s="57"/>
      <c r="I235" s="56">
        <f t="shared" si="8"/>
        <v>2.4358974358974348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>
        <v>130</v>
      </c>
      <c r="B236" s="53">
        <f>(394+10+10)/1.56</f>
        <v>265.38461538461536</v>
      </c>
      <c r="C236" s="53">
        <v>10</v>
      </c>
      <c r="D236" s="53">
        <f>B236</f>
        <v>265.38461538461536</v>
      </c>
      <c r="E236" s="57"/>
      <c r="F236" s="57"/>
      <c r="G236" s="57"/>
      <c r="H236" s="57"/>
      <c r="I236" s="56">
        <f t="shared" si="8"/>
        <v>2.1367521367521363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Erable champêtre</v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20</v>
      </c>
      <c r="B244" s="63">
        <v>18</v>
      </c>
      <c r="C244" s="63"/>
      <c r="D244" s="63"/>
      <c r="E244" s="54"/>
      <c r="F244" s="54"/>
      <c r="G244" s="54"/>
      <c r="H244" s="66"/>
      <c r="I244" s="56">
        <f>IFERROR(B244/A244,"")</f>
        <v>0.9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25</v>
      </c>
      <c r="B245" s="63">
        <f>53+3</f>
        <v>56</v>
      </c>
      <c r="C245" s="63"/>
      <c r="D245" s="63"/>
      <c r="E245" s="66"/>
      <c r="F245" s="66"/>
      <c r="G245" s="66"/>
      <c r="H245" s="66"/>
      <c r="I245" s="56">
        <f>IF(A245&lt;&gt;0,(B245-(B244-D244))/(A245-A244),"")</f>
        <v>7.6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30</v>
      </c>
      <c r="B246" s="63">
        <f>76+3+14</f>
        <v>93</v>
      </c>
      <c r="C246" s="63">
        <v>1</v>
      </c>
      <c r="D246" s="63">
        <f>3+14+14</f>
        <v>31</v>
      </c>
      <c r="E246" s="66"/>
      <c r="F246" s="66"/>
      <c r="G246" s="66"/>
      <c r="H246" s="66">
        <v>1</v>
      </c>
      <c r="I246" s="56">
        <f>IF(A246&lt;&gt;0,(B246-(B245-D245))/(A246-A245),"")</f>
        <v>7.4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35</v>
      </c>
      <c r="B247" s="63">
        <v>95</v>
      </c>
      <c r="C247" s="63"/>
      <c r="D247" s="63"/>
      <c r="E247" s="66"/>
      <c r="F247" s="66"/>
      <c r="G247" s="66"/>
      <c r="H247" s="66"/>
      <c r="I247" s="56">
        <f t="shared" ref="I247:I263" si="9">IF(A247&lt;&gt;0,(B247-(B246-D246))/(A247-A246),"")</f>
        <v>6.6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40</v>
      </c>
      <c r="B248" s="63">
        <f>109+14</f>
        <v>123</v>
      </c>
      <c r="C248" s="63">
        <v>2</v>
      </c>
      <c r="D248" s="63">
        <f>14+14</f>
        <v>28</v>
      </c>
      <c r="E248" s="66"/>
      <c r="F248" s="66"/>
      <c r="G248" s="66"/>
      <c r="H248" s="66"/>
      <c r="I248" s="56">
        <f t="shared" si="9"/>
        <v>5.6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45</v>
      </c>
      <c r="B249" s="63">
        <v>120</v>
      </c>
      <c r="C249" s="63"/>
      <c r="D249" s="63"/>
      <c r="E249" s="66"/>
      <c r="F249" s="66"/>
      <c r="G249" s="66"/>
      <c r="H249" s="66"/>
      <c r="I249" s="56">
        <f t="shared" si="9"/>
        <v>5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>
        <v>50</v>
      </c>
      <c r="B250" s="63">
        <f>127+14</f>
        <v>141</v>
      </c>
      <c r="C250" s="63">
        <v>3</v>
      </c>
      <c r="D250" s="63">
        <f>14+11</f>
        <v>25</v>
      </c>
      <c r="E250" s="66"/>
      <c r="F250" s="66"/>
      <c r="G250" s="66"/>
      <c r="H250" s="66"/>
      <c r="I250" s="56">
        <f t="shared" si="9"/>
        <v>4.2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>
        <v>55</v>
      </c>
      <c r="B251" s="58">
        <v>133</v>
      </c>
      <c r="C251" s="58"/>
      <c r="D251" s="58"/>
      <c r="E251" s="66"/>
      <c r="F251" s="66"/>
      <c r="G251" s="66"/>
      <c r="H251" s="66"/>
      <c r="I251" s="56">
        <f t="shared" si="9"/>
        <v>3.4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>
        <v>60</v>
      </c>
      <c r="B252" s="58">
        <f>140+9</f>
        <v>149</v>
      </c>
      <c r="C252" s="58">
        <v>4</v>
      </c>
      <c r="D252" s="58">
        <f>9+7</f>
        <v>16</v>
      </c>
      <c r="E252" s="66"/>
      <c r="F252" s="66"/>
      <c r="G252" s="66"/>
      <c r="H252" s="66"/>
      <c r="I252" s="56">
        <f t="shared" si="9"/>
        <v>3.2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>
        <v>65</v>
      </c>
      <c r="B253" s="58">
        <v>146</v>
      </c>
      <c r="C253" s="58"/>
      <c r="D253" s="58"/>
      <c r="E253" s="66"/>
      <c r="F253" s="66"/>
      <c r="G253" s="66"/>
      <c r="H253" s="66"/>
      <c r="I253" s="56">
        <f t="shared" si="9"/>
        <v>2.6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>
        <v>70</v>
      </c>
      <c r="B254" s="58">
        <f>151+6</f>
        <v>157</v>
      </c>
      <c r="C254" s="58">
        <v>5</v>
      </c>
      <c r="D254" s="58">
        <f>6+5</f>
        <v>11</v>
      </c>
      <c r="E254" s="66"/>
      <c r="F254" s="66"/>
      <c r="G254" s="66"/>
      <c r="H254" s="66"/>
      <c r="I254" s="56">
        <f t="shared" si="9"/>
        <v>2.2000000000000002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>
        <v>75</v>
      </c>
      <c r="B255" s="58">
        <v>155</v>
      </c>
      <c r="C255" s="58"/>
      <c r="D255" s="58"/>
      <c r="E255" s="66"/>
      <c r="F255" s="66"/>
      <c r="G255" s="66"/>
      <c r="H255" s="66"/>
      <c r="I255" s="56">
        <f t="shared" si="9"/>
        <v>1.8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>
        <v>80</v>
      </c>
      <c r="B256" s="58">
        <f>160+4</f>
        <v>164</v>
      </c>
      <c r="C256" s="58">
        <v>6</v>
      </c>
      <c r="D256" s="58">
        <f>B256</f>
        <v>164</v>
      </c>
      <c r="E256" s="67"/>
      <c r="F256" s="67"/>
      <c r="G256" s="67"/>
      <c r="H256" s="67"/>
      <c r="I256" s="56">
        <f t="shared" si="9"/>
        <v>1.8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1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d'Alep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pignon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Cormier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Cyprès de Provence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Micocoulier de Provence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Cèdre de l'Atlas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Chêne pubescent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Chêne chevelu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>Erable champêtre</v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135.66666666666666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117.33333333333333</v>
      </c>
      <c r="S3" s="62">
        <f ca="1">AVERAGE(OFFSET($R$3,0,0,'Données projet'!$E$9+1,1))-AVERAGE(OFFSET($H$3,0,0,'Données projet'!$E$9+1,1))</f>
        <v>221.18884567967481</v>
      </c>
      <c r="T3" s="62">
        <f>IF('Données projet'!E9&gt;30,$R$33-$H$33,LOOKUP('Données projet'!$E$9,$A$3:$A$203,R3:R203)-LOOKUP('Données projet'!$E$9,$A$3:$A$203,$H$3:$H$203))</f>
        <v>189.31596996710888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117.33333333333333</v>
      </c>
      <c r="AN3" s="62">
        <f ca="1">AVERAGE(OFFSET($AM$3,0,0,'Données projet'!$E$10+1,1))-AVERAGE(OFFSET($H$3,0,0,'Données projet'!$E$10+1,1))</f>
        <v>314.72063458462026</v>
      </c>
      <c r="AO3" s="62">
        <f>IF('Données projet'!E10&gt;30,$AM$33-$H$33,LOOKUP('Données projet'!$E$10,$A$3:$A$203,AM3:AM203)-LOOKUP('Données projet'!$E$10,$A$3:$A$203,$H$3:$H$203))</f>
        <v>216.4380325968244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117.33333333333333</v>
      </c>
      <c r="BI3" s="62">
        <f ca="1">AVERAGE(OFFSET($BH$3,0,0,'Données projet'!$E$11+1,1))-AVERAGE(OFFSET($H$3,0,0,'Données projet'!$E$11+1,1))</f>
        <v>455.26558725507834</v>
      </c>
      <c r="BJ3" s="62">
        <f>IF('Données projet'!E11&gt;30,$BH$33-$H$33,LOOKUP('Données projet'!$E$11,$A$3:$A$203,BH3:BH203)-LOOKUP('Données projet'!$E$11,$A$3:$A$203,$H$3:$H$203))</f>
        <v>278.60310966788552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117.33333333333333</v>
      </c>
      <c r="CD3" s="62">
        <f ca="1">AVERAGE(OFFSET($CC$3,0,0,'Données projet'!$E$12+1,1))-AVERAGE(OFFSET($H$3,0,0,'Données projet'!$E$12+1,1))</f>
        <v>300.72820267660154</v>
      </c>
      <c r="CE3" s="62">
        <f>IF('Données projet'!E12&gt;30,$CC$33-$H$33,LOOKUP('Données projet'!$E$12,$A$3:$A$203,CC3:CC203)-LOOKUP('Données projet'!$E$12,$A$3:$A$203,$H$3:$H$203))</f>
        <v>228.35388778608589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117.33333333333333</v>
      </c>
      <c r="CY3" s="62">
        <f ca="1">AVERAGE(OFFSET($CX$3,0,0,'Données projet'!$E$13+1,1))-AVERAGE(OFFSET($H$3,0,0,'Données projet'!$E$13+1,1))</f>
        <v>384.3367849108829</v>
      </c>
      <c r="CZ3" s="62">
        <f>IF('Données projet'!E13&gt;30,$CX$33-$H$33,LOOKUP('Données projet'!$E$13,$A$3:$A$203,CX3:CX203)-LOOKUP('Données projet'!$E$13,$A$3:$A$203,$H$3:$H$203))</f>
        <v>238.2697272367603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117.33333333333333</v>
      </c>
      <c r="DT3" s="62">
        <f ca="1">AVERAGE(OFFSET($DS$3,0,0,'Données projet'!$E$14+1,1))-AVERAGE(OFFSET($H$3,0,0,'Données projet'!$E$14+1,1))</f>
        <v>304.1100958939968</v>
      </c>
      <c r="DU3" s="62">
        <f>IF('Données projet'!E14&gt;30,$DS$33-$H$33,LOOKUP('Données projet'!$E$14,$A$3:$A$203,DS3:DS203)-LOOKUP('Données projet'!$E$14,$A$3:$A$203,$H$3:$H$203))</f>
        <v>184.1255966824568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117.33333333333333</v>
      </c>
      <c r="EO3" s="62">
        <f ca="1">AVERAGE(OFFSET($EN$3,0,0,'Données projet'!$E$15+1,1))-AVERAGE(OFFSET($H$3,0,0,'Données projet'!$E$15+1,1))</f>
        <v>435.03433721979218</v>
      </c>
      <c r="EP3" s="62">
        <f>IF('Données projet'!E15&gt;30,$EN$33-$H$33,LOOKUP('Données projet'!$E$15,$A$3:$A$203,EN3:EN203)-LOOKUP('Données projet'!$E$15,$A$3:$A$203,$H$3:$H$203))</f>
        <v>267.10015759286387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117.33333333333333</v>
      </c>
      <c r="FJ3" s="62">
        <f ca="1">AVERAGE(OFFSET($FI$3,0,0,'Données projet'!$E$16+1,1))-AVERAGE(OFFSET($H$3,0,0,'Données projet'!$E$16+1,1))</f>
        <v>445.15313998584293</v>
      </c>
      <c r="FK3" s="62">
        <f>IF('Données projet'!E16&gt;30,$FI$33-$H$33,LOOKUP('Données projet'!$E$16,$A$3:$A$203,FI3:FI203)-LOOKUP('Données projet'!$E$16,$A$3:$A$203,$H$3:$H$203))</f>
        <v>272.85357736694834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117.33333333333333</v>
      </c>
      <c r="GE3" s="62">
        <f ca="1">AVERAGE(OFFSET($GD$3,0,0,'Données projet'!$E$17+1,1))-AVERAGE(OFFSET($H$3,0,0,'Données projet'!$E$17+1,1))</f>
        <v>248.82613595888964</v>
      </c>
      <c r="GF3" s="62">
        <f>IF('Données projet'!E17&gt;30,$GD$33-$H$33,LOOKUP('Données projet'!$E$17,$A$3:$A$203,GD3:GD203)-LOOKUP('Données projet'!$E$17,$A$3:$A$203,$H$3:$H$203))</f>
        <v>255.8298580882084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135.66666666666666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1.4025641025641027</v>
      </c>
      <c r="N4" s="14">
        <f>IF('Données projet'!$A$36&gt;35,N3+M4-V3,IF(A4&lt;'Données projet'!$A$36,$K$205^A4,IF(A4='Données projet'!$A$36,'Données projet'!$B$36,N3+M4-V3)))</f>
        <v>1.2251829146849735</v>
      </c>
      <c r="O4" s="14">
        <f>N4*VLOOKUP('Données projet'!$B$9,Paramètres!$A$1:$I$89,3,0)*VLOOKUP('Données projet'!$B$9,Paramètres!$A$1:$I$89,5,0)</f>
        <v>0.71673200509070967</v>
      </c>
      <c r="P4" s="14">
        <f>EXP(-1.0587+0.8836*LN(O4)+0.284)</f>
        <v>0.34335654603330507</v>
      </c>
      <c r="Q4" s="22">
        <f t="shared" ref="Q4:Q34" si="2">(O4+P4)*0.475*44/12</f>
        <v>1.8463208932076591</v>
      </c>
      <c r="R4" s="62">
        <f t="shared" si="0"/>
        <v>122.81899827942969</v>
      </c>
      <c r="S4" s="62">
        <f ca="1">AVERAGE(OFFSET($R$3,0,0,'Données projet'!$E$9+1,1))-AVERAGE(OFFSET($H$3,0,0,'Données projet'!$E$9+1,1))</f>
        <v>221.18884567967481</v>
      </c>
      <c r="T4" s="62">
        <f>$T$3</f>
        <v>189.31596996710888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1.5341666666666667</v>
      </c>
      <c r="AI4" s="14">
        <f>IF('Données projet'!$A$62&gt;35,AI3+AH4-AQ3,IF(A4&lt;'Données projet'!$A$62,$AF$205^A4,IF(A4='Données projet'!$A$62,'Données projet'!$B$62,AI3+AH4-AQ3)))</f>
        <v>1.3139754596796083</v>
      </c>
      <c r="AJ4" s="14">
        <f>AI4*VLOOKUP('Données projet'!$B$10,Paramètres!$A$1:$I$89,3,0)*VLOOKUP('Données projet'!$B$10,Paramètres!$A$1:$I$89,5,0)</f>
        <v>1.5136997295509085</v>
      </c>
      <c r="AK4" s="14">
        <f>EXP(-1.0587+0.8836*LN(AJ4)+0.284)</f>
        <v>0.66471453171137918</v>
      </c>
      <c r="AL4" s="22">
        <f t="shared" ref="AL4:AL67" si="4">(AJ4+AK4)*0.475*44/12</f>
        <v>3.7940715050318166</v>
      </c>
      <c r="AM4" s="62">
        <f t="shared" ref="AM4:AM67" si="5">AL4+(AD4+AE4)*44/12</f>
        <v>124.76674889125385</v>
      </c>
      <c r="AN4" s="62">
        <f ca="1">AVERAGE(OFFSET($AM$3,0,0,'Données projet'!$E$10+1,1))-AVERAGE(OFFSET($H$3,0,0,'Données projet'!$E$10+1,1))</f>
        <v>314.72063458462026</v>
      </c>
      <c r="AO4" s="62">
        <f>$AO$3</f>
        <v>216.4380325968244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1.8269230769230771</v>
      </c>
      <c r="BD4" s="13">
        <f>IF('Données projet'!$A$88&gt;35,BD3+BC4-BL3,IF(A4&lt;'Données projet'!$A$88,$BA$205^A4,IF(A4='Données projet'!$A$88,'Données projet'!$B$88,BD3+BC4-BL3)))</f>
        <v>1.197119521332874</v>
      </c>
      <c r="BE4" s="14">
        <f>BD4*VLOOKUP('Données projet'!$B$11,Paramètres!$A$1:$I$89,3,0)*VLOOKUP('Données projet'!$B$11,Paramètres!$A$1:$I$89,5,0)</f>
        <v>1.2885794527627055</v>
      </c>
      <c r="BF4" s="14">
        <f>EXP(-1.0587+0.8836*LN(BE4)+0.284)</f>
        <v>0.57656240805700631</v>
      </c>
      <c r="BG4" s="22">
        <f t="shared" ref="BG4:BG67" si="7">(BE4+BF4)*0.475*44/12</f>
        <v>3.2484554075943315</v>
      </c>
      <c r="BH4" s="62">
        <f t="shared" ref="BH4:BH67" si="8">BG4+(AY4+AZ4)*44/12</f>
        <v>124.22113279381637</v>
      </c>
      <c r="BI4" s="62">
        <f ca="1">AVERAGE(OFFSET($BH$3,0,0,'Données projet'!$E$11+1,1))-AVERAGE(OFFSET($H$3,0,0,'Données projet'!$E$11+1,1))</f>
        <v>455.26558725507834</v>
      </c>
      <c r="BJ4" s="62">
        <f>$BJ$3</f>
        <v>278.60310966788552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4.0533333333333328</v>
      </c>
      <c r="BY4" s="13">
        <f>IF('Données projet'!$A$114&gt;35,BY3+BX4-CG3,IF(A4&lt;'Données projet'!$A$114,$BV$205^A4,IF(A4='Données projet'!$A$114,'Données projet'!$B$114,BY3+BX4-CG3)))</f>
        <v>1.3150034895347604</v>
      </c>
      <c r="BZ4" s="14">
        <f>BY4*VLOOKUP('Données projet'!$B$12,Paramètres!$A$1:$I$89,3,0)*VLOOKUP('Données projet'!$B$12,Paramètres!$A$1:$I$89,5,0)</f>
        <v>0.68380181455807543</v>
      </c>
      <c r="CA4" s="14">
        <f>EXP(-1.0587+0.8836*LN(BZ4)+0.284)</f>
        <v>0.32937939902629387</v>
      </c>
      <c r="CB4" s="22">
        <f t="shared" ref="CB4:CB67" si="10">(BZ4+CA4)*0.475*44/12</f>
        <v>1.764623946992776</v>
      </c>
      <c r="CC4" s="62">
        <f t="shared" ref="CC4:CC67" si="11">CB4+(BT4+BU4)*44/12</f>
        <v>122.7373013332148</v>
      </c>
      <c r="CD4" s="62">
        <f ca="1">AVERAGE(OFFSET($CC$3,0,0,'Données projet'!$E$12+1,1))-AVERAGE(OFFSET($H$3,0,0,'Données projet'!$E$12+1,1))</f>
        <v>300.72820267660154</v>
      </c>
      <c r="CE4" s="62">
        <f>$CE$3</f>
        <v>228.35388778608589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1.8269230769230771</v>
      </c>
      <c r="CT4" s="13">
        <f>IF('Données projet'!$A$140&gt;35,CT3+CS4-DB3,IF(A4&lt;'Données projet'!$A$140,$CQ$205^A4,IF(A4='Données projet'!$A$140,'Données projet'!$B$140,CT3+CS4-DB3)))</f>
        <v>1.197119521332874</v>
      </c>
      <c r="CU4" s="18">
        <f>CT4*VLOOKUP('Données projet'!$B$13,Paramètres!$A$1:$I$89,3,0)*VLOOKUP('Données projet'!$B$13,Paramètres!$A$1:$I$89,5,0)</f>
        <v>1.027128549303606</v>
      </c>
      <c r="CV4" s="14">
        <f>EXP(-1.0587+0.8836*LN(CU4)+0.284)</f>
        <v>0.47187149030466674</v>
      </c>
      <c r="CW4" s="22">
        <f t="shared" ref="CW4:CW67" si="13">(CU4+CV4)*0.475*44/12</f>
        <v>2.6107584023177419</v>
      </c>
      <c r="CX4" s="62">
        <f t="shared" ref="CX4:CX67" si="14">CW4+(CO4+CP4)*44/12</f>
        <v>123.58343578853977</v>
      </c>
      <c r="CY4" s="62">
        <f ca="1">AVERAGE(OFFSET($CX$3,0,0,'Données projet'!$E$13+1,1))-AVERAGE(OFFSET($H$3,0,0,'Données projet'!$E$13+1,1))</f>
        <v>384.3367849108829</v>
      </c>
      <c r="CZ4" s="62">
        <f>$CZ$3</f>
        <v>238.2697272367603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3.4425641025641025</v>
      </c>
      <c r="DO4" s="13">
        <f>IF('Données projet'!$A$166&gt;35,DO3+DN4-DW3,IF(A4&lt;'Données projet'!$A$166,$DL$205^A4,IF(A4='Données projet'!$A$166,'Données projet'!$B$166,DO3+DN4-DW3)))</f>
        <v>1.1671681906248585</v>
      </c>
      <c r="DP4" s="18">
        <f>DO4*VLOOKUP('Données projet'!$B$14,Paramètres!$A$1:$I$89,3,0)*VLOOKUP('Données projet'!$B$14,Paramètres!$A$1:$I$89,5,0)</f>
        <v>0.54623471321243378</v>
      </c>
      <c r="DQ4" s="14">
        <f>EXP(-1.0587+0.8836*LN(DP4)+0.284)</f>
        <v>0.27008496636632595</v>
      </c>
      <c r="DR4" s="22">
        <f t="shared" ref="DR4:DR67" si="16">(DP4+DQ4)*0.475*44/12</f>
        <v>1.4217567752663396</v>
      </c>
      <c r="DS4" s="62">
        <f t="shared" ref="DS4:DS67" si="17">DR4+(DJ4+DK4)*44/12</f>
        <v>122.39443416148838</v>
      </c>
      <c r="DT4" s="62">
        <f ca="1">AVERAGE(OFFSET($DS$3,0,0,'Données projet'!$E$14+1,1))-AVERAGE(OFFSET($H$3,0,0,'Données projet'!$E$14+1,1))</f>
        <v>304.1100958939968</v>
      </c>
      <c r="DU4" s="62">
        <f>$DU$3</f>
        <v>184.1255966824568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1.8269230769230771</v>
      </c>
      <c r="EJ4" s="13">
        <f>IF('Données projet'!$A$192&gt;35,EJ3+EI4-ER3,IF(A4&lt;'Données projet'!$A$192,$EG$205^A4,IF(A4='Données projet'!$A$192,'Données projet'!$B$192,EJ3+EI4-ER3)))</f>
        <v>1.197119521332874</v>
      </c>
      <c r="EK4" s="18">
        <f>EJ4*VLOOKUP('Données projet'!$B$15,Paramètres!$A$1:$I$89,3,0)*VLOOKUP('Données projet'!$B$15,Paramètres!$A$1:$I$89,5,0)</f>
        <v>1.2138791946315344</v>
      </c>
      <c r="EL4" s="14">
        <f>EXP(-1.0587+0.8836*LN(EK4)+0.284)</f>
        <v>0.54692718218866254</v>
      </c>
      <c r="EM4" s="22">
        <f t="shared" ref="EM4:EM67" si="19">(EK4+EL4)*0.475*44/12</f>
        <v>3.0667377729618424</v>
      </c>
      <c r="EN4" s="62">
        <f t="shared" ref="EN4:EN67" si="20">EM4+(EE4+EF4)*44/12</f>
        <v>124.03941515918387</v>
      </c>
      <c r="EO4" s="62">
        <f ca="1">AVERAGE(OFFSET($EN$3,0,0,'Données projet'!$E$15+1,1))-AVERAGE(OFFSET($H$3,0,0,'Données projet'!$E$15+1,1))</f>
        <v>435.03433721979218</v>
      </c>
      <c r="EP4" s="62">
        <f>$EP$3</f>
        <v>267.10015759286387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1.8269230769230771</v>
      </c>
      <c r="FE4" s="13">
        <f>IF('Données projet'!$A$218&gt;35,FE3+FD4-FM3,IF(A4&lt;'Données projet'!$A$218,$FB$205^A4,IF(A4='Données projet'!$A$218,'Données projet'!$B$218,FE3+FD4-FM3)))</f>
        <v>1.197119521332874</v>
      </c>
      <c r="FF4" s="18">
        <f>FE4*VLOOKUP('Données projet'!$B$16,Paramètres!$A$1:$I$89,3,0)*VLOOKUP('Données projet'!$B$16,Paramètres!$A$1:$I$89,5,0)</f>
        <v>1.2512293236971201</v>
      </c>
      <c r="FG4" s="14">
        <f>EXP(-1.0587+0.8836*LN(FF4)+0.284)</f>
        <v>0.56177054198202969</v>
      </c>
      <c r="FH4" s="22">
        <f t="shared" ref="FH4:FH67" si="22">(FF4+FG4)*0.475*44/12</f>
        <v>3.1576414327245192</v>
      </c>
      <c r="FI4" s="62">
        <f t="shared" ref="FI4:FI67" si="23">FH4+(EZ4+FA4)*44/12</f>
        <v>124.13031881894655</v>
      </c>
      <c r="FJ4" s="62">
        <f ca="1">AVERAGE(OFFSET($FI$3,0,0,'Données projet'!$E$16+1,1))-AVERAGE(OFFSET($H$3,0,0,'Données projet'!$E$16+1,1))</f>
        <v>445.15313998584293</v>
      </c>
      <c r="FK4" s="62">
        <f>$FK$3</f>
        <v>272.85357736694834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0.9</v>
      </c>
      <c r="FZ4" s="13">
        <f>IF('Données projet'!$A$244&gt;35,FZ3+FY4-GH3,IF(A4&lt;'Données projet'!$A$244,$FW$205^A4,IF(A4='Données projet'!$A$244,'Données projet'!$B$244,FZ3+FY4-GH3)))</f>
        <v>1.1554831727638066</v>
      </c>
      <c r="GA4" s="18">
        <f>FZ4*VLOOKUP('Données projet'!$B$17,Paramètres!$A$1:$I$89,3,0)*VLOOKUP('Données projet'!$B$17,Paramètres!$A$1:$I$89,5,0)</f>
        <v>1.0094300997264616</v>
      </c>
      <c r="GB4" s="14">
        <f>EXP(-1.0587+0.8836*LN(GA4)+0.284)</f>
        <v>0.46467984937949935</v>
      </c>
      <c r="GC4" s="22">
        <f t="shared" ref="GC4:GC67" si="25">(GA4+GB4)*0.475*44/12</f>
        <v>2.5674081613595483</v>
      </c>
      <c r="GD4" s="62">
        <f t="shared" ref="GD4:GD67" si="26">GC4+(FU4+FV4)*44/12</f>
        <v>123.54008554758158</v>
      </c>
      <c r="GE4" s="62">
        <f ca="1">AVERAGE(OFFSET($GD$3,0,0,'Données projet'!$E$17+1,1))-AVERAGE(OFFSET($H$3,0,0,'Données projet'!$E$17+1,1))</f>
        <v>248.82613595888964</v>
      </c>
      <c r="GF4" s="62">
        <f>$GF$3</f>
        <v>255.8298580882084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135.66666666666666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1.4025641025641027</v>
      </c>
      <c r="N5" s="14">
        <f>IF('Données projet'!$A$36&gt;35,N4+M5-V4,IF(A5&lt;'Données projet'!$A$36,$K$205^A5,IF(A5='Données projet'!$A$36,'Données projet'!$B$36,N4+M5-V4)))</f>
        <v>1.5010731744359671</v>
      </c>
      <c r="O5" s="14">
        <f>N5*VLOOKUP('Données projet'!$B$9,Paramètres!$A$1:$I$89,3,0)*VLOOKUP('Données projet'!$B$9,Paramètres!$A$1:$I$89,5,0)</f>
        <v>0.87812780704504079</v>
      </c>
      <c r="P5" s="14">
        <f t="shared" ref="P5:P68" si="33">EXP(-1.0587+0.8836*LN(O5)+0.284)</f>
        <v>0.41084657890202247</v>
      </c>
      <c r="Q5" s="22">
        <f t="shared" si="2"/>
        <v>2.2449637221911352</v>
      </c>
      <c r="R5" s="62">
        <f t="shared" si="0"/>
        <v>126.81505350141465</v>
      </c>
      <c r="S5" s="62">
        <f ca="1">AVERAGE(OFFSET($R$3,0,0,'Données projet'!$E$9+1,1))-AVERAGE(OFFSET($H$3,0,0,'Données projet'!$E$9+1,1))</f>
        <v>221.18884567967481</v>
      </c>
      <c r="T5" s="62">
        <f t="shared" ref="T5:T68" si="34">$T$3</f>
        <v>189.31596996710888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1.5341666666666667</v>
      </c>
      <c r="AI5" s="14">
        <f>IF('Données projet'!$A$62&gt;35,AI4+AH5-AQ4,IF(A5&lt;'Données projet'!$A$62,$AF$205^A5,IF(A5='Données projet'!$A$62,'Données projet'!$B$62,AI4+AH5-AQ4)))</f>
        <v>1.726531508640238</v>
      </c>
      <c r="AJ5" s="14">
        <f>AI5*VLOOKUP('Données projet'!$B$10,Paramètres!$A$1:$I$89,3,0)*VLOOKUP('Données projet'!$B$10,Paramètres!$A$1:$I$89,5,0)</f>
        <v>1.988964297953554</v>
      </c>
      <c r="AK5" s="14">
        <f t="shared" ref="AK5:AK68" si="35">EXP(-1.0587+0.8836*LN(AJ5)+0.284)</f>
        <v>0.84609449833706862</v>
      </c>
      <c r="AL5" s="22">
        <f t="shared" si="4"/>
        <v>4.9377274035395011</v>
      </c>
      <c r="AM5" s="62">
        <f t="shared" si="5"/>
        <v>129.50781718276303</v>
      </c>
      <c r="AN5" s="62">
        <f ca="1">AVERAGE(OFFSET($AM$3,0,0,'Données projet'!$E$10+1,1))-AVERAGE(OFFSET($H$3,0,0,'Données projet'!$E$10+1,1))</f>
        <v>314.72063458462026</v>
      </c>
      <c r="AO5" s="62">
        <f t="shared" ref="AO5:AO68" si="36">$AO$3</f>
        <v>216.4380325968244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1.8269230769230771</v>
      </c>
      <c r="BD5" s="13">
        <f>IF('Données projet'!$A$88&gt;35,BD4+BC5-BL4,IF(A5&lt;'Données projet'!$A$88,$BA$205^A5,IF(A5='Données projet'!$A$88,'Données projet'!$B$88,BD4+BC5-BL4)))</f>
        <v>1.4330951483562495</v>
      </c>
      <c r="BE5" s="14">
        <f>BD5*VLOOKUP('Données projet'!$B$11,Paramètres!$A$1:$I$89,3,0)*VLOOKUP('Données projet'!$B$11,Paramètres!$A$1:$I$89,5,0)</f>
        <v>1.5425836176906669</v>
      </c>
      <c r="BF5" s="14">
        <f t="shared" ref="BF5:BF68" si="37">EXP(-1.0587+0.8836*LN(BE5)+0.284)</f>
        <v>0.67590962253554199</v>
      </c>
      <c r="BG5" s="22">
        <f t="shared" si="7"/>
        <v>3.8638757267273136</v>
      </c>
      <c r="BH5" s="62">
        <f t="shared" si="8"/>
        <v>128.43396550595082</v>
      </c>
      <c r="BI5" s="62">
        <f ca="1">AVERAGE(OFFSET($BH$3,0,0,'Données projet'!$E$11+1,1))-AVERAGE(OFFSET($H$3,0,0,'Données projet'!$E$11+1,1))</f>
        <v>455.26558725507834</v>
      </c>
      <c r="BJ5" s="62">
        <f t="shared" ref="BJ5:BJ68" si="38">$BJ$3</f>
        <v>278.60310966788552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4.0533333333333328</v>
      </c>
      <c r="BY5" s="13">
        <f>IF('Données projet'!$A$114&gt;35,BY4+BX5-CG4,IF(A5&lt;'Données projet'!$A$114,$BV$205^A5,IF(A5='Données projet'!$A$114,'Données projet'!$B$114,BY4+BX5-CG4)))</f>
        <v>1.7292341774885969</v>
      </c>
      <c r="BZ5" s="14">
        <f>BY5*VLOOKUP('Données projet'!$B$12,Paramètres!$A$1:$I$89,3,0)*VLOOKUP('Données projet'!$B$12,Paramètres!$A$1:$I$89,5,0)</f>
        <v>0.89920177229407039</v>
      </c>
      <c r="CA5" s="14">
        <f t="shared" ref="CA5:CA68" si="39">EXP(-1.0587+0.8836*LN(BZ5)+0.284)</f>
        <v>0.41954663902790629</v>
      </c>
      <c r="CB5" s="22">
        <f t="shared" si="10"/>
        <v>2.296820149719109</v>
      </c>
      <c r="CC5" s="62">
        <f t="shared" si="11"/>
        <v>126.86690992894263</v>
      </c>
      <c r="CD5" s="62">
        <f ca="1">AVERAGE(OFFSET($CC$3,0,0,'Données projet'!$E$12+1,1))-AVERAGE(OFFSET($H$3,0,0,'Données projet'!$E$12+1,1))</f>
        <v>300.72820267660154</v>
      </c>
      <c r="CE5" s="62">
        <f t="shared" ref="CE5:CE68" si="40">$CE$3</f>
        <v>228.35388778608589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1.8269230769230771</v>
      </c>
      <c r="CT5" s="13">
        <f>IF('Données projet'!$A$140&gt;35,CT4+CS5-DB4,IF(A5&lt;'Données projet'!$A$140,$CQ$205^A5,IF(A5='Données projet'!$A$140,'Données projet'!$B$140,CT4+CS5-DB4)))</f>
        <v>1.4330951483562495</v>
      </c>
      <c r="CU5" s="18">
        <f>CT5*VLOOKUP('Données projet'!$B$13,Paramètres!$A$1:$I$89,3,0)*VLOOKUP('Données projet'!$B$13,Paramètres!$A$1:$I$89,5,0)</f>
        <v>1.2295956372896624</v>
      </c>
      <c r="CV5" s="14">
        <f t="shared" ref="CV5:CV68" si="41">EXP(-1.0587+0.8836*LN(CU5)+0.284)</f>
        <v>0.55317945887581388</v>
      </c>
      <c r="CW5" s="22">
        <f t="shared" si="13"/>
        <v>3.1049999591548709</v>
      </c>
      <c r="CX5" s="62">
        <f t="shared" si="14"/>
        <v>127.67508973837839</v>
      </c>
      <c r="CY5" s="62">
        <f ca="1">AVERAGE(OFFSET($CX$3,0,0,'Données projet'!$E$13+1,1))-AVERAGE(OFFSET($H$3,0,0,'Données projet'!$E$13+1,1))</f>
        <v>384.3367849108829</v>
      </c>
      <c r="CZ5" s="62">
        <f t="shared" ref="CZ5:CZ68" si="42">$CZ$3</f>
        <v>238.2697272367603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3.4425641025641025</v>
      </c>
      <c r="DO5" s="13">
        <f>IF('Données projet'!$A$166&gt;35,DO4+DN5-DW4,IF(A5&lt;'Données projet'!$A$166,$DL$205^A5,IF(A5='Données projet'!$A$166,'Données projet'!$B$166,DO4+DN5-DW4)))</f>
        <v>1.3622815852065062</v>
      </c>
      <c r="DP5" s="18">
        <f>DO5*VLOOKUP('Données projet'!$B$14,Paramètres!$A$1:$I$89,3,0)*VLOOKUP('Données projet'!$B$14,Paramètres!$A$1:$I$89,5,0)</f>
        <v>0.63754778187664485</v>
      </c>
      <c r="DQ5" s="14">
        <f t="shared" ref="DQ5:DQ68" si="43">EXP(-1.0587+0.8836*LN(DP5)+0.284)</f>
        <v>0.30961323785545058</v>
      </c>
      <c r="DR5" s="22">
        <f t="shared" si="16"/>
        <v>1.6496387760333995</v>
      </c>
      <c r="DS5" s="62">
        <f t="shared" si="17"/>
        <v>126.21972855525692</v>
      </c>
      <c r="DT5" s="62">
        <f ca="1">AVERAGE(OFFSET($DS$3,0,0,'Données projet'!$E$14+1,1))-AVERAGE(OFFSET($H$3,0,0,'Données projet'!$E$14+1,1))</f>
        <v>304.1100958939968</v>
      </c>
      <c r="DU5" s="62">
        <f t="shared" ref="DU5:DU68" si="44">$DU$3</f>
        <v>184.1255966824568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1.8269230769230771</v>
      </c>
      <c r="EJ5" s="13">
        <f>IF('Données projet'!$A$192&gt;35,EJ4+EI5-ER4,IF(A5&lt;'Données projet'!$A$192,$EG$205^A5,IF(A5='Données projet'!$A$192,'Données projet'!$B$192,EJ4+EI5-ER4)))</f>
        <v>1.4330951483562495</v>
      </c>
      <c r="EK5" s="18">
        <f>EJ5*VLOOKUP('Données projet'!$B$15,Paramètres!$A$1:$I$89,3,0)*VLOOKUP('Données projet'!$B$15,Paramètres!$A$1:$I$89,5,0)</f>
        <v>1.4531584804332371</v>
      </c>
      <c r="EL5" s="14">
        <f t="shared" ref="EL5:EL68" si="45">EXP(-1.0587+0.8836*LN(EK5)+0.284)</f>
        <v>0.6411679639561515</v>
      </c>
      <c r="EM5" s="22">
        <f t="shared" si="19"/>
        <v>3.6476185573115179</v>
      </c>
      <c r="EN5" s="62">
        <f t="shared" si="20"/>
        <v>128.21770833653505</v>
      </c>
      <c r="EO5" s="62">
        <f ca="1">AVERAGE(OFFSET($EN$3,0,0,'Données projet'!$E$15+1,1))-AVERAGE(OFFSET($H$3,0,0,'Données projet'!$E$15+1,1))</f>
        <v>435.03433721979218</v>
      </c>
      <c r="EP5" s="62">
        <f t="shared" ref="EP5:EP68" si="46">$EP$3</f>
        <v>267.10015759286387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1.8269230769230771</v>
      </c>
      <c r="FE5" s="13">
        <f>IF('Données projet'!$A$218&gt;35,FE4+FD5-FM4,IF(A5&lt;'Données projet'!$A$218,$FB$205^A5,IF(A5='Données projet'!$A$218,'Données projet'!$B$218,FE4+FD5-FM4)))</f>
        <v>1.4330951483562495</v>
      </c>
      <c r="FF5" s="18">
        <f>FE5*VLOOKUP('Données projet'!$B$16,Paramètres!$A$1:$I$89,3,0)*VLOOKUP('Données projet'!$B$16,Paramètres!$A$1:$I$89,5,0)</f>
        <v>1.4978710490619522</v>
      </c>
      <c r="FG5" s="14">
        <f t="shared" ref="FG5:FG68" si="47">EXP(-1.0587+0.8836*LN(FF5)+0.284)</f>
        <v>0.6585689765350049</v>
      </c>
      <c r="FH5" s="22">
        <f t="shared" si="22"/>
        <v>3.7557997112480344</v>
      </c>
      <c r="FI5" s="62">
        <f t="shared" si="23"/>
        <v>128.32588949047155</v>
      </c>
      <c r="FJ5" s="62">
        <f ca="1">AVERAGE(OFFSET($FI$3,0,0,'Données projet'!$E$16+1,1))-AVERAGE(OFFSET($H$3,0,0,'Données projet'!$E$16+1,1))</f>
        <v>445.15313998584293</v>
      </c>
      <c r="FK5" s="62">
        <f t="shared" ref="FK5:FK68" si="48">$FK$3</f>
        <v>272.85357736694834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0.9</v>
      </c>
      <c r="FZ5" s="13">
        <f>IF('Données projet'!$A$244&gt;35,FZ4+FY5-GH4,IF(A5&lt;'Données projet'!$A$244,$FW$205^A5,IF(A5='Données projet'!$A$244,'Données projet'!$B$244,FZ4+FY5-GH4)))</f>
        <v>1.335141362540313</v>
      </c>
      <c r="GA5" s="18">
        <f>FZ5*VLOOKUP('Données projet'!$B$17,Paramètres!$A$1:$I$89,3,0)*VLOOKUP('Données projet'!$B$17,Paramètres!$A$1:$I$89,5,0)</f>
        <v>1.1663794943152175</v>
      </c>
      <c r="GB5" s="14">
        <f t="shared" ref="GB5:GB68" si="49">EXP(-1.0587+0.8836*LN(GA5)+0.284)</f>
        <v>0.52797307958445927</v>
      </c>
      <c r="GC5" s="22">
        <f t="shared" si="25"/>
        <v>2.9509973995419365</v>
      </c>
      <c r="GD5" s="62">
        <f t="shared" si="26"/>
        <v>127.52108717876546</v>
      </c>
      <c r="GE5" s="62">
        <f ca="1">AVERAGE(OFFSET($GD$3,0,0,'Données projet'!$E$17+1,1))-AVERAGE(OFFSET($H$3,0,0,'Données projet'!$E$17+1,1))</f>
        <v>248.82613595888964</v>
      </c>
      <c r="GF5" s="62">
        <f t="shared" ref="GF5:GF68" si="50">$GF$3</f>
        <v>255.8298580882084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135.66666666666666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1.4025641025641027</v>
      </c>
      <c r="N6" s="14">
        <f>IF('Données projet'!$A$36&gt;35,N5+M6-V5,IF(A6&lt;'Données projet'!$A$36,$K$205^A6,IF(A6='Données projet'!$A$36,'Données projet'!$B$36,N5+M6-V5)))</f>
        <v>1.839089207010884</v>
      </c>
      <c r="O6" s="14">
        <f>N6*VLOOKUP('Données projet'!$B$9,Paramètres!$A$1:$I$89,3,0)*VLOOKUP('Données projet'!$B$9,Paramètres!$A$1:$I$89,5,0)</f>
        <v>1.0758671861013671</v>
      </c>
      <c r="P6" s="14">
        <f t="shared" si="33"/>
        <v>0.49160242711412572</v>
      </c>
      <c r="Q6" s="22">
        <f t="shared" si="2"/>
        <v>2.7300095763503163</v>
      </c>
      <c r="R6" s="62">
        <f t="shared" si="0"/>
        <v>130.85630750924201</v>
      </c>
      <c r="S6" s="62">
        <f ca="1">AVERAGE(OFFSET($R$3,0,0,'Données projet'!$E$9+1,1))-AVERAGE(OFFSET($H$3,0,0,'Données projet'!$E$9+1,1))</f>
        <v>221.18884567967481</v>
      </c>
      <c r="T6" s="62">
        <f t="shared" si="34"/>
        <v>189.31596996710888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1.5341666666666667</v>
      </c>
      <c r="AI6" s="14">
        <f>IF('Données projet'!$A$62&gt;35,AI5+AH6-AQ5,IF(A6&lt;'Données projet'!$A$62,$AF$205^A6,IF(A6='Données projet'!$A$62,'Données projet'!$B$62,AI5+AH6-AQ5)))</f>
        <v>2.2686200327168842</v>
      </c>
      <c r="AJ6" s="14">
        <f>AI6*VLOOKUP('Données projet'!$B$10,Paramètres!$A$1:$I$89,3,0)*VLOOKUP('Données projet'!$B$10,Paramètres!$A$1:$I$89,5,0)</f>
        <v>2.6134502776898505</v>
      </c>
      <c r="AK6" s="14">
        <f t="shared" si="35"/>
        <v>1.0769674288196409</v>
      </c>
      <c r="AL6" s="22">
        <f t="shared" si="4"/>
        <v>6.4274775055040303</v>
      </c>
      <c r="AM6" s="62">
        <f t="shared" si="5"/>
        <v>134.55377543839575</v>
      </c>
      <c r="AN6" s="62">
        <f ca="1">AVERAGE(OFFSET($AM$3,0,0,'Données projet'!$E$10+1,1))-AVERAGE(OFFSET($H$3,0,0,'Données projet'!$E$10+1,1))</f>
        <v>314.72063458462026</v>
      </c>
      <c r="AO6" s="62">
        <f t="shared" si="36"/>
        <v>216.4380325968244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1.8269230769230771</v>
      </c>
      <c r="BD6" s="13">
        <f>IF('Données projet'!$A$88&gt;35,BD5+BC6-BL5,IF(A6&lt;'Données projet'!$A$88,$BA$205^A6,IF(A6='Données projet'!$A$88,'Données projet'!$B$88,BD5+BC6-BL5)))</f>
        <v>1.7155861780246975</v>
      </c>
      <c r="BE6" s="14">
        <f>BD6*VLOOKUP('Données projet'!$B$11,Paramètres!$A$1:$I$89,3,0)*VLOOKUP('Données projet'!$B$11,Paramètres!$A$1:$I$89,5,0)</f>
        <v>1.8466569620257842</v>
      </c>
      <c r="BF6" s="14">
        <f t="shared" si="37"/>
        <v>0.79237531176498144</v>
      </c>
      <c r="BG6" s="22">
        <f t="shared" si="7"/>
        <v>4.5963145435189166</v>
      </c>
      <c r="BH6" s="62">
        <f t="shared" si="8"/>
        <v>132.72261247641063</v>
      </c>
      <c r="BI6" s="62">
        <f ca="1">AVERAGE(OFFSET($BH$3,0,0,'Données projet'!$E$11+1,1))-AVERAGE(OFFSET($H$3,0,0,'Données projet'!$E$11+1,1))</f>
        <v>455.26558725507834</v>
      </c>
      <c r="BJ6" s="62">
        <f t="shared" si="38"/>
        <v>278.60310966788552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4.0533333333333328</v>
      </c>
      <c r="BY6" s="13">
        <f>IF('Données projet'!$A$114&gt;35,BY5+BX6-CG5,IF(A6&lt;'Données projet'!$A$114,$BV$205^A6,IF(A6='Données projet'!$A$114,'Données projet'!$B$114,BY5+BX6-CG5)))</f>
        <v>2.2739489776202761</v>
      </c>
      <c r="BZ6" s="14">
        <f>BY6*VLOOKUP('Données projet'!$B$12,Paramètres!$A$1:$I$89,3,0)*VLOOKUP('Données projet'!$B$12,Paramètres!$A$1:$I$89,5,0)</f>
        <v>1.1824534683625436</v>
      </c>
      <c r="CA6" s="14">
        <f t="shared" si="39"/>
        <v>0.53439705956097427</v>
      </c>
      <c r="CB6" s="22">
        <f t="shared" si="10"/>
        <v>2.9901813361334599</v>
      </c>
      <c r="CC6" s="62">
        <f t="shared" si="11"/>
        <v>131.11647926902515</v>
      </c>
      <c r="CD6" s="62">
        <f ca="1">AVERAGE(OFFSET($CC$3,0,0,'Données projet'!$E$12+1,1))-AVERAGE(OFFSET($H$3,0,0,'Données projet'!$E$12+1,1))</f>
        <v>300.72820267660154</v>
      </c>
      <c r="CE6" s="62">
        <f t="shared" si="40"/>
        <v>228.35388778608589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1.8269230769230771</v>
      </c>
      <c r="CT6" s="13">
        <f>IF('Données projet'!$A$140&gt;35,CT5+CS6-DB5,IF(A6&lt;'Données projet'!$A$140,$CQ$205^A6,IF(A6='Données projet'!$A$140,'Données projet'!$B$140,CT5+CS6-DB5)))</f>
        <v>1.7155861780246975</v>
      </c>
      <c r="CU6" s="18">
        <f>CT6*VLOOKUP('Données projet'!$B$13,Paramètres!$A$1:$I$89,3,0)*VLOOKUP('Données projet'!$B$13,Paramètres!$A$1:$I$89,5,0)</f>
        <v>1.4719729407451907</v>
      </c>
      <c r="CV6" s="14">
        <f t="shared" si="41"/>
        <v>0.64849756768429179</v>
      </c>
      <c r="CW6" s="22">
        <f t="shared" si="13"/>
        <v>3.6931528021813484</v>
      </c>
      <c r="CX6" s="62">
        <f t="shared" si="14"/>
        <v>131.81945073507305</v>
      </c>
      <c r="CY6" s="62">
        <f ca="1">AVERAGE(OFFSET($CX$3,0,0,'Données projet'!$E$13+1,1))-AVERAGE(OFFSET($H$3,0,0,'Données projet'!$E$13+1,1))</f>
        <v>384.3367849108829</v>
      </c>
      <c r="CZ6" s="62">
        <f t="shared" si="42"/>
        <v>238.2697272367603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3.4425641025641025</v>
      </c>
      <c r="DO6" s="13">
        <f>IF('Données projet'!$A$166&gt;35,DO5+DN6-DW5,IF(A6&lt;'Données projet'!$A$166,$DL$205^A6,IF(A6='Données projet'!$A$166,'Données projet'!$B$166,DO5+DN6-DW5)))</f>
        <v>1.590011732927042</v>
      </c>
      <c r="DP6" s="18">
        <f>DO6*VLOOKUP('Données projet'!$B$14,Paramètres!$A$1:$I$89,3,0)*VLOOKUP('Données projet'!$B$14,Paramètres!$A$1:$I$89,5,0)</f>
        <v>0.7441254910098557</v>
      </c>
      <c r="DQ6" s="14">
        <f t="shared" si="43"/>
        <v>0.35492666750402163</v>
      </c>
      <c r="DR6" s="22">
        <f t="shared" si="16"/>
        <v>1.9141825094116696</v>
      </c>
      <c r="DS6" s="62">
        <f t="shared" si="17"/>
        <v>130.04048044230336</v>
      </c>
      <c r="DT6" s="62">
        <f ca="1">AVERAGE(OFFSET($DS$3,0,0,'Données projet'!$E$14+1,1))-AVERAGE(OFFSET($H$3,0,0,'Données projet'!$E$14+1,1))</f>
        <v>304.1100958939968</v>
      </c>
      <c r="DU6" s="62">
        <f t="shared" si="44"/>
        <v>184.1255966824568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1.8269230769230771</v>
      </c>
      <c r="EJ6" s="13">
        <f>IF('Données projet'!$A$192&gt;35,EJ5+EI6-ER5,IF(A6&lt;'Données projet'!$A$192,$EG$205^A6,IF(A6='Données projet'!$A$192,'Données projet'!$B$192,EJ5+EI6-ER5)))</f>
        <v>1.7155861780246975</v>
      </c>
      <c r="EK6" s="18">
        <f>EJ6*VLOOKUP('Données projet'!$B$15,Paramètres!$A$1:$I$89,3,0)*VLOOKUP('Données projet'!$B$15,Paramètres!$A$1:$I$89,5,0)</f>
        <v>1.7396043845170435</v>
      </c>
      <c r="EL6" s="14">
        <f t="shared" si="45"/>
        <v>0.75164733330417843</v>
      </c>
      <c r="EM6" s="22">
        <f t="shared" si="19"/>
        <v>4.3389300752052948</v>
      </c>
      <c r="EN6" s="62">
        <f t="shared" si="20"/>
        <v>132.465228008097</v>
      </c>
      <c r="EO6" s="62">
        <f ca="1">AVERAGE(OFFSET($EN$3,0,0,'Données projet'!$E$15+1,1))-AVERAGE(OFFSET($H$3,0,0,'Données projet'!$E$15+1,1))</f>
        <v>435.03433721979218</v>
      </c>
      <c r="EP6" s="62">
        <f t="shared" si="46"/>
        <v>267.10015759286387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1.8269230769230771</v>
      </c>
      <c r="FE6" s="13">
        <f>IF('Données projet'!$A$218&gt;35,FE5+FD6-FM5,IF(A6&lt;'Données projet'!$A$218,$FB$205^A6,IF(A6='Données projet'!$A$218,'Données projet'!$B$218,FE5+FD6-FM5)))</f>
        <v>1.7155861780246975</v>
      </c>
      <c r="FF6" s="18">
        <f>FE6*VLOOKUP('Données projet'!$B$16,Paramètres!$A$1:$I$89,3,0)*VLOOKUP('Données projet'!$B$16,Paramètres!$A$1:$I$89,5,0)</f>
        <v>1.7931306732714141</v>
      </c>
      <c r="FG6" s="14">
        <f t="shared" si="47"/>
        <v>0.77204670669299325</v>
      </c>
      <c r="FH6" s="22">
        <f t="shared" si="22"/>
        <v>4.4676839367713423</v>
      </c>
      <c r="FI6" s="62">
        <f t="shared" si="23"/>
        <v>132.59398186966305</v>
      </c>
      <c r="FJ6" s="62">
        <f ca="1">AVERAGE(OFFSET($FI$3,0,0,'Données projet'!$E$16+1,1))-AVERAGE(OFFSET($H$3,0,0,'Données projet'!$E$16+1,1))</f>
        <v>445.15313998584293</v>
      </c>
      <c r="FK6" s="62">
        <f t="shared" si="48"/>
        <v>272.85357736694834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0.9</v>
      </c>
      <c r="FZ6" s="13">
        <f>IF('Données projet'!$A$244&gt;35,FZ5+FY6-GH5,IF(A6&lt;'Données projet'!$A$244,$FW$205^A6,IF(A6='Données projet'!$A$244,'Données projet'!$B$244,FZ5+FY6-GH5)))</f>
        <v>1.5427333776762726</v>
      </c>
      <c r="GA6" s="18">
        <f>FZ6*VLOOKUP('Données projet'!$B$17,Paramètres!$A$1:$I$89,3,0)*VLOOKUP('Données projet'!$B$17,Paramètres!$A$1:$I$89,5,0)</f>
        <v>1.3477318787379919</v>
      </c>
      <c r="GB6" s="14">
        <f t="shared" si="49"/>
        <v>0.59988737006377257</v>
      </c>
      <c r="GC6" s="22">
        <f t="shared" si="25"/>
        <v>3.3921035249964064</v>
      </c>
      <c r="GD6" s="62">
        <f t="shared" si="26"/>
        <v>131.5184014578881</v>
      </c>
      <c r="GE6" s="62">
        <f ca="1">AVERAGE(OFFSET($GD$3,0,0,'Données projet'!$E$17+1,1))-AVERAGE(OFFSET($H$3,0,0,'Données projet'!$E$17+1,1))</f>
        <v>248.82613595888964</v>
      </c>
      <c r="GF6" s="62">
        <f t="shared" si="50"/>
        <v>255.8298580882084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135.66666666666666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1.4025641025641027</v>
      </c>
      <c r="N7" s="14">
        <f>IF('Données projet'!$A$36&gt;35,N6+M7-V6,IF(A7&lt;'Données projet'!$A$36,$K$205^A7,IF(A7='Données projet'!$A$36,'Données projet'!$B$36,N6+M7-V6)))</f>
        <v>2.2532206750112715</v>
      </c>
      <c r="O7" s="14">
        <f>N7*VLOOKUP('Données projet'!$B$9,Paramètres!$A$1:$I$89,3,0)*VLOOKUP('Données projet'!$B$9,Paramètres!$A$1:$I$89,5,0)</f>
        <v>1.3181340948815938</v>
      </c>
      <c r="P7" s="14">
        <f t="shared" si="33"/>
        <v>0.58823161431784188</v>
      </c>
      <c r="Q7" s="22">
        <f t="shared" si="2"/>
        <v>3.3202536101890168</v>
      </c>
      <c r="R7" s="62">
        <f t="shared" si="0"/>
        <v>134.96227025884912</v>
      </c>
      <c r="S7" s="62">
        <f ca="1">AVERAGE(OFFSET($R$3,0,0,'Données projet'!$E$9+1,1))-AVERAGE(OFFSET($H$3,0,0,'Données projet'!$E$9+1,1))</f>
        <v>221.18884567967481</v>
      </c>
      <c r="T7" s="62">
        <f t="shared" si="34"/>
        <v>189.31596996710888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1.5341666666666667</v>
      </c>
      <c r="AI7" s="14">
        <f>IF('Données projet'!$A$62&gt;35,AI6+AH7-AQ6,IF(A7&lt;'Données projet'!$A$62,$AF$205^A7,IF(A7='Données projet'!$A$62,'Données projet'!$B$62,AI6+AH7-AQ6)))</f>
        <v>2.9809110503275362</v>
      </c>
      <c r="AJ7" s="14">
        <f>AI7*VLOOKUP('Données projet'!$B$10,Paramètres!$A$1:$I$89,3,0)*VLOOKUP('Données projet'!$B$10,Paramètres!$A$1:$I$89,5,0)</f>
        <v>3.4340095299773217</v>
      </c>
      <c r="AK7" s="14">
        <f t="shared" si="35"/>
        <v>1.3708384170066097</v>
      </c>
      <c r="AL7" s="22">
        <f t="shared" si="4"/>
        <v>8.3684435076636809</v>
      </c>
      <c r="AM7" s="62">
        <f t="shared" si="5"/>
        <v>140.01046015632377</v>
      </c>
      <c r="AN7" s="62">
        <f ca="1">AVERAGE(OFFSET($AM$3,0,0,'Données projet'!$E$10+1,1))-AVERAGE(OFFSET($H$3,0,0,'Données projet'!$E$10+1,1))</f>
        <v>314.72063458462026</v>
      </c>
      <c r="AO7" s="62">
        <f t="shared" si="36"/>
        <v>216.4380325968244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1.8269230769230771</v>
      </c>
      <c r="BD7" s="13">
        <f>IF('Données projet'!$A$88&gt;35,BD6+BC7-BL6,IF(A7&lt;'Données projet'!$A$88,$BA$205^A7,IF(A7='Données projet'!$A$88,'Données projet'!$B$88,BD6+BC7-BL6)))</f>
        <v>2.0537617042422207</v>
      </c>
      <c r="BE7" s="14">
        <f>BD7*VLOOKUP('Données projet'!$B$11,Paramètres!$A$1:$I$89,3,0)*VLOOKUP('Données projet'!$B$11,Paramètres!$A$1:$I$89,5,0)</f>
        <v>2.2106690984463264</v>
      </c>
      <c r="BF7" s="14">
        <f t="shared" si="37"/>
        <v>0.9289091525866483</v>
      </c>
      <c r="BG7" s="22">
        <f t="shared" si="7"/>
        <v>5.4680987872157631</v>
      </c>
      <c r="BH7" s="62">
        <f t="shared" si="8"/>
        <v>137.11011543587585</v>
      </c>
      <c r="BI7" s="62">
        <f ca="1">AVERAGE(OFFSET($BH$3,0,0,'Données projet'!$E$11+1,1))-AVERAGE(OFFSET($H$3,0,0,'Données projet'!$E$11+1,1))</f>
        <v>455.26558725507834</v>
      </c>
      <c r="BJ7" s="62">
        <f t="shared" si="38"/>
        <v>278.60310966788552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4.0533333333333328</v>
      </c>
      <c r="BY7" s="13">
        <f>IF('Données projet'!$A$114&gt;35,BY6+BX7-CG6,IF(A7&lt;'Données projet'!$A$114,$BV$205^A7,IF(A7='Données projet'!$A$114,'Données projet'!$B$114,BY6+BX7-CG6)))</f>
        <v>2.9902508405946642</v>
      </c>
      <c r="BZ7" s="14">
        <f>BY7*VLOOKUP('Données projet'!$B$12,Paramètres!$A$1:$I$89,3,0)*VLOOKUP('Données projet'!$B$12,Paramètres!$A$1:$I$89,5,0)</f>
        <v>1.5549304371092254</v>
      </c>
      <c r="CA7" s="14">
        <f t="shared" si="39"/>
        <v>0.68068765353265059</v>
      </c>
      <c r="CB7" s="22">
        <f t="shared" si="10"/>
        <v>3.8937015078679331</v>
      </c>
      <c r="CC7" s="62">
        <f t="shared" si="11"/>
        <v>135.53571815652805</v>
      </c>
      <c r="CD7" s="62">
        <f ca="1">AVERAGE(OFFSET($CC$3,0,0,'Données projet'!$E$12+1,1))-AVERAGE(OFFSET($H$3,0,0,'Données projet'!$E$12+1,1))</f>
        <v>300.72820267660154</v>
      </c>
      <c r="CE7" s="62">
        <f t="shared" si="40"/>
        <v>228.35388778608589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1.8269230769230771</v>
      </c>
      <c r="CT7" s="13">
        <f>IF('Données projet'!$A$140&gt;35,CT6+CS7-DB6,IF(A7&lt;'Données projet'!$A$140,$CQ$205^A7,IF(A7='Données projet'!$A$140,'Données projet'!$B$140,CT6+CS7-DB6)))</f>
        <v>2.0537617042422207</v>
      </c>
      <c r="CU7" s="18">
        <f>CT7*VLOOKUP('Données projet'!$B$13,Paramètres!$A$1:$I$89,3,0)*VLOOKUP('Données projet'!$B$13,Paramètres!$A$1:$I$89,5,0)</f>
        <v>1.7621275422398255</v>
      </c>
      <c r="CV7" s="14">
        <f t="shared" si="41"/>
        <v>0.76023989782103218</v>
      </c>
      <c r="CW7" s="22">
        <f t="shared" si="13"/>
        <v>4.393123291439327</v>
      </c>
      <c r="CX7" s="62">
        <f t="shared" si="14"/>
        <v>136.03513994009944</v>
      </c>
      <c r="CY7" s="62">
        <f ca="1">AVERAGE(OFFSET($CX$3,0,0,'Données projet'!$E$13+1,1))-AVERAGE(OFFSET($H$3,0,0,'Données projet'!$E$13+1,1))</f>
        <v>384.3367849108829</v>
      </c>
      <c r="CZ7" s="62">
        <f t="shared" si="42"/>
        <v>238.2697272367603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3.4425641025641025</v>
      </c>
      <c r="DO7" s="13">
        <f>IF('Données projet'!$A$166&gt;35,DO6+DN7-DW6,IF(A7&lt;'Données projet'!$A$166,$DL$205^A7,IF(A7='Données projet'!$A$166,'Données projet'!$B$166,DO6+DN7-DW6)))</f>
        <v>1.8558111173927514</v>
      </c>
      <c r="DP7" s="18">
        <f>DO7*VLOOKUP('Données projet'!$B$14,Paramètres!$A$1:$I$89,3,0)*VLOOKUP('Données projet'!$B$14,Paramètres!$A$1:$I$89,5,0)</f>
        <v>0.86851960293980757</v>
      </c>
      <c r="DQ7" s="14">
        <f t="shared" si="43"/>
        <v>0.40687194183965542</v>
      </c>
      <c r="DR7" s="22">
        <f t="shared" si="16"/>
        <v>2.2213069404908978</v>
      </c>
      <c r="DS7" s="62">
        <f t="shared" si="17"/>
        <v>133.86332358915101</v>
      </c>
      <c r="DT7" s="62">
        <f ca="1">AVERAGE(OFFSET($DS$3,0,0,'Données projet'!$E$14+1,1))-AVERAGE(OFFSET($H$3,0,0,'Données projet'!$E$14+1,1))</f>
        <v>304.1100958939968</v>
      </c>
      <c r="DU7" s="62">
        <f t="shared" si="44"/>
        <v>184.1255966824568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1.8269230769230771</v>
      </c>
      <c r="EJ7" s="13">
        <f>IF('Données projet'!$A$192&gt;35,EJ6+EI7-ER6,IF(A7&lt;'Données projet'!$A$192,$EG$205^A7,IF(A7='Données projet'!$A$192,'Données projet'!$B$192,EJ6+EI7-ER6)))</f>
        <v>2.0537617042422207</v>
      </c>
      <c r="EK7" s="18">
        <f>EJ7*VLOOKUP('Données projet'!$B$15,Paramètres!$A$1:$I$89,3,0)*VLOOKUP('Données projet'!$B$15,Paramètres!$A$1:$I$89,5,0)</f>
        <v>2.0825143681016121</v>
      </c>
      <c r="EL7" s="14">
        <f t="shared" si="45"/>
        <v>0.88116335410345037</v>
      </c>
      <c r="EM7" s="22">
        <f t="shared" si="19"/>
        <v>5.1617386995071506</v>
      </c>
      <c r="EN7" s="62">
        <f t="shared" si="20"/>
        <v>136.80375534816724</v>
      </c>
      <c r="EO7" s="62">
        <f ca="1">AVERAGE(OFFSET($EN$3,0,0,'Données projet'!$E$15+1,1))-AVERAGE(OFFSET($H$3,0,0,'Données projet'!$E$15+1,1))</f>
        <v>435.03433721979218</v>
      </c>
      <c r="EP7" s="62">
        <f t="shared" si="46"/>
        <v>267.10015759286387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1.8269230769230771</v>
      </c>
      <c r="FE7" s="13">
        <f>IF('Données projet'!$A$218&gt;35,FE6+FD7-FM6,IF(A7&lt;'Données projet'!$A$218,$FB$205^A7,IF(A7='Données projet'!$A$218,'Données projet'!$B$218,FE6+FD7-FM6)))</f>
        <v>2.0537617042422207</v>
      </c>
      <c r="FF7" s="18">
        <f>FE7*VLOOKUP('Données projet'!$B$16,Paramètres!$A$1:$I$89,3,0)*VLOOKUP('Données projet'!$B$16,Paramètres!$A$1:$I$89,5,0)</f>
        <v>2.1465917332739695</v>
      </c>
      <c r="FG7" s="14">
        <f t="shared" si="47"/>
        <v>0.90507773453220719</v>
      </c>
      <c r="FH7" s="22">
        <f t="shared" si="22"/>
        <v>5.3149909897624239</v>
      </c>
      <c r="FI7" s="62">
        <f t="shared" si="23"/>
        <v>136.95700763842254</v>
      </c>
      <c r="FJ7" s="62">
        <f ca="1">AVERAGE(OFFSET($FI$3,0,0,'Données projet'!$E$16+1,1))-AVERAGE(OFFSET($H$3,0,0,'Données projet'!$E$16+1,1))</f>
        <v>445.15313998584293</v>
      </c>
      <c r="FK7" s="62">
        <f t="shared" si="48"/>
        <v>272.85357736694834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0.9</v>
      </c>
      <c r="FZ7" s="13">
        <f>IF('Données projet'!$A$244&gt;35,FZ6+FY7-GH6,IF(A7&lt;'Données projet'!$A$244,$FW$205^A7,IF(A7='Données projet'!$A$244,'Données projet'!$B$244,FZ6+FY7-GH6)))</f>
        <v>1.7826024579660036</v>
      </c>
      <c r="GA7" s="18">
        <f>FZ7*VLOOKUP('Données projet'!$B$17,Paramètres!$A$1:$I$89,3,0)*VLOOKUP('Données projet'!$B$17,Paramètres!$A$1:$I$89,5,0)</f>
        <v>1.5572815072791011</v>
      </c>
      <c r="GB7" s="14">
        <f t="shared" si="49"/>
        <v>0.68159698037116012</v>
      </c>
      <c r="GC7" s="22">
        <f t="shared" si="25"/>
        <v>3.8993800326575379</v>
      </c>
      <c r="GD7" s="62">
        <f t="shared" si="26"/>
        <v>135.54139668131765</v>
      </c>
      <c r="GE7" s="62">
        <f ca="1">AVERAGE(OFFSET($GD$3,0,0,'Données projet'!$E$17+1,1))-AVERAGE(OFFSET($H$3,0,0,'Données projet'!$E$17+1,1))</f>
        <v>248.82613595888964</v>
      </c>
      <c r="GF7" s="62">
        <f t="shared" si="50"/>
        <v>255.8298580882084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135.66666666666666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1.4025641025641027</v>
      </c>
      <c r="N8" s="14">
        <f>IF('Données projet'!$A$36&gt;35,N7+M8-V7,IF(A8&lt;'Données projet'!$A$36,$K$205^A8,IF(A8='Données projet'!$A$36,'Données projet'!$B$36,N7+M8-V7)))</f>
        <v>2.7606074740387534</v>
      </c>
      <c r="O8" s="14">
        <f>N8*VLOOKUP('Données projet'!$B$9,Paramètres!$A$1:$I$89,3,0)*VLOOKUP('Données projet'!$B$9,Paramètres!$A$1:$I$89,5,0)</f>
        <v>1.6149553723126708</v>
      </c>
      <c r="P8" s="14">
        <f t="shared" si="33"/>
        <v>0.70385419802381588</v>
      </c>
      <c r="Q8" s="22">
        <f t="shared" si="2"/>
        <v>4.0385933350027141</v>
      </c>
      <c r="R8" s="62">
        <f t="shared" si="0"/>
        <v>139.1565416627582</v>
      </c>
      <c r="S8" s="62">
        <f ca="1">AVERAGE(OFFSET($R$3,0,0,'Données projet'!$E$9+1,1))-AVERAGE(OFFSET($H$3,0,0,'Données projet'!$E$9+1,1))</f>
        <v>221.18884567967481</v>
      </c>
      <c r="T8" s="62">
        <f t="shared" si="34"/>
        <v>189.31596996710888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1.5341666666666667</v>
      </c>
      <c r="AI8" s="14">
        <f>IF('Données projet'!$A$62&gt;35,AI7+AH8-AQ7,IF(A8&lt;'Données projet'!$A$62,$AF$205^A8,IF(A8='Données projet'!$A$62,'Données projet'!$B$62,AI7+AH8-AQ7)))</f>
        <v>3.9168439676181483</v>
      </c>
      <c r="AJ8" s="14">
        <f>AI8*VLOOKUP('Données projet'!$B$10,Paramètres!$A$1:$I$89,3,0)*VLOOKUP('Données projet'!$B$10,Paramètres!$A$1:$I$89,5,0)</f>
        <v>4.5122042506961062</v>
      </c>
      <c r="AK8" s="14">
        <f t="shared" si="35"/>
        <v>1.7448976777327356</v>
      </c>
      <c r="AL8" s="22">
        <f t="shared" si="4"/>
        <v>10.897785858680232</v>
      </c>
      <c r="AM8" s="62">
        <f t="shared" si="5"/>
        <v>146.01573418643574</v>
      </c>
      <c r="AN8" s="62">
        <f ca="1">AVERAGE(OFFSET($AM$3,0,0,'Données projet'!$E$10+1,1))-AVERAGE(OFFSET($H$3,0,0,'Données projet'!$E$10+1,1))</f>
        <v>314.72063458462026</v>
      </c>
      <c r="AO8" s="62">
        <f t="shared" si="36"/>
        <v>216.4380325968244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1.8269230769230771</v>
      </c>
      <c r="BD8" s="13">
        <f>IF('Données projet'!$A$88&gt;35,BD7+BC8-BL7,IF(A8&lt;'Données projet'!$A$88,$BA$205^A8,IF(A8='Données projet'!$A$88,'Données projet'!$B$88,BD7+BC8-BL7)))</f>
        <v>2.4585982283142349</v>
      </c>
      <c r="BE8" s="14">
        <f>BD8*VLOOKUP('Données projet'!$B$11,Paramètres!$A$1:$I$89,3,0)*VLOOKUP('Données projet'!$B$11,Paramètres!$A$1:$I$89,5,0)</f>
        <v>2.6464351329574423</v>
      </c>
      <c r="BF8" s="14">
        <f t="shared" si="37"/>
        <v>1.0889690793586624</v>
      </c>
      <c r="BG8" s="22">
        <f t="shared" si="7"/>
        <v>6.5058290031172161</v>
      </c>
      <c r="BH8" s="62">
        <f t="shared" si="8"/>
        <v>141.62377733087271</v>
      </c>
      <c r="BI8" s="62">
        <f ca="1">AVERAGE(OFFSET($BH$3,0,0,'Données projet'!$E$11+1,1))-AVERAGE(OFFSET($H$3,0,0,'Données projet'!$E$11+1,1))</f>
        <v>455.26558725507834</v>
      </c>
      <c r="BJ8" s="62">
        <f t="shared" si="38"/>
        <v>278.60310966788552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4.0533333333333328</v>
      </c>
      <c r="BY8" s="13">
        <f>IF('Données projet'!$A$114&gt;35,BY7+BX8-CG7,IF(A8&lt;'Données projet'!$A$114,$BV$205^A8,IF(A8='Données projet'!$A$114,'Données projet'!$B$114,BY7+BX8-CG7)))</f>
        <v>3.932190289966234</v>
      </c>
      <c r="BZ8" s="14">
        <f>BY8*VLOOKUP('Données projet'!$B$12,Paramètres!$A$1:$I$89,3,0)*VLOOKUP('Données projet'!$B$12,Paramètres!$A$1:$I$89,5,0)</f>
        <v>2.0447389507824418</v>
      </c>
      <c r="CA8" s="14">
        <f t="shared" si="39"/>
        <v>0.86702513305823981</v>
      </c>
      <c r="CB8" s="22">
        <f t="shared" si="10"/>
        <v>5.0713224460225206</v>
      </c>
      <c r="CC8" s="62">
        <f t="shared" si="11"/>
        <v>140.18927077377802</v>
      </c>
      <c r="CD8" s="62">
        <f ca="1">AVERAGE(OFFSET($CC$3,0,0,'Données projet'!$E$12+1,1))-AVERAGE(OFFSET($H$3,0,0,'Données projet'!$E$12+1,1))</f>
        <v>300.72820267660154</v>
      </c>
      <c r="CE8" s="62">
        <f t="shared" si="40"/>
        <v>228.35388778608589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1.8269230769230771</v>
      </c>
      <c r="CT8" s="13">
        <f>IF('Données projet'!$A$140&gt;35,CT7+CS8-DB7,IF(A8&lt;'Données projet'!$A$140,$CQ$205^A8,IF(A8='Données projet'!$A$140,'Données projet'!$B$140,CT7+CS8-DB7)))</f>
        <v>2.4585982283142349</v>
      </c>
      <c r="CU8" s="18">
        <f>CT8*VLOOKUP('Données projet'!$B$13,Paramètres!$A$1:$I$89,3,0)*VLOOKUP('Données projet'!$B$13,Paramètres!$A$1:$I$89,5,0)</f>
        <v>2.1094772798936137</v>
      </c>
      <c r="CV8" s="14">
        <f t="shared" si="41"/>
        <v>0.8912364996260157</v>
      </c>
      <c r="CW8" s="22">
        <f t="shared" si="13"/>
        <v>5.2262431659966877</v>
      </c>
      <c r="CX8" s="62">
        <f t="shared" si="14"/>
        <v>140.34419149375219</v>
      </c>
      <c r="CY8" s="62">
        <f ca="1">AVERAGE(OFFSET($CX$3,0,0,'Données projet'!$E$13+1,1))-AVERAGE(OFFSET($H$3,0,0,'Données projet'!$E$13+1,1))</f>
        <v>384.3367849108829</v>
      </c>
      <c r="CZ8" s="62">
        <f t="shared" si="42"/>
        <v>238.2697272367603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3.4425641025641025</v>
      </c>
      <c r="DO8" s="13">
        <f>IF('Données projet'!$A$166&gt;35,DO7+DN8-DW7,IF(A8&lt;'Données projet'!$A$166,$DL$205^A8,IF(A8='Données projet'!$A$166,'Données projet'!$B$166,DO7+DN8-DW7)))</f>
        <v>2.1660437040287945</v>
      </c>
      <c r="DP8" s="18">
        <f>DO8*VLOOKUP('Données projet'!$B$14,Paramètres!$A$1:$I$89,3,0)*VLOOKUP('Données projet'!$B$14,Paramètres!$A$1:$I$89,5,0)</f>
        <v>1.0137084534854759</v>
      </c>
      <c r="DQ8" s="14">
        <f t="shared" si="43"/>
        <v>0.46641966415357117</v>
      </c>
      <c r="DR8" s="22">
        <f t="shared" si="16"/>
        <v>2.5778898048880068</v>
      </c>
      <c r="DS8" s="62">
        <f t="shared" si="17"/>
        <v>137.6958381326435</v>
      </c>
      <c r="DT8" s="62">
        <f ca="1">AVERAGE(OFFSET($DS$3,0,0,'Données projet'!$E$14+1,1))-AVERAGE(OFFSET($H$3,0,0,'Données projet'!$E$14+1,1))</f>
        <v>304.1100958939968</v>
      </c>
      <c r="DU8" s="62">
        <f t="shared" si="44"/>
        <v>184.1255966824568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1.8269230769230771</v>
      </c>
      <c r="EJ8" s="13">
        <f>IF('Données projet'!$A$192&gt;35,EJ7+EI8-ER7,IF(A8&lt;'Données projet'!$A$192,$EG$205^A8,IF(A8='Données projet'!$A$192,'Données projet'!$B$192,EJ7+EI8-ER7)))</f>
        <v>2.4585982283142349</v>
      </c>
      <c r="EK8" s="18">
        <f>EJ8*VLOOKUP('Données projet'!$B$15,Paramètres!$A$1:$I$89,3,0)*VLOOKUP('Données projet'!$B$15,Paramètres!$A$1:$I$89,5,0)</f>
        <v>2.4930186035106345</v>
      </c>
      <c r="EL8" s="14">
        <f t="shared" si="45"/>
        <v>1.0329962233773105</v>
      </c>
      <c r="EM8" s="22">
        <f t="shared" si="19"/>
        <v>6.1411424901631699</v>
      </c>
      <c r="EN8" s="62">
        <f t="shared" si="20"/>
        <v>141.25909081791866</v>
      </c>
      <c r="EO8" s="62">
        <f ca="1">AVERAGE(OFFSET($EN$3,0,0,'Données projet'!$E$15+1,1))-AVERAGE(OFFSET($H$3,0,0,'Données projet'!$E$15+1,1))</f>
        <v>435.03433721979218</v>
      </c>
      <c r="EP8" s="62">
        <f t="shared" si="46"/>
        <v>267.10015759286387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1.8269230769230771</v>
      </c>
      <c r="FE8" s="13">
        <f>IF('Données projet'!$A$218&gt;35,FE7+FD8-FM7,IF(A8&lt;'Données projet'!$A$218,$FB$205^A8,IF(A8='Données projet'!$A$218,'Données projet'!$B$218,FE7+FD8-FM7)))</f>
        <v>2.4585982283142349</v>
      </c>
      <c r="FF8" s="18">
        <f>FE8*VLOOKUP('Données projet'!$B$16,Paramètres!$A$1:$I$89,3,0)*VLOOKUP('Données projet'!$B$16,Paramètres!$A$1:$I$89,5,0)</f>
        <v>2.5697268682340386</v>
      </c>
      <c r="FG8" s="14">
        <f t="shared" si="47"/>
        <v>1.0610312801602253</v>
      </c>
      <c r="FH8" s="22">
        <f t="shared" si="22"/>
        <v>6.3235704417866758</v>
      </c>
      <c r="FI8" s="62">
        <f t="shared" si="23"/>
        <v>141.44151876954217</v>
      </c>
      <c r="FJ8" s="62">
        <f ca="1">AVERAGE(OFFSET($FI$3,0,0,'Données projet'!$E$16+1,1))-AVERAGE(OFFSET($H$3,0,0,'Données projet'!$E$16+1,1))</f>
        <v>445.15313998584293</v>
      </c>
      <c r="FK8" s="62">
        <f t="shared" si="48"/>
        <v>272.85357736694834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0.9</v>
      </c>
      <c r="FZ8" s="13">
        <f>IF('Données projet'!$A$244&gt;35,FZ7+FY8-GH7,IF(A8&lt;'Données projet'!$A$244,$FW$205^A8,IF(A8='Données projet'!$A$244,'Données projet'!$B$244,FZ7+FY8-GH7)))</f>
        <v>2.0597671439071181</v>
      </c>
      <c r="GA8" s="18">
        <f>FZ8*VLOOKUP('Données projet'!$B$17,Paramètres!$A$1:$I$89,3,0)*VLOOKUP('Données projet'!$B$17,Paramètres!$A$1:$I$89,5,0)</f>
        <v>1.7994125769172586</v>
      </c>
      <c r="GB8" s="14">
        <f t="shared" si="49"/>
        <v>0.77443611390200762</v>
      </c>
      <c r="GC8" s="22">
        <f t="shared" si="25"/>
        <v>4.4827864698435551</v>
      </c>
      <c r="GD8" s="62">
        <f t="shared" si="26"/>
        <v>139.60073479759905</v>
      </c>
      <c r="GE8" s="62">
        <f ca="1">AVERAGE(OFFSET($GD$3,0,0,'Données projet'!$E$17+1,1))-AVERAGE(OFFSET($H$3,0,0,'Données projet'!$E$17+1,1))</f>
        <v>248.82613595888964</v>
      </c>
      <c r="GF8" s="62">
        <f t="shared" si="50"/>
        <v>255.8298580882084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135.66666666666666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1.4025641025641027</v>
      </c>
      <c r="N9" s="14">
        <f>IF('Données projet'!$A$36&gt;35,N8+M9-V8,IF(A9&lt;'Données projet'!$A$36,$K$205^A9,IF(A9='Données projet'!$A$36,'Données projet'!$B$36,N8+M9-V8)))</f>
        <v>3.3822491113439219</v>
      </c>
      <c r="O9" s="14">
        <f>N9*VLOOKUP('Données projet'!$B$9,Paramètres!$A$1:$I$89,3,0)*VLOOKUP('Données projet'!$B$9,Paramètres!$A$1:$I$89,5,0)</f>
        <v>1.9786157301361944</v>
      </c>
      <c r="P9" s="14">
        <f t="shared" si="33"/>
        <v>0.84220351306732277</v>
      </c>
      <c r="Q9" s="22">
        <f t="shared" si="2"/>
        <v>4.9129268485794588</v>
      </c>
      <c r="R9" s="62">
        <f t="shared" si="0"/>
        <v>143.46771003489312</v>
      </c>
      <c r="S9" s="62">
        <f ca="1">AVERAGE(OFFSET($R$3,0,0,'Données projet'!$E$9+1,1))-AVERAGE(OFFSET($H$3,0,0,'Données projet'!$E$9+1,1))</f>
        <v>221.18884567967481</v>
      </c>
      <c r="T9" s="62">
        <f t="shared" si="34"/>
        <v>189.31596996710888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1.5341666666666667</v>
      </c>
      <c r="AI9" s="14">
        <f>IF('Données projet'!$A$62&gt;35,AI8+AH9-AQ8,IF(A9&lt;'Données projet'!$A$62,$AF$205^A9,IF(A9='Données projet'!$A$62,'Données projet'!$B$62,AI8+AH9-AQ8)))</f>
        <v>5.1466368528443578</v>
      </c>
      <c r="AJ9" s="14">
        <f>AI9*VLOOKUP('Données projet'!$B$10,Paramètres!$A$1:$I$89,3,0)*VLOOKUP('Données projet'!$B$10,Paramètres!$A$1:$I$89,5,0)</f>
        <v>5.9289256544766999</v>
      </c>
      <c r="AK9" s="14">
        <f t="shared" si="35"/>
        <v>2.2210261019715896</v>
      </c>
      <c r="AL9" s="22">
        <f t="shared" si="4"/>
        <v>14.194499309147433</v>
      </c>
      <c r="AM9" s="62">
        <f t="shared" si="5"/>
        <v>152.7492824954611</v>
      </c>
      <c r="AN9" s="62">
        <f ca="1">AVERAGE(OFFSET($AM$3,0,0,'Données projet'!$E$10+1,1))-AVERAGE(OFFSET($H$3,0,0,'Données projet'!$E$10+1,1))</f>
        <v>314.72063458462026</v>
      </c>
      <c r="AO9" s="62">
        <f t="shared" si="36"/>
        <v>216.4380325968244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1.8269230769230771</v>
      </c>
      <c r="BD9" s="13">
        <f>IF('Données projet'!$A$88&gt;35,BD8+BC9-BL8,IF(A9&lt;'Données projet'!$A$88,$BA$205^A9,IF(A9='Données projet'!$A$88,'Données projet'!$B$88,BD8+BC9-BL8)))</f>
        <v>2.943235934229389</v>
      </c>
      <c r="BE9" s="14">
        <f>BD9*VLOOKUP('Données projet'!$B$11,Paramètres!$A$1:$I$89,3,0)*VLOOKUP('Données projet'!$B$11,Paramètres!$A$1:$I$89,5,0)</f>
        <v>3.1680991596045138</v>
      </c>
      <c r="BF9" s="14">
        <f t="shared" si="37"/>
        <v>1.2766088615847033</v>
      </c>
      <c r="BG9" s="22">
        <f t="shared" si="7"/>
        <v>7.7411998035712202</v>
      </c>
      <c r="BH9" s="62">
        <f t="shared" si="8"/>
        <v>146.29598298988489</v>
      </c>
      <c r="BI9" s="62">
        <f ca="1">AVERAGE(OFFSET($BH$3,0,0,'Données projet'!$E$11+1,1))-AVERAGE(OFFSET($H$3,0,0,'Données projet'!$E$11+1,1))</f>
        <v>455.26558725507834</v>
      </c>
      <c r="BJ9" s="62">
        <f t="shared" si="38"/>
        <v>278.60310966788552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4.0533333333333328</v>
      </c>
      <c r="BY9" s="13">
        <f>IF('Données projet'!$A$114&gt;35,BY8+BX9-CG8,IF(A9&lt;'Données projet'!$A$114,$BV$205^A9,IF(A9='Données projet'!$A$114,'Données projet'!$B$114,BY8+BX9-CG8)))</f>
        <v>5.1708439528202996</v>
      </c>
      <c r="BZ9" s="14">
        <f>BY9*VLOOKUP('Données projet'!$B$12,Paramètres!$A$1:$I$89,3,0)*VLOOKUP('Données projet'!$B$12,Paramètres!$A$1:$I$89,5,0)</f>
        <v>2.6888388554665559</v>
      </c>
      <c r="CA9" s="14">
        <f t="shared" si="39"/>
        <v>1.1043722880138884</v>
      </c>
      <c r="CB9" s="22">
        <f t="shared" si="10"/>
        <v>6.6065094082284403</v>
      </c>
      <c r="CC9" s="62">
        <f t="shared" si="11"/>
        <v>145.16129259454212</v>
      </c>
      <c r="CD9" s="62">
        <f ca="1">AVERAGE(OFFSET($CC$3,0,0,'Données projet'!$E$12+1,1))-AVERAGE(OFFSET($H$3,0,0,'Données projet'!$E$12+1,1))</f>
        <v>300.72820267660154</v>
      </c>
      <c r="CE9" s="62">
        <f t="shared" si="40"/>
        <v>228.35388778608589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1.8269230769230771</v>
      </c>
      <c r="CT9" s="13">
        <f>IF('Données projet'!$A$140&gt;35,CT8+CS9-DB8,IF(A9&lt;'Données projet'!$A$140,$CQ$205^A9,IF(A9='Données projet'!$A$140,'Données projet'!$B$140,CT8+CS9-DB8)))</f>
        <v>2.943235934229389</v>
      </c>
      <c r="CU9" s="18">
        <f>CT9*VLOOKUP('Données projet'!$B$13,Paramètres!$A$1:$I$89,3,0)*VLOOKUP('Données projet'!$B$13,Paramètres!$A$1:$I$89,5,0)</f>
        <v>2.5252964315688162</v>
      </c>
      <c r="CV9" s="14">
        <f t="shared" si="41"/>
        <v>1.0448050681662853</v>
      </c>
      <c r="CW9" s="22">
        <f t="shared" si="13"/>
        <v>6.2179267787053014</v>
      </c>
      <c r="CX9" s="62">
        <f t="shared" si="14"/>
        <v>144.77270996501898</v>
      </c>
      <c r="CY9" s="62">
        <f ca="1">AVERAGE(OFFSET($CX$3,0,0,'Données projet'!$E$13+1,1))-AVERAGE(OFFSET($H$3,0,0,'Données projet'!$E$13+1,1))</f>
        <v>384.3367849108829</v>
      </c>
      <c r="CZ9" s="62">
        <f t="shared" si="42"/>
        <v>238.2697272367603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3.4425641025641025</v>
      </c>
      <c r="DO9" s="13">
        <f>IF('Données projet'!$A$166&gt;35,DO8+DN9-DW8,IF(A9&lt;'Données projet'!$A$166,$DL$205^A9,IF(A9='Données projet'!$A$166,'Données projet'!$B$166,DO8+DN9-DW8)))</f>
        <v>2.5281373108456551</v>
      </c>
      <c r="DP9" s="18">
        <f>DO9*VLOOKUP('Données projet'!$B$14,Paramètres!$A$1:$I$89,3,0)*VLOOKUP('Données projet'!$B$14,Paramètres!$A$1:$I$89,5,0)</f>
        <v>1.1831682614757666</v>
      </c>
      <c r="DQ9" s="14">
        <f t="shared" si="43"/>
        <v>0.53468249033221249</v>
      </c>
      <c r="DR9" s="22">
        <f t="shared" si="16"/>
        <v>2.9919233927322302</v>
      </c>
      <c r="DS9" s="62">
        <f t="shared" si="17"/>
        <v>141.54670657904589</v>
      </c>
      <c r="DT9" s="62">
        <f ca="1">AVERAGE(OFFSET($DS$3,0,0,'Données projet'!$E$14+1,1))-AVERAGE(OFFSET($H$3,0,0,'Données projet'!$E$14+1,1))</f>
        <v>304.1100958939968</v>
      </c>
      <c r="DU9" s="62">
        <f t="shared" si="44"/>
        <v>184.1255966824568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1.8269230769230771</v>
      </c>
      <c r="EJ9" s="13">
        <f>IF('Données projet'!$A$192&gt;35,EJ8+EI9-ER8,IF(A9&lt;'Données projet'!$A$192,$EG$205^A9,IF(A9='Données projet'!$A$192,'Données projet'!$B$192,EJ8+EI9-ER8)))</f>
        <v>2.943235934229389</v>
      </c>
      <c r="EK9" s="18">
        <f>EJ9*VLOOKUP('Données projet'!$B$15,Paramètres!$A$1:$I$89,3,0)*VLOOKUP('Données projet'!$B$15,Paramètres!$A$1:$I$89,5,0)</f>
        <v>2.9844412373086007</v>
      </c>
      <c r="EL9" s="14">
        <f t="shared" si="45"/>
        <v>1.2109913474528224</v>
      </c>
      <c r="EM9" s="22">
        <f t="shared" si="19"/>
        <v>7.3070450851261457</v>
      </c>
      <c r="EN9" s="62">
        <f t="shared" si="20"/>
        <v>145.8618282714398</v>
      </c>
      <c r="EO9" s="62">
        <f ca="1">AVERAGE(OFFSET($EN$3,0,0,'Données projet'!$E$15+1,1))-AVERAGE(OFFSET($H$3,0,0,'Données projet'!$E$15+1,1))</f>
        <v>435.03433721979218</v>
      </c>
      <c r="EP9" s="62">
        <f t="shared" si="46"/>
        <v>267.10015759286387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1.8269230769230771</v>
      </c>
      <c r="FE9" s="13">
        <f>IF('Données projet'!$A$218&gt;35,FE8+FD9-FM8,IF(A9&lt;'Données projet'!$A$218,$FB$205^A9,IF(A9='Données projet'!$A$218,'Données projet'!$B$218,FE8+FD9-FM8)))</f>
        <v>2.943235934229389</v>
      </c>
      <c r="FF9" s="18">
        <f>FE9*VLOOKUP('Données projet'!$B$16,Paramètres!$A$1:$I$89,3,0)*VLOOKUP('Données projet'!$B$16,Paramètres!$A$1:$I$89,5,0)</f>
        <v>3.0762701984565579</v>
      </c>
      <c r="FG9" s="14">
        <f t="shared" si="47"/>
        <v>1.2438571125167652</v>
      </c>
      <c r="FH9" s="22">
        <f t="shared" si="22"/>
        <v>7.5242217332785373</v>
      </c>
      <c r="FI9" s="62">
        <f t="shared" si="23"/>
        <v>146.07900491959219</v>
      </c>
      <c r="FJ9" s="62">
        <f ca="1">AVERAGE(OFFSET($FI$3,0,0,'Données projet'!$E$16+1,1))-AVERAGE(OFFSET($H$3,0,0,'Données projet'!$E$16+1,1))</f>
        <v>445.15313998584293</v>
      </c>
      <c r="FK9" s="62">
        <f t="shared" si="48"/>
        <v>272.85357736694834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0.9</v>
      </c>
      <c r="FZ9" s="13">
        <f>IF('Données projet'!$A$244&gt;35,FZ8+FY9-GH8,IF(A9&lt;'Données projet'!$A$244,$FW$205^A9,IF(A9='Données projet'!$A$244,'Données projet'!$B$244,FZ8+FY9-GH8)))</f>
        <v>2.3800262745964411</v>
      </c>
      <c r="GA9" s="18">
        <f>FZ9*VLOOKUP('Données projet'!$B$17,Paramètres!$A$1:$I$89,3,0)*VLOOKUP('Données projet'!$B$17,Paramètres!$A$1:$I$89,5,0)</f>
        <v>2.0791909534874513</v>
      </c>
      <c r="GB9" s="14">
        <f t="shared" si="49"/>
        <v>0.87992070356451979</v>
      </c>
      <c r="GC9" s="22">
        <f t="shared" si="25"/>
        <v>5.1537861360321822</v>
      </c>
      <c r="GD9" s="62">
        <f t="shared" si="26"/>
        <v>143.70856932234585</v>
      </c>
      <c r="GE9" s="62">
        <f ca="1">AVERAGE(OFFSET($GD$3,0,0,'Données projet'!$E$17+1,1))-AVERAGE(OFFSET($H$3,0,0,'Données projet'!$E$17+1,1))</f>
        <v>248.82613595888964</v>
      </c>
      <c r="GF9" s="62">
        <f t="shared" si="50"/>
        <v>255.8298580882084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135.66666666666666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1.4025641025641027</v>
      </c>
      <c r="N10" s="14">
        <f>IF('Données projet'!$A$36&gt;35,N9+M10-V9,IF(A10&lt;'Données projet'!$A$36,$K$205^A10,IF(A10='Données projet'!$A$36,'Données projet'!$B$36,N9+M10-V9)))</f>
        <v>4.1438738244270077</v>
      </c>
      <c r="O10" s="14">
        <f>N10*VLOOKUP('Données projet'!$B$9,Paramètres!$A$1:$I$89,3,0)*VLOOKUP('Données projet'!$B$9,Paramètres!$A$1:$I$89,5,0)</f>
        <v>2.4241661872897997</v>
      </c>
      <c r="P10" s="14">
        <f t="shared" si="33"/>
        <v>1.007746717167324</v>
      </c>
      <c r="Q10" s="22">
        <f t="shared" si="2"/>
        <v>5.977248308596157</v>
      </c>
      <c r="R10" s="62">
        <f t="shared" si="0"/>
        <v>147.93044777535968</v>
      </c>
      <c r="S10" s="62">
        <f ca="1">AVERAGE(OFFSET($R$3,0,0,'Données projet'!$E$9+1,1))-AVERAGE(OFFSET($H$3,0,0,'Données projet'!$E$9+1,1))</f>
        <v>221.18884567967481</v>
      </c>
      <c r="T10" s="62">
        <f t="shared" si="34"/>
        <v>189.31596996710888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1.5341666666666667</v>
      </c>
      <c r="AI10" s="14">
        <f>IF('Données projet'!$A$62&gt;35,AI9+AH10-AQ9,IF(A10&lt;'Données projet'!$A$62,$AF$205^A10,IF(A10='Données projet'!$A$62,'Données projet'!$B$62,AI9+AH10-AQ9)))</f>
        <v>6.7625545245201764</v>
      </c>
      <c r="AJ10" s="14">
        <f>AI10*VLOOKUP('Données projet'!$B$10,Paramètres!$A$1:$I$89,3,0)*VLOOKUP('Données projet'!$B$10,Paramètres!$A$1:$I$89,5,0)</f>
        <v>7.7904628122472417</v>
      </c>
      <c r="AK10" s="14">
        <f t="shared" si="35"/>
        <v>2.8270751967810739</v>
      </c>
      <c r="AL10" s="22">
        <f t="shared" si="4"/>
        <v>18.492212032390984</v>
      </c>
      <c r="AM10" s="62">
        <f t="shared" si="5"/>
        <v>160.44541149915452</v>
      </c>
      <c r="AN10" s="62">
        <f ca="1">AVERAGE(OFFSET($AM$3,0,0,'Données projet'!$E$10+1,1))-AVERAGE(OFFSET($H$3,0,0,'Données projet'!$E$10+1,1))</f>
        <v>314.72063458462026</v>
      </c>
      <c r="AO10" s="62">
        <f t="shared" si="36"/>
        <v>216.4380325968244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1.8269230769230771</v>
      </c>
      <c r="BD10" s="13">
        <f>IF('Données projet'!$A$88&gt;35,BD9+BC10-BL9,IF(A10&lt;'Données projet'!$A$88,$BA$205^A10,IF(A10='Données projet'!$A$88,'Données projet'!$B$88,BD9+BC10-BL9)))</f>
        <v>3.5234051927544003</v>
      </c>
      <c r="BE10" s="14">
        <f>BD10*VLOOKUP('Données projet'!$B$11,Paramètres!$A$1:$I$89,3,0)*VLOOKUP('Données projet'!$B$11,Paramètres!$A$1:$I$89,5,0)</f>
        <v>3.7925933494808359</v>
      </c>
      <c r="BF10" s="14">
        <f t="shared" si="37"/>
        <v>1.4965807720053963</v>
      </c>
      <c r="BG10" s="22">
        <f t="shared" si="7"/>
        <v>9.2119782615885182</v>
      </c>
      <c r="BH10" s="62">
        <f t="shared" si="8"/>
        <v>151.16517772835203</v>
      </c>
      <c r="BI10" s="62">
        <f ca="1">AVERAGE(OFFSET($BH$3,0,0,'Données projet'!$E$11+1,1))-AVERAGE(OFFSET($H$3,0,0,'Données projet'!$E$11+1,1))</f>
        <v>455.26558725507834</v>
      </c>
      <c r="BJ10" s="62">
        <f t="shared" si="38"/>
        <v>278.60310966788552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4.0533333333333328</v>
      </c>
      <c r="BY10" s="13">
        <f>IF('Données projet'!$A$114&gt;35,BY9+BX10-CG9,IF(A10&lt;'Données projet'!$A$114,$BV$205^A10,IF(A10='Données projet'!$A$114,'Données projet'!$B$114,BY9+BX10-CG9)))</f>
        <v>6.7996778417984078</v>
      </c>
      <c r="BZ10" s="14">
        <f>BY10*VLOOKUP('Données projet'!$B$12,Paramètres!$A$1:$I$89,3,0)*VLOOKUP('Données projet'!$B$12,Paramètres!$A$1:$I$89,5,0)</f>
        <v>3.5358324777351724</v>
      </c>
      <c r="CA10" s="14">
        <f t="shared" si="39"/>
        <v>1.4066929596735296</v>
      </c>
      <c r="CB10" s="22">
        <f t="shared" si="10"/>
        <v>8.6082318034868219</v>
      </c>
      <c r="CC10" s="62">
        <f t="shared" si="11"/>
        <v>150.56143127025035</v>
      </c>
      <c r="CD10" s="62">
        <f ca="1">AVERAGE(OFFSET($CC$3,0,0,'Données projet'!$E$12+1,1))-AVERAGE(OFFSET($H$3,0,0,'Données projet'!$E$12+1,1))</f>
        <v>300.72820267660154</v>
      </c>
      <c r="CE10" s="62">
        <f t="shared" si="40"/>
        <v>228.35388778608589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1.8269230769230771</v>
      </c>
      <c r="CT10" s="13">
        <f>IF('Données projet'!$A$140&gt;35,CT9+CS10-DB9,IF(A10&lt;'Données projet'!$A$140,$CQ$205^A10,IF(A10='Données projet'!$A$140,'Données projet'!$B$140,CT9+CS10-DB9)))</f>
        <v>3.5234051927544003</v>
      </c>
      <c r="CU10" s="18">
        <f>CT10*VLOOKUP('Données projet'!$B$13,Paramètres!$A$1:$I$89,3,0)*VLOOKUP('Données projet'!$B$13,Paramètres!$A$1:$I$89,5,0)</f>
        <v>3.023081655383276</v>
      </c>
      <c r="CV10" s="14">
        <f t="shared" si="41"/>
        <v>1.2248349690839917</v>
      </c>
      <c r="CW10" s="22">
        <f t="shared" si="13"/>
        <v>7.3984547876138231</v>
      </c>
      <c r="CX10" s="62">
        <f t="shared" si="14"/>
        <v>149.35165425437734</v>
      </c>
      <c r="CY10" s="62">
        <f ca="1">AVERAGE(OFFSET($CX$3,0,0,'Données projet'!$E$13+1,1))-AVERAGE(OFFSET($H$3,0,0,'Données projet'!$E$13+1,1))</f>
        <v>384.3367849108829</v>
      </c>
      <c r="CZ10" s="62">
        <f t="shared" si="42"/>
        <v>238.2697272367603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3.4425641025641025</v>
      </c>
      <c r="DO10" s="13">
        <f>IF('Données projet'!$A$166&gt;35,DO9+DN10-DW9,IF(A10&lt;'Données projet'!$A$166,$DL$205^A10,IF(A10='Données projet'!$A$166,'Données projet'!$B$166,DO9+DN10-DW9)))</f>
        <v>2.9507614507509188</v>
      </c>
      <c r="DP10" s="18">
        <f>DO10*VLOOKUP('Données projet'!$B$14,Paramètres!$A$1:$I$89,3,0)*VLOOKUP('Données projet'!$B$14,Paramètres!$A$1:$I$89,5,0)</f>
        <v>1.38095635895143</v>
      </c>
      <c r="DQ10" s="14">
        <f t="shared" si="43"/>
        <v>0.61293591895758326</v>
      </c>
      <c r="DR10" s="22">
        <f t="shared" si="16"/>
        <v>3.472695717358198</v>
      </c>
      <c r="DS10" s="62">
        <f t="shared" si="17"/>
        <v>145.42589518412171</v>
      </c>
      <c r="DT10" s="62">
        <f ca="1">AVERAGE(OFFSET($DS$3,0,0,'Données projet'!$E$14+1,1))-AVERAGE(OFFSET($H$3,0,0,'Données projet'!$E$14+1,1))</f>
        <v>304.1100958939968</v>
      </c>
      <c r="DU10" s="62">
        <f t="shared" si="44"/>
        <v>184.1255966824568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1.8269230769230771</v>
      </c>
      <c r="EJ10" s="13">
        <f>IF('Données projet'!$A$192&gt;35,EJ9+EI10-ER9,IF(A10&lt;'Données projet'!$A$192,$EG$205^A10,IF(A10='Données projet'!$A$192,'Données projet'!$B$192,EJ9+EI10-ER9)))</f>
        <v>3.5234051927544003</v>
      </c>
      <c r="EK10" s="18">
        <f>EJ10*VLOOKUP('Données projet'!$B$15,Paramètres!$A$1:$I$89,3,0)*VLOOKUP('Données projet'!$B$15,Paramètres!$A$1:$I$89,5,0)</f>
        <v>3.572732865452962</v>
      </c>
      <c r="EL10" s="14">
        <f t="shared" si="45"/>
        <v>1.4196567329268457</v>
      </c>
      <c r="EM10" s="22">
        <f t="shared" si="19"/>
        <v>8.6950785505114965</v>
      </c>
      <c r="EN10" s="62">
        <f t="shared" si="20"/>
        <v>150.648278017275</v>
      </c>
      <c r="EO10" s="62">
        <f ca="1">AVERAGE(OFFSET($EN$3,0,0,'Données projet'!$E$15+1,1))-AVERAGE(OFFSET($H$3,0,0,'Données projet'!$E$15+1,1))</f>
        <v>435.03433721979218</v>
      </c>
      <c r="EP10" s="62">
        <f t="shared" si="46"/>
        <v>267.10015759286387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1.8269230769230771</v>
      </c>
      <c r="FE10" s="13">
        <f>IF('Données projet'!$A$218&gt;35,FE9+FD10-FM9,IF(A10&lt;'Données projet'!$A$218,$FB$205^A10,IF(A10='Données projet'!$A$218,'Données projet'!$B$218,FE9+FD10-FM9)))</f>
        <v>3.5234051927544003</v>
      </c>
      <c r="FF10" s="18">
        <f>FE10*VLOOKUP('Données projet'!$B$16,Paramètres!$A$1:$I$89,3,0)*VLOOKUP('Données projet'!$B$16,Paramètres!$A$1:$I$89,5,0)</f>
        <v>3.6826631074668992</v>
      </c>
      <c r="FG10" s="14">
        <f t="shared" si="47"/>
        <v>1.4581855834871391</v>
      </c>
      <c r="FH10" s="22">
        <f t="shared" si="22"/>
        <v>8.9536448034116152</v>
      </c>
      <c r="FI10" s="62">
        <f t="shared" si="23"/>
        <v>150.90684427017513</v>
      </c>
      <c r="FJ10" s="62">
        <f ca="1">AVERAGE(OFFSET($FI$3,0,0,'Données projet'!$E$16+1,1))-AVERAGE(OFFSET($H$3,0,0,'Données projet'!$E$16+1,1))</f>
        <v>445.15313998584293</v>
      </c>
      <c r="FK10" s="62">
        <f t="shared" si="48"/>
        <v>272.85357736694834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0.9</v>
      </c>
      <c r="FZ10" s="13">
        <f>IF('Données projet'!$A$244&gt;35,FZ9+FY10-GH9,IF(A10&lt;'Données projet'!$A$244,$FW$205^A10,IF(A10='Données projet'!$A$244,'Données projet'!$B$244,FZ9+FY10-GH9)))</f>
        <v>2.7500803110319185</v>
      </c>
      <c r="GA10" s="18">
        <f>FZ10*VLOOKUP('Données projet'!$B$17,Paramètres!$A$1:$I$89,3,0)*VLOOKUP('Données projet'!$B$17,Paramètres!$A$1:$I$89,5,0)</f>
        <v>2.4024701597174842</v>
      </c>
      <c r="GB10" s="14">
        <f t="shared" si="49"/>
        <v>0.9997731648390682</v>
      </c>
      <c r="GC10" s="22">
        <f t="shared" si="25"/>
        <v>5.9255737902693291</v>
      </c>
      <c r="GD10" s="62">
        <f t="shared" si="26"/>
        <v>147.87877325703286</v>
      </c>
      <c r="GE10" s="62">
        <f ca="1">AVERAGE(OFFSET($GD$3,0,0,'Données projet'!$E$17+1,1))-AVERAGE(OFFSET($H$3,0,0,'Données projet'!$E$17+1,1))</f>
        <v>248.82613595888964</v>
      </c>
      <c r="GF10" s="62">
        <f t="shared" si="50"/>
        <v>255.8298580882084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135.66666666666666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1.4025641025641027</v>
      </c>
      <c r="N11" s="14">
        <f>IF('Données projet'!$A$36&gt;35,N10+M11-V10,IF(A11&lt;'Données projet'!$A$36,$K$205^A11,IF(A11='Données projet'!$A$36,'Données projet'!$B$36,N10+M11-V10)))</f>
        <v>5.07700341029825</v>
      </c>
      <c r="O11" s="14">
        <f>N11*VLOOKUP('Données projet'!$B$9,Paramètres!$A$1:$I$89,3,0)*VLOOKUP('Données projet'!$B$9,Paramètres!$A$1:$I$89,5,0)</f>
        <v>2.9700469950244766</v>
      </c>
      <c r="P11" s="14">
        <f t="shared" si="33"/>
        <v>1.2058290308750339</v>
      </c>
      <c r="Q11" s="22">
        <f t="shared" si="2"/>
        <v>7.272984078441648</v>
      </c>
      <c r="R11" s="62">
        <f t="shared" si="0"/>
        <v>152.58684772398581</v>
      </c>
      <c r="S11" s="62">
        <f ca="1">AVERAGE(OFFSET($R$3,0,0,'Données projet'!$E$9+1,1))-AVERAGE(OFFSET($H$3,0,0,'Données projet'!$E$9+1,1))</f>
        <v>221.18884567967481</v>
      </c>
      <c r="T11" s="62">
        <f t="shared" si="34"/>
        <v>189.31596996710888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1.5341666666666667</v>
      </c>
      <c r="AI11" s="14">
        <f>IF('Données projet'!$A$62&gt;35,AI10+AH11-AQ10,IF(A11&lt;'Données projet'!$A$62,$AF$205^A11,IF(A11='Données projet'!$A$62,'Données projet'!$B$62,AI10+AH11-AQ10)))</f>
        <v>8.8858306899648145</v>
      </c>
      <c r="AJ11" s="14">
        <f>AI11*VLOOKUP('Données projet'!$B$10,Paramètres!$A$1:$I$89,3,0)*VLOOKUP('Données projet'!$B$10,Paramètres!$A$1:$I$89,5,0)</f>
        <v>10.236476954839466</v>
      </c>
      <c r="AK11" s="14">
        <f t="shared" si="35"/>
        <v>3.5984962811377996</v>
      </c>
      <c r="AL11" s="22">
        <f t="shared" si="4"/>
        <v>24.095911719327074</v>
      </c>
      <c r="AM11" s="62">
        <f t="shared" si="5"/>
        <v>169.40977536487122</v>
      </c>
      <c r="AN11" s="62">
        <f ca="1">AVERAGE(OFFSET($AM$3,0,0,'Données projet'!$E$10+1,1))-AVERAGE(OFFSET($H$3,0,0,'Données projet'!$E$10+1,1))</f>
        <v>314.72063458462026</v>
      </c>
      <c r="AO11" s="62">
        <f t="shared" si="36"/>
        <v>216.4380325968244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1.8269230769230771</v>
      </c>
      <c r="BD11" s="13">
        <f>IF('Données projet'!$A$88&gt;35,BD10+BC11-BL10,IF(A11&lt;'Données projet'!$A$88,$BA$205^A11,IF(A11='Données projet'!$A$88,'Données projet'!$B$88,BD10+BC11-BL10)))</f>
        <v>4.2179371378119113</v>
      </c>
      <c r="BE11" s="14">
        <f>BD11*VLOOKUP('Données projet'!$B$11,Paramètres!$A$1:$I$89,3,0)*VLOOKUP('Données projet'!$B$11,Paramètres!$A$1:$I$89,5,0)</f>
        <v>4.540187535140741</v>
      </c>
      <c r="BF11" s="14">
        <f t="shared" si="37"/>
        <v>1.754455945383284</v>
      </c>
      <c r="BG11" s="22">
        <f t="shared" si="7"/>
        <v>10.963170728579342</v>
      </c>
      <c r="BH11" s="62">
        <f t="shared" si="8"/>
        <v>156.2770343741235</v>
      </c>
      <c r="BI11" s="62">
        <f ca="1">AVERAGE(OFFSET($BH$3,0,0,'Données projet'!$E$11+1,1))-AVERAGE(OFFSET($H$3,0,0,'Données projet'!$E$11+1,1))</f>
        <v>455.26558725507834</v>
      </c>
      <c r="BJ11" s="62">
        <f t="shared" si="38"/>
        <v>278.60310966788552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4.0533333333333328</v>
      </c>
      <c r="BY11" s="13">
        <f>IF('Données projet'!$A$114&gt;35,BY10+BX11-CG10,IF(A11&lt;'Données projet'!$A$114,$BV$205^A11,IF(A11='Données projet'!$A$114,'Données projet'!$B$114,BY10+BX11-CG10)))</f>
        <v>8.9416000896770953</v>
      </c>
      <c r="BZ11" s="14">
        <f>BY11*VLOOKUP('Données projet'!$B$12,Paramètres!$A$1:$I$89,3,0)*VLOOKUP('Données projet'!$B$12,Paramètres!$A$1:$I$89,5,0)</f>
        <v>4.6496320466320897</v>
      </c>
      <c r="CA11" s="14">
        <f t="shared" si="39"/>
        <v>1.7917735751534802</v>
      </c>
      <c r="CB11" s="22">
        <f t="shared" si="10"/>
        <v>11.218781457943201</v>
      </c>
      <c r="CC11" s="62">
        <f t="shared" si="11"/>
        <v>156.53264510348737</v>
      </c>
      <c r="CD11" s="62">
        <f ca="1">AVERAGE(OFFSET($CC$3,0,0,'Données projet'!$E$12+1,1))-AVERAGE(OFFSET($H$3,0,0,'Données projet'!$E$12+1,1))</f>
        <v>300.72820267660154</v>
      </c>
      <c r="CE11" s="62">
        <f t="shared" si="40"/>
        <v>228.35388778608589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1.8269230769230771</v>
      </c>
      <c r="CT11" s="13">
        <f>IF('Données projet'!$A$140&gt;35,CT10+CS11-DB10,IF(A11&lt;'Données projet'!$A$140,$CQ$205^A11,IF(A11='Données projet'!$A$140,'Données projet'!$B$140,CT10+CS11-DB10)))</f>
        <v>4.2179371378119113</v>
      </c>
      <c r="CU11" s="18">
        <f>CT11*VLOOKUP('Données projet'!$B$13,Paramètres!$A$1:$I$89,3,0)*VLOOKUP('Données projet'!$B$13,Paramètres!$A$1:$I$89,5,0)</f>
        <v>3.6189900642426203</v>
      </c>
      <c r="CV11" s="14">
        <f t="shared" si="41"/>
        <v>1.435885742901293</v>
      </c>
      <c r="CW11" s="22">
        <f t="shared" si="13"/>
        <v>8.8039086974423153</v>
      </c>
      <c r="CX11" s="62">
        <f t="shared" si="14"/>
        <v>154.11777234298648</v>
      </c>
      <c r="CY11" s="62">
        <f ca="1">AVERAGE(OFFSET($CX$3,0,0,'Données projet'!$E$13+1,1))-AVERAGE(OFFSET($H$3,0,0,'Données projet'!$E$13+1,1))</f>
        <v>384.3367849108829</v>
      </c>
      <c r="CZ11" s="62">
        <f t="shared" si="42"/>
        <v>238.2697272367603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3.4425641025641025</v>
      </c>
      <c r="DO11" s="13">
        <f>IF('Données projet'!$A$166&gt;35,DO10+DN11-DW10,IF(A11&lt;'Données projet'!$A$166,$DL$205^A11,IF(A11='Données projet'!$A$166,'Données projet'!$B$166,DO10+DN11-DW10)))</f>
        <v>3.4440349034385327</v>
      </c>
      <c r="DP11" s="18">
        <f>DO11*VLOOKUP('Données projet'!$B$14,Paramètres!$A$1:$I$89,3,0)*VLOOKUP('Données projet'!$B$14,Paramètres!$A$1:$I$89,5,0)</f>
        <v>1.6118083348092334</v>
      </c>
      <c r="DQ11" s="14">
        <f t="shared" si="43"/>
        <v>0.70264212414165761</v>
      </c>
      <c r="DR11" s="22">
        <f t="shared" si="16"/>
        <v>4.0310012160061346</v>
      </c>
      <c r="DS11" s="62">
        <f t="shared" si="17"/>
        <v>149.34486486155029</v>
      </c>
      <c r="DT11" s="62">
        <f ca="1">AVERAGE(OFFSET($DS$3,0,0,'Données projet'!$E$14+1,1))-AVERAGE(OFFSET($H$3,0,0,'Données projet'!$E$14+1,1))</f>
        <v>304.1100958939968</v>
      </c>
      <c r="DU11" s="62">
        <f t="shared" si="44"/>
        <v>184.1255966824568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1.8269230769230771</v>
      </c>
      <c r="EJ11" s="13">
        <f>IF('Données projet'!$A$192&gt;35,EJ10+EI11-ER10,IF(A11&lt;'Données projet'!$A$192,$EG$205^A11,IF(A11='Données projet'!$A$192,'Données projet'!$B$192,EJ10+EI11-ER10)))</f>
        <v>4.2179371378119113</v>
      </c>
      <c r="EK11" s="18">
        <f>EJ11*VLOOKUP('Données projet'!$B$15,Paramètres!$A$1:$I$89,3,0)*VLOOKUP('Données projet'!$B$15,Paramètres!$A$1:$I$89,5,0)</f>
        <v>4.2769882577412783</v>
      </c>
      <c r="EL11" s="14">
        <f t="shared" si="45"/>
        <v>1.6642771590265577</v>
      </c>
      <c r="EM11" s="22">
        <f t="shared" si="19"/>
        <v>10.347703934203979</v>
      </c>
      <c r="EN11" s="62">
        <f t="shared" si="20"/>
        <v>155.66156757974815</v>
      </c>
      <c r="EO11" s="62">
        <f ca="1">AVERAGE(OFFSET($EN$3,0,0,'Données projet'!$E$15+1,1))-AVERAGE(OFFSET($H$3,0,0,'Données projet'!$E$15+1,1))</f>
        <v>435.03433721979218</v>
      </c>
      <c r="EP11" s="62">
        <f t="shared" si="46"/>
        <v>267.10015759286387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1.8269230769230771</v>
      </c>
      <c r="FE11" s="13">
        <f>IF('Données projet'!$A$218&gt;35,FE10+FD11-FM10,IF(A11&lt;'Données projet'!$A$218,$FB$205^A11,IF(A11='Données projet'!$A$218,'Données projet'!$B$218,FE10+FD11-FM10)))</f>
        <v>4.2179371378119113</v>
      </c>
      <c r="FF11" s="18">
        <f>FE11*VLOOKUP('Données projet'!$B$16,Paramètres!$A$1:$I$89,3,0)*VLOOKUP('Données projet'!$B$16,Paramètres!$A$1:$I$89,5,0)</f>
        <v>4.4085878964410101</v>
      </c>
      <c r="FG11" s="14">
        <f t="shared" si="47"/>
        <v>1.7094448988497224</v>
      </c>
      <c r="FH11" s="22">
        <f t="shared" si="22"/>
        <v>10.655573785131358</v>
      </c>
      <c r="FI11" s="62">
        <f t="shared" si="23"/>
        <v>155.96943743067553</v>
      </c>
      <c r="FJ11" s="62">
        <f ca="1">AVERAGE(OFFSET($FI$3,0,0,'Données projet'!$E$16+1,1))-AVERAGE(OFFSET($H$3,0,0,'Données projet'!$E$16+1,1))</f>
        <v>445.15313998584293</v>
      </c>
      <c r="FK11" s="62">
        <f t="shared" si="48"/>
        <v>272.85357736694834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0.9</v>
      </c>
      <c r="FZ11" s="13">
        <f>IF('Données projet'!$A$244&gt;35,FZ10+FY11-GH10,IF(A11&lt;'Données projet'!$A$244,$FW$205^A11,IF(A11='Données projet'!$A$244,'Données projet'!$B$244,FZ10+FY11-GH10)))</f>
        <v>3.1776715231464374</v>
      </c>
      <c r="GA11" s="18">
        <f>FZ11*VLOOKUP('Données projet'!$B$17,Paramètres!$A$1:$I$89,3,0)*VLOOKUP('Données projet'!$B$17,Paramètres!$A$1:$I$89,5,0)</f>
        <v>2.7760138426207281</v>
      </c>
      <c r="GB11" s="14">
        <f t="shared" si="49"/>
        <v>1.135950520408497</v>
      </c>
      <c r="GC11" s="22">
        <f t="shared" si="25"/>
        <v>6.8133379322758998</v>
      </c>
      <c r="GD11" s="62">
        <f t="shared" si="26"/>
        <v>152.12720157782007</v>
      </c>
      <c r="GE11" s="62">
        <f ca="1">AVERAGE(OFFSET($GD$3,0,0,'Données projet'!$E$17+1,1))-AVERAGE(OFFSET($H$3,0,0,'Données projet'!$E$17+1,1))</f>
        <v>248.82613595888964</v>
      </c>
      <c r="GF11" s="62">
        <f t="shared" si="50"/>
        <v>255.8298580882084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135.66666666666666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1.4025641025641027</v>
      </c>
      <c r="N12" s="14">
        <f>IF('Données projet'!$A$36&gt;35,N11+M12-V11,IF(A12&lt;'Données projet'!$A$36,$K$205^A12,IF(A12='Données projet'!$A$36,'Données projet'!$B$36,N11+M12-V11)))</f>
        <v>6.2202578360947607</v>
      </c>
      <c r="O12" s="14">
        <f>N12*VLOOKUP('Données projet'!$B$9,Paramètres!$A$1:$I$89,3,0)*VLOOKUP('Données projet'!$B$9,Paramètres!$A$1:$I$89,5,0)</f>
        <v>3.6388508341154351</v>
      </c>
      <c r="P12" s="14">
        <f t="shared" si="33"/>
        <v>1.4428463292722393</v>
      </c>
      <c r="Q12" s="22">
        <f t="shared" si="2"/>
        <v>8.8506225595668653</v>
      </c>
      <c r="R12" s="62">
        <f t="shared" si="0"/>
        <v>157.48805319678536</v>
      </c>
      <c r="S12" s="62">
        <f ca="1">AVERAGE(OFFSET($R$3,0,0,'Données projet'!$E$9+1,1))-AVERAGE(OFFSET($H$3,0,0,'Données projet'!$E$9+1,1))</f>
        <v>221.18884567967481</v>
      </c>
      <c r="T12" s="62">
        <f t="shared" si="34"/>
        <v>189.31596996710888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1.5341666666666667</v>
      </c>
      <c r="AI12" s="14">
        <f>IF('Données projet'!$A$62&gt;35,AI11+AH12-AQ11,IF(A12&lt;'Données projet'!$A$62,$AF$205^A12,IF(A12='Données projet'!$A$62,'Données projet'!$B$62,AI11+AH12-AQ11)))</f>
        <v>11.675763465481689</v>
      </c>
      <c r="AJ12" s="14">
        <f>AI12*VLOOKUP('Données projet'!$B$10,Paramètres!$A$1:$I$89,3,0)*VLOOKUP('Données projet'!$B$10,Paramètres!$A$1:$I$89,5,0)</f>
        <v>13.450479512234905</v>
      </c>
      <c r="AK12" s="14">
        <f t="shared" si="35"/>
        <v>4.5804142387533915</v>
      </c>
      <c r="AL12" s="22">
        <f t="shared" si="4"/>
        <v>31.403806616304621</v>
      </c>
      <c r="AM12" s="62">
        <f t="shared" si="5"/>
        <v>180.04123725352312</v>
      </c>
      <c r="AN12" s="62">
        <f ca="1">AVERAGE(OFFSET($AM$3,0,0,'Données projet'!$E$10+1,1))-AVERAGE(OFFSET($H$3,0,0,'Données projet'!$E$10+1,1))</f>
        <v>314.72063458462026</v>
      </c>
      <c r="AO12" s="62">
        <f t="shared" si="36"/>
        <v>216.4380325968244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1.8269230769230771</v>
      </c>
      <c r="BD12" s="13">
        <f>IF('Données projet'!$A$88&gt;35,BD11+BC12-BL11,IF(A12&lt;'Données projet'!$A$88,$BA$205^A12,IF(A12='Données projet'!$A$88,'Données projet'!$B$88,BD11+BC12-BL11)))</f>
        <v>5.0493748874295479</v>
      </c>
      <c r="BE12" s="14">
        <f>BD12*VLOOKUP('Données projet'!$B$11,Paramètres!$A$1:$I$89,3,0)*VLOOKUP('Données projet'!$B$11,Paramètres!$A$1:$I$89,5,0)</f>
        <v>5.4351471288291648</v>
      </c>
      <c r="BF12" s="14">
        <f t="shared" si="37"/>
        <v>2.0567654762570022</v>
      </c>
      <c r="BG12" s="22">
        <f t="shared" si="7"/>
        <v>13.048414453858408</v>
      </c>
      <c r="BH12" s="62">
        <f t="shared" si="8"/>
        <v>161.68584509107691</v>
      </c>
      <c r="BI12" s="62">
        <f ca="1">AVERAGE(OFFSET($BH$3,0,0,'Données projet'!$E$11+1,1))-AVERAGE(OFFSET($H$3,0,0,'Données projet'!$E$11+1,1))</f>
        <v>455.26558725507834</v>
      </c>
      <c r="BJ12" s="62">
        <f t="shared" si="38"/>
        <v>278.60310966788552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4.0533333333333328</v>
      </c>
      <c r="BY12" s="13">
        <f>IF('Données projet'!$A$114&gt;35,BY11+BX12-CG11,IF(A12&lt;'Données projet'!$A$114,$BV$205^A12,IF(A12='Données projet'!$A$114,'Données projet'!$B$114,BY11+BX12-CG11)))</f>
        <v>11.758235319949707</v>
      </c>
      <c r="BZ12" s="14">
        <f>BY12*VLOOKUP('Données projet'!$B$12,Paramètres!$A$1:$I$89,3,0)*VLOOKUP('Données projet'!$B$12,Paramètres!$A$1:$I$89,5,0)</f>
        <v>6.1142823663738488</v>
      </c>
      <c r="CA12" s="14">
        <f t="shared" si="39"/>
        <v>2.2822695759872</v>
      </c>
      <c r="CB12" s="22">
        <f t="shared" si="10"/>
        <v>14.623994632945491</v>
      </c>
      <c r="CC12" s="62">
        <f t="shared" si="11"/>
        <v>163.26142527016398</v>
      </c>
      <c r="CD12" s="62">
        <f ca="1">AVERAGE(OFFSET($CC$3,0,0,'Données projet'!$E$12+1,1))-AVERAGE(OFFSET($H$3,0,0,'Données projet'!$E$12+1,1))</f>
        <v>300.72820267660154</v>
      </c>
      <c r="CE12" s="62">
        <f t="shared" si="40"/>
        <v>228.35388778608589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1.8269230769230771</v>
      </c>
      <c r="CT12" s="13">
        <f>IF('Données projet'!$A$140&gt;35,CT11+CS12-DB11,IF(A12&lt;'Données projet'!$A$140,$CQ$205^A12,IF(A12='Données projet'!$A$140,'Données projet'!$B$140,CT11+CS12-DB11)))</f>
        <v>5.0493748874295479</v>
      </c>
      <c r="CU12" s="18">
        <f>CT12*VLOOKUP('Données projet'!$B$13,Paramètres!$A$1:$I$89,3,0)*VLOOKUP('Données projet'!$B$13,Paramètres!$A$1:$I$89,5,0)</f>
        <v>4.3323636534145527</v>
      </c>
      <c r="CV12" s="14">
        <f t="shared" si="41"/>
        <v>1.6833025825586263</v>
      </c>
      <c r="CW12" s="22">
        <f t="shared" si="13"/>
        <v>10.47728536098662</v>
      </c>
      <c r="CX12" s="62">
        <f t="shared" si="14"/>
        <v>159.11471599820513</v>
      </c>
      <c r="CY12" s="62">
        <f ca="1">AVERAGE(OFFSET($CX$3,0,0,'Données projet'!$E$13+1,1))-AVERAGE(OFFSET($H$3,0,0,'Données projet'!$E$13+1,1))</f>
        <v>384.3367849108829</v>
      </c>
      <c r="CZ12" s="62">
        <f t="shared" si="42"/>
        <v>238.2697272367603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3.4425641025641025</v>
      </c>
      <c r="DO12" s="13">
        <f>IF('Données projet'!$A$166&gt;35,DO11+DN12-DW11,IF(A12&lt;'Données projet'!$A$166,$DL$205^A12,IF(A12='Données projet'!$A$166,'Données projet'!$B$166,DO11+DN12-DW11)))</f>
        <v>4.0197679866952116</v>
      </c>
      <c r="DP12" s="18">
        <f>DO12*VLOOKUP('Données projet'!$B$14,Paramètres!$A$1:$I$89,3,0)*VLOOKUP('Données projet'!$B$14,Paramètres!$A$1:$I$89,5,0)</f>
        <v>1.881251417773359</v>
      </c>
      <c r="DQ12" s="14">
        <f t="shared" si="43"/>
        <v>0.80547727641405575</v>
      </c>
      <c r="DR12" s="22">
        <f t="shared" si="16"/>
        <v>4.6793858090430804</v>
      </c>
      <c r="DS12" s="62">
        <f t="shared" si="17"/>
        <v>153.31681644626158</v>
      </c>
      <c r="DT12" s="62">
        <f ca="1">AVERAGE(OFFSET($DS$3,0,0,'Données projet'!$E$14+1,1))-AVERAGE(OFFSET($H$3,0,0,'Données projet'!$E$14+1,1))</f>
        <v>304.1100958939968</v>
      </c>
      <c r="DU12" s="62">
        <f t="shared" si="44"/>
        <v>184.1255966824568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1.8269230769230771</v>
      </c>
      <c r="EJ12" s="13">
        <f>IF('Données projet'!$A$192&gt;35,EJ11+EI12-ER11,IF(A12&lt;'Données projet'!$A$192,$EG$205^A12,IF(A12='Données projet'!$A$192,'Données projet'!$B$192,EJ11+EI12-ER11)))</f>
        <v>5.0493748874295479</v>
      </c>
      <c r="EK12" s="18">
        <f>EJ12*VLOOKUP('Données projet'!$B$15,Paramètres!$A$1:$I$89,3,0)*VLOOKUP('Données projet'!$B$15,Paramètres!$A$1:$I$89,5,0)</f>
        <v>5.1200661358535617</v>
      </c>
      <c r="EL12" s="14">
        <f t="shared" si="45"/>
        <v>1.9510480229591083</v>
      </c>
      <c r="EM12" s="22">
        <f t="shared" si="19"/>
        <v>12.315523826598733</v>
      </c>
      <c r="EN12" s="62">
        <f t="shared" si="20"/>
        <v>160.95295446381724</v>
      </c>
      <c r="EO12" s="62">
        <f ca="1">AVERAGE(OFFSET($EN$3,0,0,'Données projet'!$E$15+1,1))-AVERAGE(OFFSET($H$3,0,0,'Données projet'!$E$15+1,1))</f>
        <v>435.03433721979218</v>
      </c>
      <c r="EP12" s="62">
        <f t="shared" si="46"/>
        <v>267.10015759286387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1.8269230769230771</v>
      </c>
      <c r="FE12" s="13">
        <f>IF('Données projet'!$A$218&gt;35,FE11+FD12-FM11,IF(A12&lt;'Données projet'!$A$218,$FB$205^A12,IF(A12='Données projet'!$A$218,'Données projet'!$B$218,FE11+FD12-FM11)))</f>
        <v>5.0493748874295479</v>
      </c>
      <c r="FF12" s="18">
        <f>FE12*VLOOKUP('Données projet'!$B$16,Paramètres!$A$1:$I$89,3,0)*VLOOKUP('Données projet'!$B$16,Paramètres!$A$1:$I$89,5,0)</f>
        <v>5.2776066323413637</v>
      </c>
      <c r="FG12" s="14">
        <f t="shared" si="47"/>
        <v>2.0039985961286999</v>
      </c>
      <c r="FH12" s="22">
        <f t="shared" si="22"/>
        <v>12.682129106252026</v>
      </c>
      <c r="FI12" s="62">
        <f t="shared" si="23"/>
        <v>161.31955974347053</v>
      </c>
      <c r="FJ12" s="62">
        <f ca="1">AVERAGE(OFFSET($FI$3,0,0,'Données projet'!$E$16+1,1))-AVERAGE(OFFSET($H$3,0,0,'Données projet'!$E$16+1,1))</f>
        <v>445.15313998584293</v>
      </c>
      <c r="FK12" s="62">
        <f t="shared" si="48"/>
        <v>272.85357736694834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0.9</v>
      </c>
      <c r="FZ12" s="13">
        <f>IF('Données projet'!$A$244&gt;35,FZ11+FY12-GH11,IF(A12&lt;'Données projet'!$A$244,$FW$205^A12,IF(A12='Données projet'!$A$244,'Données projet'!$B$244,FZ11+FY12-GH11)))</f>
        <v>3.6717459735664435</v>
      </c>
      <c r="GA12" s="18">
        <f>FZ12*VLOOKUP('Données projet'!$B$17,Paramètres!$A$1:$I$89,3,0)*VLOOKUP('Données projet'!$B$17,Paramètres!$A$1:$I$89,5,0)</f>
        <v>3.2076372825076458</v>
      </c>
      <c r="GB12" s="14">
        <f t="shared" si="49"/>
        <v>1.290676355595167</v>
      </c>
      <c r="GC12" s="22">
        <f t="shared" si="25"/>
        <v>7.834562919695732</v>
      </c>
      <c r="GD12" s="62">
        <f t="shared" si="26"/>
        <v>156.47199355691424</v>
      </c>
      <c r="GE12" s="62">
        <f ca="1">AVERAGE(OFFSET($GD$3,0,0,'Données projet'!$E$17+1,1))-AVERAGE(OFFSET($H$3,0,0,'Données projet'!$E$17+1,1))</f>
        <v>248.82613595888964</v>
      </c>
      <c r="GF12" s="62">
        <f t="shared" si="50"/>
        <v>255.8298580882084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135.66666666666666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1.4025641025641027</v>
      </c>
      <c r="N13" s="14">
        <f>IF('Données projet'!$A$36&gt;35,N12+M13-V12,IF(A13&lt;'Données projet'!$A$36,$K$205^A13,IF(A13='Données projet'!$A$36,'Données projet'!$B$36,N12+M13-V12)))</f>
        <v>7.6209536257186246</v>
      </c>
      <c r="O13" s="14">
        <f>N13*VLOOKUP('Données projet'!$B$9,Paramètres!$A$1:$I$89,3,0)*VLOOKUP('Données projet'!$B$9,Paramètres!$A$1:$I$89,5,0)</f>
        <v>4.4582578710453955</v>
      </c>
      <c r="P13" s="14">
        <f t="shared" si="33"/>
        <v>1.7264516582285898</v>
      </c>
      <c r="Q13" s="22">
        <f t="shared" si="2"/>
        <v>10.771702430152191</v>
      </c>
      <c r="R13" s="62">
        <f t="shared" si="0"/>
        <v>162.69624642519821</v>
      </c>
      <c r="S13" s="62">
        <f ca="1">AVERAGE(OFFSET($R$3,0,0,'Données projet'!$E$9+1,1))-AVERAGE(OFFSET($H$3,0,0,'Données projet'!$E$9+1,1))</f>
        <v>221.18884567967481</v>
      </c>
      <c r="T13" s="62">
        <f t="shared" si="34"/>
        <v>189.31596996710888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15.341666666666667</v>
      </c>
      <c r="AG13" s="13">
        <f>VLOOKUP(A13,'Données projet'!$A$61:$I$81,9,0)</f>
        <v>1.5341666666666667</v>
      </c>
      <c r="AH13" s="13">
        <f t="array" ref="AH13">INDEX(AG:AG,MIN(IF(ISNUMBER(AG13:AG209),ROW(AG13:AG209),"")))</f>
        <v>1.5341666666666667</v>
      </c>
      <c r="AI13" s="14">
        <f>IF('Données projet'!$A$62&gt;35,AI12+AH13-AQ12,IF(A13&lt;'Données projet'!$A$62,$AF$205^A13,IF(A13='Données projet'!$A$62,'Données projet'!$B$62,AI12+AH13-AQ12)))</f>
        <v>15.341666666666667</v>
      </c>
      <c r="AJ13" s="14">
        <f>AI13*VLOOKUP('Données projet'!$B$10,Paramètres!$A$1:$I$89,3,0)*VLOOKUP('Données projet'!$B$10,Paramètres!$A$1:$I$89,5,0)</f>
        <v>17.6736</v>
      </c>
      <c r="AK13" s="14">
        <f t="shared" si="35"/>
        <v>5.8302671336764922</v>
      </c>
      <c r="AL13" s="22">
        <f t="shared" si="4"/>
        <v>40.935901924486565</v>
      </c>
      <c r="AM13" s="62">
        <f t="shared" si="5"/>
        <v>192.86044591953257</v>
      </c>
      <c r="AN13" s="62">
        <f ca="1">AVERAGE(OFFSET($AM$3,0,0,'Données projet'!$E$10+1,1))-AVERAGE(OFFSET($H$3,0,0,'Données projet'!$E$10+1,1))</f>
        <v>314.72063458462026</v>
      </c>
      <c r="AO13" s="62">
        <f t="shared" si="36"/>
        <v>216.4380325968244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1.8269230769230771</v>
      </c>
      <c r="BD13" s="13">
        <f>IF('Données projet'!$A$88&gt;35,BD12+BC13-BL12,IF(A13&lt;'Données projet'!$A$88,$BA$205^A13,IF(A13='Données projet'!$A$88,'Données projet'!$B$88,BD12+BC13-BL12)))</f>
        <v>6.0447052482698957</v>
      </c>
      <c r="BE13" s="14">
        <f>BD13*VLOOKUP('Données projet'!$B$11,Paramètres!$A$1:$I$89,3,0)*VLOOKUP('Données projet'!$B$11,Paramètres!$A$1:$I$89,5,0)</f>
        <v>6.5065207292377156</v>
      </c>
      <c r="BF13" s="14">
        <f t="shared" si="37"/>
        <v>2.4111658291873113</v>
      </c>
      <c r="BG13" s="22">
        <f t="shared" si="7"/>
        <v>15.531637422590252</v>
      </c>
      <c r="BH13" s="62">
        <f t="shared" si="8"/>
        <v>167.45618141763626</v>
      </c>
      <c r="BI13" s="62">
        <f ca="1">AVERAGE(OFFSET($BH$3,0,0,'Données projet'!$E$11+1,1))-AVERAGE(OFFSET($H$3,0,0,'Données projet'!$E$11+1,1))</f>
        <v>455.26558725507834</v>
      </c>
      <c r="BJ13" s="62">
        <f t="shared" si="38"/>
        <v>278.60310966788552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4.0533333333333328</v>
      </c>
      <c r="BY13" s="13">
        <f>IF('Données projet'!$A$114&gt;35,BY12+BX13-CG12,IF(A13&lt;'Données projet'!$A$114,$BV$205^A13,IF(A13='Données projet'!$A$114,'Données projet'!$B$114,BY12+BX13-CG12)))</f>
        <v>15.462120476504737</v>
      </c>
      <c r="BZ13" s="14">
        <f>BY13*VLOOKUP('Données projet'!$B$12,Paramètres!$A$1:$I$89,3,0)*VLOOKUP('Données projet'!$B$12,Paramètres!$A$1:$I$89,5,0)</f>
        <v>8.0403026477824628</v>
      </c>
      <c r="CA13" s="14">
        <f t="shared" si="39"/>
        <v>2.9070383053453721</v>
      </c>
      <c r="CB13" s="22">
        <f t="shared" si="10"/>
        <v>19.066618826697646</v>
      </c>
      <c r="CC13" s="62">
        <f t="shared" si="11"/>
        <v>170.99116282174364</v>
      </c>
      <c r="CD13" s="62">
        <f ca="1">AVERAGE(OFFSET($CC$3,0,0,'Données projet'!$E$12+1,1))-AVERAGE(OFFSET($H$3,0,0,'Données projet'!$E$12+1,1))</f>
        <v>300.72820267660154</v>
      </c>
      <c r="CE13" s="62">
        <f t="shared" si="40"/>
        <v>228.35388778608589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1.8269230769230771</v>
      </c>
      <c r="CT13" s="13">
        <f>IF('Données projet'!$A$140&gt;35,CT12+CS13-DB12,IF(A13&lt;'Données projet'!$A$140,$CQ$205^A13,IF(A13='Données projet'!$A$140,'Données projet'!$B$140,CT12+CS13-DB12)))</f>
        <v>6.0447052482698957</v>
      </c>
      <c r="CU13" s="18">
        <f>CT13*VLOOKUP('Données projet'!$B$13,Paramètres!$A$1:$I$89,3,0)*VLOOKUP('Données projet'!$B$13,Paramètres!$A$1:$I$89,5,0)</f>
        <v>5.1863571030155713</v>
      </c>
      <c r="CV13" s="14">
        <f t="shared" si="41"/>
        <v>1.9733517088367138</v>
      </c>
      <c r="CW13" s="22">
        <f t="shared" si="13"/>
        <v>12.469826180642729</v>
      </c>
      <c r="CX13" s="62">
        <f t="shared" si="14"/>
        <v>164.39437017568875</v>
      </c>
      <c r="CY13" s="62">
        <f ca="1">AVERAGE(OFFSET($CX$3,0,0,'Données projet'!$E$13+1,1))-AVERAGE(OFFSET($H$3,0,0,'Données projet'!$E$13+1,1))</f>
        <v>384.3367849108829</v>
      </c>
      <c r="CZ13" s="62">
        <f t="shared" si="42"/>
        <v>238.2697272367603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3.4425641025641025</v>
      </c>
      <c r="DO13" s="13">
        <f>IF('Données projet'!$A$166&gt;35,DO12+DN13-DW12,IF(A13&lt;'Données projet'!$A$166,$DL$205^A13,IF(A13='Données projet'!$A$166,'Données projet'!$B$166,DO12+DN13-DW12)))</f>
        <v>4.6917453277627805</v>
      </c>
      <c r="DP13" s="18">
        <f>DO13*VLOOKUP('Données projet'!$B$14,Paramètres!$A$1:$I$89,3,0)*VLOOKUP('Données projet'!$B$14,Paramètres!$A$1:$I$89,5,0)</f>
        <v>2.1957368133929811</v>
      </c>
      <c r="DQ13" s="14">
        <f t="shared" si="43"/>
        <v>0.9233628621568436</v>
      </c>
      <c r="DR13" s="22">
        <f t="shared" si="16"/>
        <v>5.432431934915944</v>
      </c>
      <c r="DS13" s="62">
        <f t="shared" si="17"/>
        <v>157.35697592996195</v>
      </c>
      <c r="DT13" s="62">
        <f ca="1">AVERAGE(OFFSET($DS$3,0,0,'Données projet'!$E$14+1,1))-AVERAGE(OFFSET($H$3,0,0,'Données projet'!$E$14+1,1))</f>
        <v>304.1100958939968</v>
      </c>
      <c r="DU13" s="62">
        <f t="shared" si="44"/>
        <v>184.1255966824568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1.8269230769230771</v>
      </c>
      <c r="EJ13" s="13">
        <f>IF('Données projet'!$A$192&gt;35,EJ12+EI13-ER12,IF(A13&lt;'Données projet'!$A$192,$EG$205^A13,IF(A13='Données projet'!$A$192,'Données projet'!$B$192,EJ12+EI13-ER12)))</f>
        <v>6.0447052482698957</v>
      </c>
      <c r="EK13" s="18">
        <f>EJ13*VLOOKUP('Données projet'!$B$15,Paramètres!$A$1:$I$89,3,0)*VLOOKUP('Données projet'!$B$15,Paramètres!$A$1:$I$89,5,0)</f>
        <v>6.1293311217456745</v>
      </c>
      <c r="EL13" s="14">
        <f t="shared" si="45"/>
        <v>2.2872322480945022</v>
      </c>
      <c r="EM13" s="22">
        <f t="shared" si="19"/>
        <v>14.658847869138306</v>
      </c>
      <c r="EN13" s="62">
        <f t="shared" si="20"/>
        <v>166.58339186418431</v>
      </c>
      <c r="EO13" s="62">
        <f ca="1">AVERAGE(OFFSET($EN$3,0,0,'Données projet'!$E$15+1,1))-AVERAGE(OFFSET($H$3,0,0,'Données projet'!$E$15+1,1))</f>
        <v>435.03433721979218</v>
      </c>
      <c r="EP13" s="62">
        <f t="shared" si="46"/>
        <v>267.10015759286387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1.8269230769230771</v>
      </c>
      <c r="FE13" s="13">
        <f>IF('Données projet'!$A$218&gt;35,FE12+FD13-FM12,IF(A13&lt;'Données projet'!$A$218,$FB$205^A13,IF(A13='Données projet'!$A$218,'Données projet'!$B$218,FE12+FD13-FM12)))</f>
        <v>6.0447052482698957</v>
      </c>
      <c r="FF13" s="18">
        <f>FE13*VLOOKUP('Données projet'!$B$16,Paramètres!$A$1:$I$89,3,0)*VLOOKUP('Données projet'!$B$16,Paramètres!$A$1:$I$89,5,0)</f>
        <v>6.3179259254916964</v>
      </c>
      <c r="FG13" s="14">
        <f t="shared" si="47"/>
        <v>2.3493067111950539</v>
      </c>
      <c r="FH13" s="22">
        <f t="shared" si="22"/>
        <v>15.095430175562756</v>
      </c>
      <c r="FI13" s="62">
        <f t="shared" si="23"/>
        <v>167.01997417060878</v>
      </c>
      <c r="FJ13" s="62">
        <f ca="1">AVERAGE(OFFSET($FI$3,0,0,'Données projet'!$E$16+1,1))-AVERAGE(OFFSET($H$3,0,0,'Données projet'!$E$16+1,1))</f>
        <v>445.15313998584293</v>
      </c>
      <c r="FK13" s="62">
        <f t="shared" si="48"/>
        <v>272.85357736694834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0.9</v>
      </c>
      <c r="FZ13" s="13">
        <f>IF('Données projet'!$A$244&gt;35,FZ12+FY13-GH12,IF(A13&lt;'Données projet'!$A$244,$FW$205^A13,IF(A13='Données projet'!$A$244,'Données projet'!$B$244,FZ12+FY13-GH12)))</f>
        <v>4.2426406871192865</v>
      </c>
      <c r="GA13" s="18">
        <f>FZ13*VLOOKUP('Données projet'!$B$17,Paramètres!$A$1:$I$89,3,0)*VLOOKUP('Données projet'!$B$17,Paramètres!$A$1:$I$89,5,0)</f>
        <v>3.7063709042674091</v>
      </c>
      <c r="GB13" s="14">
        <f t="shared" si="49"/>
        <v>1.4664771263922398</v>
      </c>
      <c r="GC13" s="22">
        <f t="shared" si="25"/>
        <v>9.0093769867322209</v>
      </c>
      <c r="GD13" s="62">
        <f t="shared" si="26"/>
        <v>160.93392098177821</v>
      </c>
      <c r="GE13" s="62">
        <f ca="1">AVERAGE(OFFSET($GD$3,0,0,'Données projet'!$E$17+1,1))-AVERAGE(OFFSET($H$3,0,0,'Données projet'!$E$17+1,1))</f>
        <v>248.82613595888964</v>
      </c>
      <c r="GF13" s="62">
        <f t="shared" si="50"/>
        <v>255.8298580882084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135.66666666666666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1.4025641025641027</v>
      </c>
      <c r="N14" s="14">
        <f>IF('Données projet'!$A$36&gt;35,N13+M14-V13,IF(A14&lt;'Données projet'!$A$36,$K$205^A14,IF(A14='Données projet'!$A$36,'Données projet'!$B$36,N13+M14-V13)))</f>
        <v>9.3370621758369623</v>
      </c>
      <c r="O14" s="14">
        <f>N14*VLOOKUP('Données projet'!$B$9,Paramètres!$A$1:$I$89,3,0)*VLOOKUP('Données projet'!$B$9,Paramètres!$A$1:$I$89,5,0)</f>
        <v>5.4621813728646238</v>
      </c>
      <c r="P14" s="14">
        <f t="shared" si="33"/>
        <v>2.0658023434163346</v>
      </c>
      <c r="Q14" s="22">
        <f t="shared" si="2"/>
        <v>13.111238305856004</v>
      </c>
      <c r="R14" s="62">
        <f t="shared" si="0"/>
        <v>168.28707441393169</v>
      </c>
      <c r="S14" s="62">
        <f ca="1">AVERAGE(OFFSET($R$3,0,0,'Données projet'!$E$9+1,1))-AVERAGE(OFFSET($H$3,0,0,'Données projet'!$E$9+1,1))</f>
        <v>221.18884567967481</v>
      </c>
      <c r="T14" s="62">
        <f t="shared" si="34"/>
        <v>189.31596996710888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1.9558333333333331</v>
      </c>
      <c r="AI14" s="14">
        <f>IF('Données projet'!$A$62&gt;35,AI13+AH14-AQ13,IF(A14&lt;'Données projet'!$A$62,$AF$205^A14,IF(A14='Données projet'!$A$62,'Données projet'!$B$62,AI13+AH14-AQ13)))</f>
        <v>17.297499999999999</v>
      </c>
      <c r="AJ14" s="14">
        <f>AI14*VLOOKUP('Données projet'!$B$10,Paramètres!$A$1:$I$89,3,0)*VLOOKUP('Données projet'!$B$10,Paramètres!$A$1:$I$89,5,0)</f>
        <v>19.92672</v>
      </c>
      <c r="AK14" s="14">
        <f t="shared" si="35"/>
        <v>6.4823660887173542</v>
      </c>
      <c r="AL14" s="22">
        <f t="shared" si="4"/>
        <v>45.995824937849385</v>
      </c>
      <c r="AM14" s="62">
        <f t="shared" si="5"/>
        <v>201.17166104592508</v>
      </c>
      <c r="AN14" s="62">
        <f ca="1">AVERAGE(OFFSET($AM$3,0,0,'Données projet'!$E$10+1,1))-AVERAGE(OFFSET($H$3,0,0,'Données projet'!$E$10+1,1))</f>
        <v>314.72063458462026</v>
      </c>
      <c r="AO14" s="62">
        <f t="shared" si="36"/>
        <v>216.4380325968244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1.8269230769230771</v>
      </c>
      <c r="BD14" s="13">
        <f>IF('Données projet'!$A$88&gt;35,BD13+BC14-BL13,IF(A14&lt;'Données projet'!$A$88,$BA$205^A14,IF(A14='Données projet'!$A$88,'Données projet'!$B$88,BD13+BC14-BL13)))</f>
        <v>7.2362346534071689</v>
      </c>
      <c r="BE14" s="14">
        <f>BD14*VLOOKUP('Données projet'!$B$11,Paramètres!$A$1:$I$89,3,0)*VLOOKUP('Données projet'!$B$11,Paramètres!$A$1:$I$89,5,0)</f>
        <v>7.7890829809274766</v>
      </c>
      <c r="BF14" s="14">
        <f t="shared" si="37"/>
        <v>2.8266327507697255</v>
      </c>
      <c r="BG14" s="22">
        <f t="shared" si="7"/>
        <v>18.489038232705958</v>
      </c>
      <c r="BH14" s="62">
        <f t="shared" si="8"/>
        <v>173.66487434078164</v>
      </c>
      <c r="BI14" s="62">
        <f ca="1">AVERAGE(OFFSET($BH$3,0,0,'Données projet'!$E$11+1,1))-AVERAGE(OFFSET($H$3,0,0,'Données projet'!$E$11+1,1))</f>
        <v>455.26558725507834</v>
      </c>
      <c r="BJ14" s="62">
        <f t="shared" si="38"/>
        <v>278.60310966788552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4.0533333333333328</v>
      </c>
      <c r="BY14" s="13">
        <f>IF('Données projet'!$A$114&gt;35,BY13+BX14-CG13,IF(A14&lt;'Données projet'!$A$114,$BV$205^A14,IF(A14='Données projet'!$A$114,'Données projet'!$B$114,BY13+BX14-CG13)))</f>
        <v>20.332742382210601</v>
      </c>
      <c r="BZ14" s="14">
        <f>BY14*VLOOKUP('Données projet'!$B$12,Paramètres!$A$1:$I$89,3,0)*VLOOKUP('Données projet'!$B$12,Paramètres!$A$1:$I$89,5,0)</f>
        <v>10.573026038749514</v>
      </c>
      <c r="CA14" s="14">
        <f t="shared" si="39"/>
        <v>3.7028367716332777</v>
      </c>
      <c r="CB14" s="22">
        <f t="shared" si="10"/>
        <v>24.86379439475003</v>
      </c>
      <c r="CC14" s="62">
        <f t="shared" si="11"/>
        <v>180.03963050282573</v>
      </c>
      <c r="CD14" s="62">
        <f ca="1">AVERAGE(OFFSET($CC$3,0,0,'Données projet'!$E$12+1,1))-AVERAGE(OFFSET($H$3,0,0,'Données projet'!$E$12+1,1))</f>
        <v>300.72820267660154</v>
      </c>
      <c r="CE14" s="62">
        <f t="shared" si="40"/>
        <v>228.35388778608589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1.8269230769230771</v>
      </c>
      <c r="CT14" s="13">
        <f>IF('Données projet'!$A$140&gt;35,CT13+CS14-DB13,IF(A14&lt;'Données projet'!$A$140,$CQ$205^A14,IF(A14='Données projet'!$A$140,'Données projet'!$B$140,CT13+CS14-DB13)))</f>
        <v>7.2362346534071689</v>
      </c>
      <c r="CU14" s="18">
        <f>CT14*VLOOKUP('Données projet'!$B$13,Paramètres!$A$1:$I$89,3,0)*VLOOKUP('Données projet'!$B$13,Paramètres!$A$1:$I$89,5,0)</f>
        <v>6.2086893326233517</v>
      </c>
      <c r="CV14" s="14">
        <f t="shared" si="41"/>
        <v>2.3133790722578857</v>
      </c>
      <c r="CW14" s="22">
        <f t="shared" si="13"/>
        <v>14.842602471834818</v>
      </c>
      <c r="CX14" s="62">
        <f t="shared" si="14"/>
        <v>170.01843857991051</v>
      </c>
      <c r="CY14" s="62">
        <f ca="1">AVERAGE(OFFSET($CX$3,0,0,'Données projet'!$E$13+1,1))-AVERAGE(OFFSET($H$3,0,0,'Données projet'!$E$13+1,1))</f>
        <v>384.3367849108829</v>
      </c>
      <c r="CZ14" s="62">
        <f t="shared" si="42"/>
        <v>238.2697272367603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3.4425641025641025</v>
      </c>
      <c r="DO14" s="13">
        <f>IF('Données projet'!$A$166&gt;35,DO13+DN14-DW13,IF(A14&lt;'Données projet'!$A$166,$DL$205^A14,IF(A14='Données projet'!$A$166,'Données projet'!$B$166,DO13+DN14-DW13)))</f>
        <v>5.4760559050775193</v>
      </c>
      <c r="DP14" s="18">
        <f>DO14*VLOOKUP('Données projet'!$B$14,Paramètres!$A$1:$I$89,3,0)*VLOOKUP('Données projet'!$B$14,Paramètres!$A$1:$I$89,5,0)</f>
        <v>2.562794163576279</v>
      </c>
      <c r="DQ14" s="14">
        <f t="shared" si="43"/>
        <v>1.0585015867936163</v>
      </c>
      <c r="DR14" s="22">
        <f t="shared" si="16"/>
        <v>6.3070900985608995</v>
      </c>
      <c r="DS14" s="62">
        <f t="shared" si="17"/>
        <v>161.48292620663659</v>
      </c>
      <c r="DT14" s="62">
        <f ca="1">AVERAGE(OFFSET($DS$3,0,0,'Données projet'!$E$14+1,1))-AVERAGE(OFFSET($H$3,0,0,'Données projet'!$E$14+1,1))</f>
        <v>304.1100958939968</v>
      </c>
      <c r="DU14" s="62">
        <f t="shared" si="44"/>
        <v>184.1255966824568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1.8269230769230771</v>
      </c>
      <c r="EJ14" s="13">
        <f>IF('Données projet'!$A$192&gt;35,EJ13+EI14-ER13,IF(A14&lt;'Données projet'!$A$192,$EG$205^A14,IF(A14='Données projet'!$A$192,'Données projet'!$B$192,EJ13+EI14-ER13)))</f>
        <v>7.2362346534071689</v>
      </c>
      <c r="EK14" s="18">
        <f>EJ14*VLOOKUP('Données projet'!$B$15,Paramètres!$A$1:$I$89,3,0)*VLOOKUP('Données projet'!$B$15,Paramètres!$A$1:$I$89,5,0)</f>
        <v>7.3375419385548701</v>
      </c>
      <c r="EL14" s="14">
        <f t="shared" si="45"/>
        <v>2.6813442289283289</v>
      </c>
      <c r="EM14" s="22">
        <f t="shared" si="19"/>
        <v>17.449560075033236</v>
      </c>
      <c r="EN14" s="62">
        <f t="shared" si="20"/>
        <v>172.62539618310893</v>
      </c>
      <c r="EO14" s="62">
        <f ca="1">AVERAGE(OFFSET($EN$3,0,0,'Données projet'!$E$15+1,1))-AVERAGE(OFFSET($H$3,0,0,'Données projet'!$E$15+1,1))</f>
        <v>435.03433721979218</v>
      </c>
      <c r="EP14" s="62">
        <f t="shared" si="46"/>
        <v>267.10015759286387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1.8269230769230771</v>
      </c>
      <c r="FE14" s="13">
        <f>IF('Données projet'!$A$218&gt;35,FE13+FD14-FM13,IF(A14&lt;'Données projet'!$A$218,$FB$205^A14,IF(A14='Données projet'!$A$218,'Données projet'!$B$218,FE13+FD14-FM13)))</f>
        <v>7.2362346534071689</v>
      </c>
      <c r="FF14" s="18">
        <f>FE14*VLOOKUP('Données projet'!$B$16,Paramètres!$A$1:$I$89,3,0)*VLOOKUP('Données projet'!$B$16,Paramètres!$A$1:$I$89,5,0)</f>
        <v>7.5633124597411738</v>
      </c>
      <c r="FG14" s="14">
        <f t="shared" si="47"/>
        <v>2.7541147154135355</v>
      </c>
      <c r="FH14" s="22">
        <f t="shared" si="22"/>
        <v>17.969518996727786</v>
      </c>
      <c r="FI14" s="62">
        <f t="shared" si="23"/>
        <v>173.14535510480346</v>
      </c>
      <c r="FJ14" s="62">
        <f ca="1">AVERAGE(OFFSET($FI$3,0,0,'Données projet'!$E$16+1,1))-AVERAGE(OFFSET($H$3,0,0,'Données projet'!$E$16+1,1))</f>
        <v>445.15313998584293</v>
      </c>
      <c r="FK14" s="62">
        <f t="shared" si="48"/>
        <v>272.85357736694834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0.9</v>
      </c>
      <c r="FZ14" s="13">
        <f>IF('Données projet'!$A$244&gt;35,FZ13+FY14-GH13,IF(A14&lt;'Données projet'!$A$244,$FW$205^A14,IF(A14='Données projet'!$A$244,'Données projet'!$B$244,FZ13+FY14-GH13)))</f>
        <v>4.9022999220494095</v>
      </c>
      <c r="GA14" s="18">
        <f>FZ14*VLOOKUP('Données projet'!$B$17,Paramètres!$A$1:$I$89,3,0)*VLOOKUP('Données projet'!$B$17,Paramètres!$A$1:$I$89,5,0)</f>
        <v>4.2826492119023651</v>
      </c>
      <c r="GB14" s="14">
        <f t="shared" si="49"/>
        <v>1.6662234129484463</v>
      </c>
      <c r="GC14" s="22">
        <f t="shared" si="25"/>
        <v>10.360953154948495</v>
      </c>
      <c r="GD14" s="62">
        <f t="shared" si="26"/>
        <v>165.53678926302419</v>
      </c>
      <c r="GE14" s="62">
        <f ca="1">AVERAGE(OFFSET($GD$3,0,0,'Données projet'!$E$17+1,1))-AVERAGE(OFFSET($H$3,0,0,'Données projet'!$E$17+1,1))</f>
        <v>248.82613595888964</v>
      </c>
      <c r="GF14" s="62">
        <f t="shared" si="50"/>
        <v>255.8298580882084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135.66666666666666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1.4025641025641027</v>
      </c>
      <c r="N15" s="14">
        <f>IF('Données projet'!$A$36&gt;35,N14+M15-V14,IF(A15&lt;'Données projet'!$A$36,$K$205^A15,IF(A15='Données projet'!$A$36,'Données projet'!$B$36,N14+M15-V14)))</f>
        <v>11.43960905118675</v>
      </c>
      <c r="O15" s="14">
        <f>N15*VLOOKUP('Données projet'!$B$9,Paramètres!$A$1:$I$89,3,0)*VLOOKUP('Données projet'!$B$9,Paramètres!$A$1:$I$89,5,0)</f>
        <v>6.6921712949442487</v>
      </c>
      <c r="P15" s="14">
        <f t="shared" si="33"/>
        <v>2.4718556709795672</v>
      </c>
      <c r="Q15" s="22">
        <f t="shared" si="2"/>
        <v>15.960680298983979</v>
      </c>
      <c r="R15" s="62">
        <f t="shared" si="0"/>
        <v>174.3526086938046</v>
      </c>
      <c r="S15" s="62">
        <f ca="1">AVERAGE(OFFSET($R$3,0,0,'Données projet'!$E$9+1,1))-AVERAGE(OFFSET($H$3,0,0,'Données projet'!$E$9+1,1))</f>
        <v>221.18884567967481</v>
      </c>
      <c r="T15" s="62">
        <f t="shared" si="34"/>
        <v>189.31596996710888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1.9558333333333331</v>
      </c>
      <c r="AI15" s="14">
        <f>IF('Données projet'!$A$62&gt;35,AI14+AH15-AQ14,IF(A15&lt;'Données projet'!$A$62,$AF$205^A15,IF(A15='Données projet'!$A$62,'Données projet'!$B$62,AI14+AH15-AQ14)))</f>
        <v>19.253333333333334</v>
      </c>
      <c r="AJ15" s="14">
        <f>AI15*VLOOKUP('Données projet'!$B$10,Paramètres!$A$1:$I$89,3,0)*VLOOKUP('Données projet'!$B$10,Paramètres!$A$1:$I$89,5,0)</f>
        <v>22.179839999999999</v>
      </c>
      <c r="AK15" s="14">
        <f t="shared" si="35"/>
        <v>7.1259195506874313</v>
      </c>
      <c r="AL15" s="22">
        <f t="shared" si="4"/>
        <v>51.040864550780604</v>
      </c>
      <c r="AM15" s="62">
        <f t="shared" si="5"/>
        <v>209.43279294560122</v>
      </c>
      <c r="AN15" s="62">
        <f ca="1">AVERAGE(OFFSET($AM$3,0,0,'Données projet'!$E$10+1,1))-AVERAGE(OFFSET($H$3,0,0,'Données projet'!$E$10+1,1))</f>
        <v>314.72063458462026</v>
      </c>
      <c r="AO15" s="62">
        <f t="shared" si="36"/>
        <v>216.4380325968244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1.8269230769230771</v>
      </c>
      <c r="BD15" s="13">
        <f>IF('Données projet'!$A$88&gt;35,BD14+BC15-BL14,IF(A15&lt;'Données projet'!$A$88,$BA$205^A15,IF(A15='Données projet'!$A$88,'Données projet'!$B$88,BD14+BC15-BL14)))</f>
        <v>8.662637764539145</v>
      </c>
      <c r="BE15" s="14">
        <f>BD15*VLOOKUP('Données projet'!$B$11,Paramètres!$A$1:$I$89,3,0)*VLOOKUP('Données projet'!$B$11,Paramètres!$A$1:$I$89,5,0)</f>
        <v>9.3244632897499358</v>
      </c>
      <c r="BF15" s="14">
        <f t="shared" si="37"/>
        <v>3.3136885945406007</v>
      </c>
      <c r="BG15" s="22">
        <f t="shared" si="7"/>
        <v>22.011447865139349</v>
      </c>
      <c r="BH15" s="62">
        <f t="shared" si="8"/>
        <v>180.40337625995997</v>
      </c>
      <c r="BI15" s="62">
        <f ca="1">AVERAGE(OFFSET($BH$3,0,0,'Données projet'!$E$11+1,1))-AVERAGE(OFFSET($H$3,0,0,'Données projet'!$E$11+1,1))</f>
        <v>455.26558725507834</v>
      </c>
      <c r="BJ15" s="62">
        <f t="shared" si="38"/>
        <v>278.60310966788552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4.0533333333333328</v>
      </c>
      <c r="BY15" s="13">
        <f>IF('Données projet'!$A$114&gt;35,BY14+BX15-CG14,IF(A15&lt;'Données projet'!$A$114,$BV$205^A15,IF(A15='Données projet'!$A$114,'Données projet'!$B$114,BY14+BX15-CG14)))</f>
        <v>26.737627184418258</v>
      </c>
      <c r="BZ15" s="14">
        <f>BY15*VLOOKUP('Données projet'!$B$12,Paramètres!$A$1:$I$89,3,0)*VLOOKUP('Données projet'!$B$12,Paramètres!$A$1:$I$89,5,0)</f>
        <v>13.903566135897496</v>
      </c>
      <c r="CA15" s="14">
        <f t="shared" si="39"/>
        <v>4.7164841729633187</v>
      </c>
      <c r="CB15" s="22">
        <f t="shared" si="10"/>
        <v>32.429920954599254</v>
      </c>
      <c r="CC15" s="62">
        <f t="shared" si="11"/>
        <v>190.82184934941986</v>
      </c>
      <c r="CD15" s="62">
        <f ca="1">AVERAGE(OFFSET($CC$3,0,0,'Données projet'!$E$12+1,1))-AVERAGE(OFFSET($H$3,0,0,'Données projet'!$E$12+1,1))</f>
        <v>300.72820267660154</v>
      </c>
      <c r="CE15" s="62">
        <f t="shared" si="40"/>
        <v>228.35388778608589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1.8269230769230771</v>
      </c>
      <c r="CT15" s="13">
        <f>IF('Données projet'!$A$140&gt;35,CT14+CS15-DB14,IF(A15&lt;'Données projet'!$A$140,$CQ$205^A15,IF(A15='Données projet'!$A$140,'Données projet'!$B$140,CT14+CS15-DB14)))</f>
        <v>8.662637764539145</v>
      </c>
      <c r="CU15" s="18">
        <f>CT15*VLOOKUP('Données projet'!$B$13,Paramètres!$A$1:$I$89,3,0)*VLOOKUP('Données projet'!$B$13,Paramètres!$A$1:$I$89,5,0)</f>
        <v>7.4325432019745863</v>
      </c>
      <c r="CV15" s="14">
        <f t="shared" si="41"/>
        <v>2.7119964008420898</v>
      </c>
      <c r="CW15" s="22">
        <f t="shared" si="13"/>
        <v>17.668406474905712</v>
      </c>
      <c r="CX15" s="62">
        <f t="shared" si="14"/>
        <v>176.06033486972632</v>
      </c>
      <c r="CY15" s="62">
        <f ca="1">AVERAGE(OFFSET($CX$3,0,0,'Données projet'!$E$13+1,1))-AVERAGE(OFFSET($H$3,0,0,'Données projet'!$E$13+1,1))</f>
        <v>384.3367849108829</v>
      </c>
      <c r="CZ15" s="62">
        <f t="shared" si="42"/>
        <v>238.2697272367603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3.4425641025641025</v>
      </c>
      <c r="DO15" s="13">
        <f>IF('Données projet'!$A$166&gt;35,DO14+DN15-DW14,IF(A15&lt;'Données projet'!$A$166,$DL$205^A15,IF(A15='Données projet'!$A$166,'Données projet'!$B$166,DO14+DN15-DW14)))</f>
        <v>6.3914782624899003</v>
      </c>
      <c r="DP15" s="18">
        <f>DO15*VLOOKUP('Données projet'!$B$14,Paramètres!$A$1:$I$89,3,0)*VLOOKUP('Données projet'!$B$14,Paramètres!$A$1:$I$89,5,0)</f>
        <v>2.9912118268452734</v>
      </c>
      <c r="DQ15" s="14">
        <f t="shared" si="43"/>
        <v>1.2134185325879896</v>
      </c>
      <c r="DR15" s="22">
        <f t="shared" si="16"/>
        <v>7.3230645426796004</v>
      </c>
      <c r="DS15" s="62">
        <f t="shared" si="17"/>
        <v>165.7149929375002</v>
      </c>
      <c r="DT15" s="62">
        <f ca="1">AVERAGE(OFFSET($DS$3,0,0,'Données projet'!$E$14+1,1))-AVERAGE(OFFSET($H$3,0,0,'Données projet'!$E$14+1,1))</f>
        <v>304.1100958939968</v>
      </c>
      <c r="DU15" s="62">
        <f t="shared" si="44"/>
        <v>184.1255966824568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1.8269230769230771</v>
      </c>
      <c r="EJ15" s="13">
        <f>IF('Données projet'!$A$192&gt;35,EJ14+EI15-ER14,IF(A15&lt;'Données projet'!$A$192,$EG$205^A15,IF(A15='Données projet'!$A$192,'Données projet'!$B$192,EJ14+EI15-ER14)))</f>
        <v>8.662637764539145</v>
      </c>
      <c r="EK15" s="18">
        <f>EJ15*VLOOKUP('Données projet'!$B$15,Paramètres!$A$1:$I$89,3,0)*VLOOKUP('Données projet'!$B$15,Paramètres!$A$1:$I$89,5,0)</f>
        <v>8.7839146932426928</v>
      </c>
      <c r="EL15" s="14">
        <f t="shared" si="45"/>
        <v>3.143365471519969</v>
      </c>
      <c r="EM15" s="22">
        <f t="shared" si="19"/>
        <v>20.773346286961637</v>
      </c>
      <c r="EN15" s="62">
        <f t="shared" si="20"/>
        <v>179.16527468178225</v>
      </c>
      <c r="EO15" s="62">
        <f ca="1">AVERAGE(OFFSET($EN$3,0,0,'Données projet'!$E$15+1,1))-AVERAGE(OFFSET($H$3,0,0,'Données projet'!$E$15+1,1))</f>
        <v>435.03433721979218</v>
      </c>
      <c r="EP15" s="62">
        <f t="shared" si="46"/>
        <v>267.10015759286387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1.8269230769230771</v>
      </c>
      <c r="FE15" s="13">
        <f>IF('Données projet'!$A$218&gt;35,FE14+FD15-FM14,IF(A15&lt;'Données projet'!$A$218,$FB$205^A15,IF(A15='Données projet'!$A$218,'Données projet'!$B$218,FE14+FD15-FM14)))</f>
        <v>8.662637764539145</v>
      </c>
      <c r="FF15" s="18">
        <f>FE15*VLOOKUP('Données projet'!$B$16,Paramètres!$A$1:$I$89,3,0)*VLOOKUP('Données projet'!$B$16,Paramètres!$A$1:$I$89,5,0)</f>
        <v>9.0541889914963161</v>
      </c>
      <c r="FG15" s="14">
        <f t="shared" si="47"/>
        <v>3.228675008466193</v>
      </c>
      <c r="FH15" s="22">
        <f t="shared" si="22"/>
        <v>21.3926547999347</v>
      </c>
      <c r="FI15" s="62">
        <f t="shared" si="23"/>
        <v>179.7845831947553</v>
      </c>
      <c r="FJ15" s="62">
        <f ca="1">AVERAGE(OFFSET($FI$3,0,0,'Données projet'!$E$16+1,1))-AVERAGE(OFFSET($H$3,0,0,'Données projet'!$E$16+1,1))</f>
        <v>445.15313998584293</v>
      </c>
      <c r="FK15" s="62">
        <f t="shared" si="48"/>
        <v>272.85357736694834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0.9</v>
      </c>
      <c r="FZ15" s="13">
        <f>IF('Données projet'!$A$244&gt;35,FZ14+FY15-GH14,IF(A15&lt;'Données projet'!$A$244,$FW$205^A15,IF(A15='Données projet'!$A$244,'Données projet'!$B$244,FZ14+FY15-GH14)))</f>
        <v>5.6645250677694134</v>
      </c>
      <c r="GA15" s="18">
        <f>FZ15*VLOOKUP('Données projet'!$B$17,Paramètres!$A$1:$I$89,3,0)*VLOOKUP('Données projet'!$B$17,Paramètres!$A$1:$I$89,5,0)</f>
        <v>4.9485290992033608</v>
      </c>
      <c r="GB15" s="14">
        <f t="shared" si="49"/>
        <v>1.8931767921179217</v>
      </c>
      <c r="GC15" s="22">
        <f t="shared" si="25"/>
        <v>11.915971094051232</v>
      </c>
      <c r="GD15" s="62">
        <f t="shared" si="26"/>
        <v>170.30789948887184</v>
      </c>
      <c r="GE15" s="62">
        <f ca="1">AVERAGE(OFFSET($GD$3,0,0,'Données projet'!$E$17+1,1))-AVERAGE(OFFSET($H$3,0,0,'Données projet'!$E$17+1,1))</f>
        <v>248.82613595888964</v>
      </c>
      <c r="GF15" s="62">
        <f t="shared" si="50"/>
        <v>255.8298580882084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135.66666666666666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1.4025641025641027</v>
      </c>
      <c r="N16" s="14">
        <f>IF('Données projet'!$A$36&gt;35,N15+M16-V15,IF(A16&lt;'Données projet'!$A$36,$K$205^A16,IF(A16='Données projet'!$A$36,'Données projet'!$B$36,N15+M16-V15)))</f>
        <v>14.015613560189589</v>
      </c>
      <c r="O16" s="14">
        <f>N16*VLOOKUP('Données projet'!$B$9,Paramètres!$A$1:$I$89,3,0)*VLOOKUP('Données projet'!$B$9,Paramètres!$A$1:$I$89,5,0)</f>
        <v>8.1991339327109092</v>
      </c>
      <c r="P16" s="14">
        <f t="shared" si="33"/>
        <v>2.9577226870840314</v>
      </c>
      <c r="Q16" s="22">
        <f t="shared" si="2"/>
        <v>19.431525279476187</v>
      </c>
      <c r="R16" s="62">
        <f t="shared" si="0"/>
        <v>181.00495677304787</v>
      </c>
      <c r="S16" s="62">
        <f ca="1">AVERAGE(OFFSET($R$3,0,0,'Données projet'!$E$9+1,1))-AVERAGE(OFFSET($H$3,0,0,'Données projet'!$E$9+1,1))</f>
        <v>221.18884567967481</v>
      </c>
      <c r="T16" s="62">
        <f t="shared" si="34"/>
        <v>189.31596996710888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1.9558333333333331</v>
      </c>
      <c r="AI16" s="14">
        <f>IF('Données projet'!$A$62&gt;35,AI15+AH16-AQ15,IF(A16&lt;'Données projet'!$A$62,$AF$205^A16,IF(A16='Données projet'!$A$62,'Données projet'!$B$62,AI15+AH16-AQ15)))</f>
        <v>21.209166666666668</v>
      </c>
      <c r="AJ16" s="14">
        <f>AI16*VLOOKUP('Données projet'!$B$10,Paramètres!$A$1:$I$89,3,0)*VLOOKUP('Données projet'!$B$10,Paramètres!$A$1:$I$89,5,0)</f>
        <v>24.432960000000001</v>
      </c>
      <c r="AK16" s="14">
        <f t="shared" si="35"/>
        <v>7.7618944497956903</v>
      </c>
      <c r="AL16" s="22">
        <f t="shared" si="4"/>
        <v>56.072704833394162</v>
      </c>
      <c r="AM16" s="62">
        <f t="shared" si="5"/>
        <v>217.64613632696586</v>
      </c>
      <c r="AN16" s="62">
        <f ca="1">AVERAGE(OFFSET($AM$3,0,0,'Données projet'!$E$10+1,1))-AVERAGE(OFFSET($H$3,0,0,'Données projet'!$E$10+1,1))</f>
        <v>314.72063458462026</v>
      </c>
      <c r="AO16" s="62">
        <f t="shared" si="36"/>
        <v>216.4380325968244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1.8269230769230771</v>
      </c>
      <c r="BD16" s="13">
        <f>IF('Données projet'!$A$88&gt;35,BD15+BC16-BL15,IF(A16&lt;'Données projet'!$A$88,$BA$205^A16,IF(A16='Données projet'!$A$88,'Données projet'!$B$88,BD15+BC16-BL15)))</f>
        <v>10.37021277416518</v>
      </c>
      <c r="BE16" s="14">
        <f>BD16*VLOOKUP('Données projet'!$B$11,Paramètres!$A$1:$I$89,3,0)*VLOOKUP('Données projet'!$B$11,Paramètres!$A$1:$I$89,5,0)</f>
        <v>11.1624970301114</v>
      </c>
      <c r="BF16" s="14">
        <f t="shared" si="37"/>
        <v>3.8846688161376246</v>
      </c>
      <c r="BG16" s="22">
        <f t="shared" si="7"/>
        <v>26.207147182217046</v>
      </c>
      <c r="BH16" s="62">
        <f t="shared" si="8"/>
        <v>187.78057867578875</v>
      </c>
      <c r="BI16" s="62">
        <f ca="1">AVERAGE(OFFSET($BH$3,0,0,'Données projet'!$E$11+1,1))-AVERAGE(OFFSET($H$3,0,0,'Données projet'!$E$11+1,1))</f>
        <v>455.26558725507834</v>
      </c>
      <c r="BJ16" s="62">
        <f t="shared" si="38"/>
        <v>278.60310966788552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4.0533333333333328</v>
      </c>
      <c r="BY16" s="13">
        <f>IF('Données projet'!$A$114&gt;35,BY15+BX16-CG15,IF(A16&lt;'Données projet'!$A$114,$BV$205^A16,IF(A16='Données projet'!$A$114,'Données projet'!$B$114,BY15+BX16-CG15)))</f>
        <v>35.160073049389482</v>
      </c>
      <c r="BZ16" s="14">
        <f>BY16*VLOOKUP('Données projet'!$B$12,Paramètres!$A$1:$I$89,3,0)*VLOOKUP('Données projet'!$B$12,Paramètres!$A$1:$I$89,5,0)</f>
        <v>18.283237985682533</v>
      </c>
      <c r="CA16" s="14">
        <f t="shared" si="39"/>
        <v>6.0076164102695166</v>
      </c>
      <c r="CB16" s="22">
        <f t="shared" si="10"/>
        <v>42.306571406283155</v>
      </c>
      <c r="CC16" s="62">
        <f t="shared" si="11"/>
        <v>203.88000289985484</v>
      </c>
      <c r="CD16" s="62">
        <f ca="1">AVERAGE(OFFSET($CC$3,0,0,'Données projet'!$E$12+1,1))-AVERAGE(OFFSET($H$3,0,0,'Données projet'!$E$12+1,1))</f>
        <v>300.72820267660154</v>
      </c>
      <c r="CE16" s="62">
        <f t="shared" si="40"/>
        <v>228.35388778608589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1.8269230769230771</v>
      </c>
      <c r="CT16" s="13">
        <f>IF('Données projet'!$A$140&gt;35,CT15+CS16-DB15,IF(A16&lt;'Données projet'!$A$140,$CQ$205^A16,IF(A16='Données projet'!$A$140,'Données projet'!$B$140,CT15+CS16-DB15)))</f>
        <v>10.37021277416518</v>
      </c>
      <c r="CU16" s="18">
        <f>CT16*VLOOKUP('Données projet'!$B$13,Paramètres!$A$1:$I$89,3,0)*VLOOKUP('Données projet'!$B$13,Paramètres!$A$1:$I$89,5,0)</f>
        <v>8.8976425602337255</v>
      </c>
      <c r="CV16" s="14">
        <f t="shared" si="41"/>
        <v>3.1792993056697618</v>
      </c>
      <c r="CW16" s="22">
        <f t="shared" si="13"/>
        <v>21.034007083115242</v>
      </c>
      <c r="CX16" s="62">
        <f t="shared" si="14"/>
        <v>182.60743857668695</v>
      </c>
      <c r="CY16" s="62">
        <f ca="1">AVERAGE(OFFSET($CX$3,0,0,'Données projet'!$E$13+1,1))-AVERAGE(OFFSET($H$3,0,0,'Données projet'!$E$13+1,1))</f>
        <v>384.3367849108829</v>
      </c>
      <c r="CZ16" s="62">
        <f t="shared" si="42"/>
        <v>238.2697272367603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3.4425641025641025</v>
      </c>
      <c r="DO16" s="13">
        <f>IF('Données projet'!$A$166&gt;35,DO15+DN16-DW15,IF(A16&lt;'Données projet'!$A$166,$DL$205^A16,IF(A16='Données projet'!$A$166,'Données projet'!$B$166,DO15+DN16-DW15)))</f>
        <v>7.459930119048451</v>
      </c>
      <c r="DP16" s="18">
        <f>DO16*VLOOKUP('Données projet'!$B$14,Paramètres!$A$1:$I$89,3,0)*VLOOKUP('Données projet'!$B$14,Paramètres!$A$1:$I$89,5,0)</f>
        <v>3.4912472957146754</v>
      </c>
      <c r="DQ16" s="14">
        <f t="shared" si="43"/>
        <v>1.3910083400895945</v>
      </c>
      <c r="DR16" s="22">
        <f t="shared" si="16"/>
        <v>8.5032618990257713</v>
      </c>
      <c r="DS16" s="62">
        <f t="shared" si="17"/>
        <v>170.07669339259746</v>
      </c>
      <c r="DT16" s="62">
        <f ca="1">AVERAGE(OFFSET($DS$3,0,0,'Données projet'!$E$14+1,1))-AVERAGE(OFFSET($H$3,0,0,'Données projet'!$E$14+1,1))</f>
        <v>304.1100958939968</v>
      </c>
      <c r="DU16" s="62">
        <f t="shared" si="44"/>
        <v>184.1255966824568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1.8269230769230771</v>
      </c>
      <c r="EJ16" s="13">
        <f>IF('Données projet'!$A$192&gt;35,EJ15+EI16-ER15,IF(A16&lt;'Données projet'!$A$192,$EG$205^A16,IF(A16='Données projet'!$A$192,'Données projet'!$B$192,EJ15+EI16-ER15)))</f>
        <v>10.37021277416518</v>
      </c>
      <c r="EK16" s="18">
        <f>EJ16*VLOOKUP('Données projet'!$B$15,Paramètres!$A$1:$I$89,3,0)*VLOOKUP('Données projet'!$B$15,Paramètres!$A$1:$I$89,5,0)</f>
        <v>10.515395753003494</v>
      </c>
      <c r="EL16" s="14">
        <f t="shared" si="45"/>
        <v>3.6849973908396927</v>
      </c>
      <c r="EM16" s="22">
        <f t="shared" si="19"/>
        <v>24.73235139219355</v>
      </c>
      <c r="EN16" s="62">
        <f t="shared" si="20"/>
        <v>186.30578288576524</v>
      </c>
      <c r="EO16" s="62">
        <f ca="1">AVERAGE(OFFSET($EN$3,0,0,'Données projet'!$E$15+1,1))-AVERAGE(OFFSET($H$3,0,0,'Données projet'!$E$15+1,1))</f>
        <v>435.03433721979218</v>
      </c>
      <c r="EP16" s="62">
        <f t="shared" si="46"/>
        <v>267.10015759286387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1.8269230769230771</v>
      </c>
      <c r="FE16" s="13">
        <f>IF('Données projet'!$A$218&gt;35,FE15+FD16-FM15,IF(A16&lt;'Données projet'!$A$218,$FB$205^A16,IF(A16='Données projet'!$A$218,'Données projet'!$B$218,FE15+FD16-FM15)))</f>
        <v>10.37021277416518</v>
      </c>
      <c r="FF16" s="18">
        <f>FE16*VLOOKUP('Données projet'!$B$16,Paramètres!$A$1:$I$89,3,0)*VLOOKUP('Données projet'!$B$16,Paramètres!$A$1:$I$89,5,0)</f>
        <v>10.838946391557448</v>
      </c>
      <c r="FG16" s="14">
        <f t="shared" si="47"/>
        <v>3.7850065765067242</v>
      </c>
      <c r="FH16" s="22">
        <f t="shared" si="22"/>
        <v>25.470051419378432</v>
      </c>
      <c r="FI16" s="62">
        <f t="shared" si="23"/>
        <v>187.04348291295011</v>
      </c>
      <c r="FJ16" s="62">
        <f ca="1">AVERAGE(OFFSET($FI$3,0,0,'Données projet'!$E$16+1,1))-AVERAGE(OFFSET($H$3,0,0,'Données projet'!$E$16+1,1))</f>
        <v>445.15313998584293</v>
      </c>
      <c r="FK16" s="62">
        <f t="shared" si="48"/>
        <v>272.85357736694834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0.9</v>
      </c>
      <c r="FZ16" s="13">
        <f>IF('Données projet'!$A$244&gt;35,FZ15+FY16-GH15,IF(A16&lt;'Données projet'!$A$244,$FW$205^A16,IF(A16='Données projet'!$A$244,'Données projet'!$B$244,FZ15+FY16-GH15)))</f>
        <v>6.5452633975063188</v>
      </c>
      <c r="GA16" s="18">
        <f>FZ16*VLOOKUP('Données projet'!$B$17,Paramètres!$A$1:$I$89,3,0)*VLOOKUP('Données projet'!$B$17,Paramètres!$A$1:$I$89,5,0)</f>
        <v>5.717942104061521</v>
      </c>
      <c r="GB16" s="14">
        <f t="shared" si="49"/>
        <v>2.1510430944381391</v>
      </c>
      <c r="GC16" s="22">
        <f t="shared" si="25"/>
        <v>13.705149220720239</v>
      </c>
      <c r="GD16" s="62">
        <f t="shared" si="26"/>
        <v>175.27858071429193</v>
      </c>
      <c r="GE16" s="62">
        <f ca="1">AVERAGE(OFFSET($GD$3,0,0,'Données projet'!$E$17+1,1))-AVERAGE(OFFSET($H$3,0,0,'Données projet'!$E$17+1,1))</f>
        <v>248.82613595888964</v>
      </c>
      <c r="GF16" s="62">
        <f t="shared" si="50"/>
        <v>255.8298580882084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135.66666666666666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1.4025641025641027</v>
      </c>
      <c r="N17" s="14">
        <f>IF('Données projet'!$A$36&gt;35,N16+M17-V16,IF(A17&lt;'Données projet'!$A$36,$K$205^A17,IF(A17='Données projet'!$A$36,'Données projet'!$B$36,N16+M17-V16)))</f>
        <v>17.171690272771318</v>
      </c>
      <c r="O17" s="14">
        <f>N17*VLOOKUP('Données projet'!$B$9,Paramètres!$A$1:$I$89,3,0)*VLOOKUP('Données projet'!$B$9,Paramètres!$A$1:$I$89,5,0)</f>
        <v>10.045438809571221</v>
      </c>
      <c r="P17" s="14">
        <f t="shared" si="33"/>
        <v>3.539091540172651</v>
      </c>
      <c r="Q17" s="22">
        <f t="shared" si="2"/>
        <v>23.659723692470578</v>
      </c>
      <c r="R17" s="62">
        <f t="shared" si="0"/>
        <v>188.38066914188138</v>
      </c>
      <c r="S17" s="62">
        <f ca="1">AVERAGE(OFFSET($R$3,0,0,'Données projet'!$E$9+1,1))-AVERAGE(OFFSET($H$3,0,0,'Données projet'!$E$9+1,1))</f>
        <v>221.18884567967481</v>
      </c>
      <c r="T17" s="62">
        <f t="shared" si="34"/>
        <v>189.31596996710888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1.9558333333333331</v>
      </c>
      <c r="AI17" s="14">
        <f>IF('Données projet'!$A$62&gt;35,AI16+AH17-AQ16,IF(A17&lt;'Données projet'!$A$62,$AF$205^A17,IF(A17='Données projet'!$A$62,'Données projet'!$B$62,AI16+AH17-AQ16)))</f>
        <v>23.165000000000003</v>
      </c>
      <c r="AJ17" s="14">
        <f>AI17*VLOOKUP('Données projet'!$B$10,Paramètres!$A$1:$I$89,3,0)*VLOOKUP('Données projet'!$B$10,Paramètres!$A$1:$I$89,5,0)</f>
        <v>26.68608</v>
      </c>
      <c r="AK17" s="14">
        <f t="shared" si="35"/>
        <v>8.3910691422038557</v>
      </c>
      <c r="AL17" s="22">
        <f t="shared" si="4"/>
        <v>61.092701422671723</v>
      </c>
      <c r="AM17" s="62">
        <f t="shared" si="5"/>
        <v>225.81364687208253</v>
      </c>
      <c r="AN17" s="62">
        <f ca="1">AVERAGE(OFFSET($AM$3,0,0,'Données projet'!$E$10+1,1))-AVERAGE(OFFSET($H$3,0,0,'Données projet'!$E$10+1,1))</f>
        <v>314.72063458462026</v>
      </c>
      <c r="AO17" s="62">
        <f t="shared" si="36"/>
        <v>216.4380325968244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1.8269230769230771</v>
      </c>
      <c r="BD17" s="13">
        <f>IF('Données projet'!$A$88&gt;35,BD16+BC17-BL16,IF(A17&lt;'Données projet'!$A$88,$BA$205^A17,IF(A17='Données projet'!$A$88,'Données projet'!$B$88,BD16+BC17-BL16)))</f>
        <v>12.414384152328676</v>
      </c>
      <c r="BE17" s="14">
        <f>BD17*VLOOKUP('Données projet'!$B$11,Paramètres!$A$1:$I$89,3,0)*VLOOKUP('Données projet'!$B$11,Paramètres!$A$1:$I$89,5,0)</f>
        <v>13.362843101566586</v>
      </c>
      <c r="BF17" s="14">
        <f t="shared" si="37"/>
        <v>4.5540343881239718</v>
      </c>
      <c r="BG17" s="22">
        <f t="shared" si="7"/>
        <v>31.20522829454438</v>
      </c>
      <c r="BH17" s="62">
        <f t="shared" si="8"/>
        <v>195.92617374395519</v>
      </c>
      <c r="BI17" s="62">
        <f ca="1">AVERAGE(OFFSET($BH$3,0,0,'Données projet'!$E$11+1,1))-AVERAGE(OFFSET($H$3,0,0,'Données projet'!$E$11+1,1))</f>
        <v>455.26558725507834</v>
      </c>
      <c r="BJ17" s="62">
        <f t="shared" si="38"/>
        <v>278.60310966788552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4.0533333333333328</v>
      </c>
      <c r="BY17" s="13">
        <f>IF('Données projet'!$A$114&gt;35,BY16+BX17-CG16,IF(A17&lt;'Données projet'!$A$114,$BV$205^A17,IF(A17='Données projet'!$A$114,'Données projet'!$B$114,BY16+BX17-CG16)))</f>
        <v>46.235618752244257</v>
      </c>
      <c r="BZ17" s="14">
        <f>BY17*VLOOKUP('Données projet'!$B$12,Paramètres!$A$1:$I$89,3,0)*VLOOKUP('Données projet'!$B$12,Paramètres!$A$1:$I$89,5,0)</f>
        <v>24.042521751167016</v>
      </c>
      <c r="CA17" s="14">
        <f t="shared" si="39"/>
        <v>7.6521946452888621</v>
      </c>
      <c r="CB17" s="22">
        <f t="shared" si="10"/>
        <v>55.201631057160647</v>
      </c>
      <c r="CC17" s="62">
        <f t="shared" si="11"/>
        <v>219.92257650657146</v>
      </c>
      <c r="CD17" s="62">
        <f ca="1">AVERAGE(OFFSET($CC$3,0,0,'Données projet'!$E$12+1,1))-AVERAGE(OFFSET($H$3,0,0,'Données projet'!$E$12+1,1))</f>
        <v>300.72820267660154</v>
      </c>
      <c r="CE17" s="62">
        <f t="shared" si="40"/>
        <v>228.35388778608589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1.8269230769230771</v>
      </c>
      <c r="CT17" s="13">
        <f>IF('Données projet'!$A$140&gt;35,CT16+CS17-DB16,IF(A17&lt;'Données projet'!$A$140,$CQ$205^A17,IF(A17='Données projet'!$A$140,'Données projet'!$B$140,CT16+CS17-DB16)))</f>
        <v>12.414384152328676</v>
      </c>
      <c r="CU17" s="18">
        <f>CT17*VLOOKUP('Données projet'!$B$13,Paramètres!$A$1:$I$89,3,0)*VLOOKUP('Données projet'!$B$13,Paramètres!$A$1:$I$89,5,0)</f>
        <v>10.651541602698005</v>
      </c>
      <c r="CV17" s="14">
        <f t="shared" si="41"/>
        <v>3.7271229681181186</v>
      </c>
      <c r="CW17" s="22">
        <f t="shared" si="13"/>
        <v>25.042840794171411</v>
      </c>
      <c r="CX17" s="62">
        <f t="shared" si="14"/>
        <v>189.76378624358222</v>
      </c>
      <c r="CY17" s="62">
        <f ca="1">AVERAGE(OFFSET($CX$3,0,0,'Données projet'!$E$13+1,1))-AVERAGE(OFFSET($H$3,0,0,'Données projet'!$E$13+1,1))</f>
        <v>384.3367849108829</v>
      </c>
      <c r="CZ17" s="62">
        <f t="shared" si="42"/>
        <v>238.2697272367603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3.4425641025641025</v>
      </c>
      <c r="DO17" s="13">
        <f>IF('Données projet'!$A$166&gt;35,DO16+DN17-DW16,IF(A17&lt;'Données projet'!$A$166,$DL$205^A17,IF(A17='Données projet'!$A$166,'Données projet'!$B$166,DO16+DN17-DW16)))</f>
        <v>8.7069931392376674</v>
      </c>
      <c r="DP17" s="18">
        <f>DO17*VLOOKUP('Données projet'!$B$14,Paramètres!$A$1:$I$89,3,0)*VLOOKUP('Données projet'!$B$14,Paramètres!$A$1:$I$89,5,0)</f>
        <v>4.0748727891632281</v>
      </c>
      <c r="DQ17" s="14">
        <f t="shared" si="43"/>
        <v>1.5945892948181934</v>
      </c>
      <c r="DR17" s="22">
        <f t="shared" si="16"/>
        <v>9.8743131296009761</v>
      </c>
      <c r="DS17" s="62">
        <f t="shared" si="17"/>
        <v>174.59525857901178</v>
      </c>
      <c r="DT17" s="62">
        <f ca="1">AVERAGE(OFFSET($DS$3,0,0,'Données projet'!$E$14+1,1))-AVERAGE(OFFSET($H$3,0,0,'Données projet'!$E$14+1,1))</f>
        <v>304.1100958939968</v>
      </c>
      <c r="DU17" s="62">
        <f t="shared" si="44"/>
        <v>184.1255966824568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1.8269230769230771</v>
      </c>
      <c r="EJ17" s="13">
        <f>IF('Données projet'!$A$192&gt;35,EJ16+EI17-ER16,IF(A17&lt;'Données projet'!$A$192,$EG$205^A17,IF(A17='Données projet'!$A$192,'Données projet'!$B$192,EJ16+EI17-ER16)))</f>
        <v>12.414384152328676</v>
      </c>
      <c r="EK17" s="18">
        <f>EJ17*VLOOKUP('Données projet'!$B$15,Paramètres!$A$1:$I$89,3,0)*VLOOKUP('Données projet'!$B$15,Paramètres!$A$1:$I$89,5,0)</f>
        <v>12.588185530461278</v>
      </c>
      <c r="EL17" s="14">
        <f t="shared" si="45"/>
        <v>4.3199576675152365</v>
      </c>
      <c r="EM17" s="22">
        <f t="shared" si="19"/>
        <v>29.44834940314243</v>
      </c>
      <c r="EN17" s="62">
        <f t="shared" si="20"/>
        <v>194.16929485255324</v>
      </c>
      <c r="EO17" s="62">
        <f ca="1">AVERAGE(OFFSET($EN$3,0,0,'Données projet'!$E$15+1,1))-AVERAGE(OFFSET($H$3,0,0,'Données projet'!$E$15+1,1))</f>
        <v>435.03433721979218</v>
      </c>
      <c r="EP17" s="62">
        <f t="shared" si="46"/>
        <v>267.10015759286387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1.8269230769230771</v>
      </c>
      <c r="FE17" s="13">
        <f>IF('Données projet'!$A$218&gt;35,FE16+FD17-FM16,IF(A17&lt;'Données projet'!$A$218,$FB$205^A17,IF(A17='Données projet'!$A$218,'Données projet'!$B$218,FE16+FD17-FM16)))</f>
        <v>12.414384152328676</v>
      </c>
      <c r="FF17" s="18">
        <f>FE17*VLOOKUP('Données projet'!$B$16,Paramètres!$A$1:$I$89,3,0)*VLOOKUP('Données projet'!$B$16,Paramètres!$A$1:$I$89,5,0)</f>
        <v>12.975514316013934</v>
      </c>
      <c r="FG17" s="14">
        <f t="shared" si="47"/>
        <v>4.437199391896975</v>
      </c>
      <c r="FH17" s="22">
        <f t="shared" si="22"/>
        <v>30.327143041278173</v>
      </c>
      <c r="FI17" s="62">
        <f t="shared" si="23"/>
        <v>195.04808849068897</v>
      </c>
      <c r="FJ17" s="62">
        <f ca="1">AVERAGE(OFFSET($FI$3,0,0,'Données projet'!$E$16+1,1))-AVERAGE(OFFSET($H$3,0,0,'Données projet'!$E$16+1,1))</f>
        <v>445.15313998584293</v>
      </c>
      <c r="FK17" s="62">
        <f t="shared" si="48"/>
        <v>272.85357736694834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0.9</v>
      </c>
      <c r="FZ17" s="13">
        <f>IF('Données projet'!$A$244&gt;35,FZ16+FY17-GH16,IF(A17&lt;'Données projet'!$A$244,$FW$205^A17,IF(A17='Données projet'!$A$244,'Données projet'!$B$244,FZ16+FY17-GH16)))</f>
        <v>7.5629417171254145</v>
      </c>
      <c r="GA17" s="18">
        <f>FZ17*VLOOKUP('Données projet'!$B$17,Paramètres!$A$1:$I$89,3,0)*VLOOKUP('Données projet'!$B$17,Paramètres!$A$1:$I$89,5,0)</f>
        <v>6.6069858840807631</v>
      </c>
      <c r="GB17" s="14">
        <f t="shared" si="49"/>
        <v>2.4440329151477385</v>
      </c>
      <c r="GC17" s="22">
        <f t="shared" si="25"/>
        <v>15.763857741989639</v>
      </c>
      <c r="GD17" s="62">
        <f t="shared" si="26"/>
        <v>180.48480319140043</v>
      </c>
      <c r="GE17" s="62">
        <f ca="1">AVERAGE(OFFSET($GD$3,0,0,'Données projet'!$E$17+1,1))-AVERAGE(OFFSET($H$3,0,0,'Données projet'!$E$17+1,1))</f>
        <v>248.82613595888964</v>
      </c>
      <c r="GF17" s="62">
        <f t="shared" si="50"/>
        <v>255.8298580882084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135.66666666666666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21.03846153846154</v>
      </c>
      <c r="L18" s="13">
        <f>VLOOKUP(A18,'Données projet'!$A$35:$I$55,9,0)</f>
        <v>1.4025641025641027</v>
      </c>
      <c r="M18" s="13">
        <f t="array" ref="M18">INDEX(L:L,MIN(IF(ISNUMBER(L18:L214),ROW(L18:L214),"")))</f>
        <v>1.4025641025641027</v>
      </c>
      <c r="N18" s="14">
        <f>IF('Données projet'!$A$36&gt;35,N17+M18-V17,IF(A18&lt;'Données projet'!$A$36,$K$205^A18,IF(A18='Données projet'!$A$36,'Données projet'!$B$36,N17+M18-V17)))</f>
        <v>21.03846153846154</v>
      </c>
      <c r="O18" s="14">
        <f>N18*VLOOKUP('Données projet'!$B$9,Paramètres!$A$1:$I$89,3,0)*VLOOKUP('Données projet'!$B$9,Paramètres!$A$1:$I$89,5,0)</f>
        <v>12.307500000000003</v>
      </c>
      <c r="P18" s="14">
        <f t="shared" si="33"/>
        <v>4.234734035214764</v>
      </c>
      <c r="Q18" s="22">
        <f t="shared" si="2"/>
        <v>28.811057611332387</v>
      </c>
      <c r="R18" s="62">
        <f t="shared" si="0"/>
        <v>196.64611750931155</v>
      </c>
      <c r="S18" s="62">
        <f ca="1">AVERAGE(OFFSET($R$3,0,0,'Données projet'!$E$9+1,1))-AVERAGE(OFFSET($H$3,0,0,'Données projet'!$E$9+1,1))</f>
        <v>221.18884567967481</v>
      </c>
      <c r="T18" s="62">
        <f t="shared" si="34"/>
        <v>189.31596996710888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1.9558333333333331</v>
      </c>
      <c r="AI18" s="14">
        <f>IF('Données projet'!$A$62&gt;35,AI17+AH18-AQ17,IF(A18&lt;'Données projet'!$A$62,$AF$205^A18,IF(A18='Données projet'!$A$62,'Données projet'!$B$62,AI17+AH18-AQ17)))</f>
        <v>25.120833333333337</v>
      </c>
      <c r="AJ18" s="14">
        <f>AI18*VLOOKUP('Données projet'!$B$10,Paramètres!$A$1:$I$89,3,0)*VLOOKUP('Données projet'!$B$10,Paramètres!$A$1:$I$89,5,0)</f>
        <v>28.939200000000003</v>
      </c>
      <c r="AK18" s="14">
        <f t="shared" si="35"/>
        <v>9.0140830494369073</v>
      </c>
      <c r="AL18" s="22">
        <f t="shared" si="4"/>
        <v>66.101967977769291</v>
      </c>
      <c r="AM18" s="62">
        <f t="shared" si="5"/>
        <v>233.93702787574847</v>
      </c>
      <c r="AN18" s="62">
        <f ca="1">AVERAGE(OFFSET($AM$3,0,0,'Données projet'!$E$10+1,1))-AVERAGE(OFFSET($H$3,0,0,'Données projet'!$E$10+1,1))</f>
        <v>314.72063458462026</v>
      </c>
      <c r="AO18" s="62">
        <f t="shared" si="36"/>
        <v>216.4380325968244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1.8269230769230771</v>
      </c>
      <c r="BD18" s="13">
        <f>IF('Données projet'!$A$88&gt;35,BD17+BC18-BL17,IF(A18&lt;'Données projet'!$A$88,$BA$205^A18,IF(A18='Données projet'!$A$88,'Données projet'!$B$88,BD17+BC18-BL17)))</f>
        <v>14.86150161407812</v>
      </c>
      <c r="BE18" s="14">
        <f>BD18*VLOOKUP('Données projet'!$B$11,Paramètres!$A$1:$I$89,3,0)*VLOOKUP('Données projet'!$B$11,Paramètres!$A$1:$I$89,5,0)</f>
        <v>15.996920337393687</v>
      </c>
      <c r="BF18" s="14">
        <f t="shared" si="37"/>
        <v>5.3387380468731642</v>
      </c>
      <c r="BG18" s="22">
        <f t="shared" si="7"/>
        <v>37.159605019264767</v>
      </c>
      <c r="BH18" s="62">
        <f t="shared" si="8"/>
        <v>204.99466491724394</v>
      </c>
      <c r="BI18" s="62">
        <f ca="1">AVERAGE(OFFSET($BH$3,0,0,'Données projet'!$E$11+1,1))-AVERAGE(OFFSET($H$3,0,0,'Données projet'!$E$11+1,1))</f>
        <v>455.26558725507834</v>
      </c>
      <c r="BJ18" s="62">
        <f t="shared" si="38"/>
        <v>278.60310966788552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60.8</v>
      </c>
      <c r="BW18" s="13">
        <f>VLOOKUP(A18,'Données projet'!$A$113:$I$133,9,0)</f>
        <v>4.0533333333333328</v>
      </c>
      <c r="BX18" s="13">
        <f t="array" ref="BX18">INDEX(BW:BW,MIN(IF(ISNUMBER(BW18:BW214),ROW(BW18:BW214),"")))</f>
        <v>4.0533333333333328</v>
      </c>
      <c r="BY18" s="13">
        <f>IF('Données projet'!$A$114&gt;35,BY17+BX18-CG17,IF(A18&lt;'Données projet'!$A$114,$BV$205^A18,IF(A18='Données projet'!$A$114,'Données projet'!$B$114,BY17+BX18-CG17)))</f>
        <v>60.8</v>
      </c>
      <c r="BZ18" s="14">
        <f>BY18*VLOOKUP('Données projet'!$B$12,Paramètres!$A$1:$I$89,3,0)*VLOOKUP('Données projet'!$B$12,Paramètres!$A$1:$I$89,5,0)</f>
        <v>31.616000000000003</v>
      </c>
      <c r="CA18" s="14">
        <f t="shared" si="39"/>
        <v>9.7469743223436929</v>
      </c>
      <c r="CB18" s="22">
        <f t="shared" si="10"/>
        <v>72.040513611415278</v>
      </c>
      <c r="CC18" s="62">
        <f t="shared" si="11"/>
        <v>239.87557350939443</v>
      </c>
      <c r="CD18" s="62">
        <f ca="1">AVERAGE(OFFSET($CC$3,0,0,'Données projet'!$E$12+1,1))-AVERAGE(OFFSET($H$3,0,0,'Données projet'!$E$12+1,1))</f>
        <v>300.72820267660154</v>
      </c>
      <c r="CE18" s="62">
        <f t="shared" si="40"/>
        <v>228.35388778608589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1.8269230769230771</v>
      </c>
      <c r="CT18" s="13">
        <f>IF('Données projet'!$A$140&gt;35,CT17+CS18-DB17,IF(A18&lt;'Données projet'!$A$140,$CQ$205^A18,IF(A18='Données projet'!$A$140,'Données projet'!$B$140,CT17+CS18-DB17)))</f>
        <v>14.86150161407812</v>
      </c>
      <c r="CU18" s="18">
        <f>CT18*VLOOKUP('Données projet'!$B$13,Paramètres!$A$1:$I$89,3,0)*VLOOKUP('Données projet'!$B$13,Paramètres!$A$1:$I$89,5,0)</f>
        <v>12.751168384879028</v>
      </c>
      <c r="CV18" s="14">
        <f t="shared" si="41"/>
        <v>4.3693418844524912</v>
      </c>
      <c r="CW18" s="22">
        <f t="shared" si="13"/>
        <v>29.81822205241906</v>
      </c>
      <c r="CX18" s="62">
        <f t="shared" si="14"/>
        <v>197.65328195039822</v>
      </c>
      <c r="CY18" s="62">
        <f ca="1">AVERAGE(OFFSET($CX$3,0,0,'Données projet'!$E$13+1,1))-AVERAGE(OFFSET($H$3,0,0,'Données projet'!$E$13+1,1))</f>
        <v>384.3367849108829</v>
      </c>
      <c r="CZ18" s="62">
        <f t="shared" si="42"/>
        <v>238.2697272367603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3.4425641025641025</v>
      </c>
      <c r="DO18" s="13">
        <f>IF('Données projet'!$A$166&gt;35,DO17+DN18-DW17,IF(A18&lt;'Données projet'!$A$166,$DL$205^A18,IF(A18='Données projet'!$A$166,'Données projet'!$B$166,DO17+DN18-DW17)))</f>
        <v>10.162525428107084</v>
      </c>
      <c r="DP18" s="18">
        <f>DO18*VLOOKUP('Données projet'!$B$14,Paramètres!$A$1:$I$89,3,0)*VLOOKUP('Données projet'!$B$14,Paramètres!$A$1:$I$89,5,0)</f>
        <v>4.7560619003541156</v>
      </c>
      <c r="DQ18" s="14">
        <f t="shared" si="43"/>
        <v>1.8279653298016947</v>
      </c>
      <c r="DR18" s="22">
        <f t="shared" si="16"/>
        <v>11.467180759188034</v>
      </c>
      <c r="DS18" s="62">
        <f t="shared" si="17"/>
        <v>179.3022406571672</v>
      </c>
      <c r="DT18" s="62">
        <f ca="1">AVERAGE(OFFSET($DS$3,0,0,'Données projet'!$E$14+1,1))-AVERAGE(OFFSET($H$3,0,0,'Données projet'!$E$14+1,1))</f>
        <v>304.1100958939968</v>
      </c>
      <c r="DU18" s="62">
        <f t="shared" si="44"/>
        <v>184.1255966824568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1.8269230769230771</v>
      </c>
      <c r="EJ18" s="13">
        <f>IF('Données projet'!$A$192&gt;35,EJ17+EI18-ER17,IF(A18&lt;'Données projet'!$A$192,$EG$205^A18,IF(A18='Données projet'!$A$192,'Données projet'!$B$192,EJ17+EI18-ER17)))</f>
        <v>14.86150161407812</v>
      </c>
      <c r="EK18" s="18">
        <f>EJ18*VLOOKUP('Données projet'!$B$15,Paramètres!$A$1:$I$89,3,0)*VLOOKUP('Données projet'!$B$15,Paramètres!$A$1:$I$89,5,0)</f>
        <v>15.069562636675213</v>
      </c>
      <c r="EL18" s="14">
        <f t="shared" si="45"/>
        <v>5.0643276696788133</v>
      </c>
      <c r="EM18" s="22">
        <f t="shared" si="19"/>
        <v>35.066525616899931</v>
      </c>
      <c r="EN18" s="62">
        <f t="shared" si="20"/>
        <v>202.90158551487909</v>
      </c>
      <c r="EO18" s="62">
        <f ca="1">AVERAGE(OFFSET($EN$3,0,0,'Données projet'!$E$15+1,1))-AVERAGE(OFFSET($H$3,0,0,'Données projet'!$E$15+1,1))</f>
        <v>435.03433721979218</v>
      </c>
      <c r="EP18" s="62">
        <f t="shared" si="46"/>
        <v>267.10015759286387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1.8269230769230771</v>
      </c>
      <c r="FE18" s="13">
        <f>IF('Données projet'!$A$218&gt;35,FE17+FD18-FM17,IF(A18&lt;'Données projet'!$A$218,$FB$205^A18,IF(A18='Données projet'!$A$218,'Données projet'!$B$218,FE17+FD18-FM17)))</f>
        <v>14.86150161407812</v>
      </c>
      <c r="FF18" s="18">
        <f>FE18*VLOOKUP('Données projet'!$B$16,Paramètres!$A$1:$I$89,3,0)*VLOOKUP('Données projet'!$B$16,Paramètres!$A$1:$I$89,5,0)</f>
        <v>15.533241487034452</v>
      </c>
      <c r="FG18" s="14">
        <f t="shared" si="47"/>
        <v>5.2017712639279212</v>
      </c>
      <c r="FH18" s="22">
        <f t="shared" si="22"/>
        <v>36.113480541259463</v>
      </c>
      <c r="FI18" s="62">
        <f t="shared" si="23"/>
        <v>203.94854043923863</v>
      </c>
      <c r="FJ18" s="62">
        <f ca="1">AVERAGE(OFFSET($FI$3,0,0,'Données projet'!$E$16+1,1))-AVERAGE(OFFSET($H$3,0,0,'Données projet'!$E$16+1,1))</f>
        <v>445.15313998584293</v>
      </c>
      <c r="FK18" s="62">
        <f t="shared" si="48"/>
        <v>272.85357736694834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0.9</v>
      </c>
      <c r="FZ18" s="13">
        <f>IF('Données projet'!$A$244&gt;35,FZ17+FY18-GH17,IF(A18&lt;'Données projet'!$A$244,$FW$205^A18,IF(A18='Données projet'!$A$244,'Données projet'!$B$244,FZ17+FY18-GH17)))</f>
        <v>8.7388518907318247</v>
      </c>
      <c r="GA18" s="18">
        <f>FZ18*VLOOKUP('Données projet'!$B$17,Paramètres!$A$1:$I$89,3,0)*VLOOKUP('Données projet'!$B$17,Paramètres!$A$1:$I$89,5,0)</f>
        <v>7.6342610117433241</v>
      </c>
      <c r="GB18" s="14">
        <f t="shared" si="49"/>
        <v>2.7769303673043324</v>
      </c>
      <c r="GC18" s="22">
        <f t="shared" si="25"/>
        <v>18.132824985174668</v>
      </c>
      <c r="GD18" s="62">
        <f t="shared" si="26"/>
        <v>185.96788488315383</v>
      </c>
      <c r="GE18" s="62">
        <f ca="1">AVERAGE(OFFSET($GD$3,0,0,'Données projet'!$E$17+1,1))-AVERAGE(OFFSET($H$3,0,0,'Données projet'!$E$17+1,1))</f>
        <v>248.82613595888964</v>
      </c>
      <c r="GF18" s="62">
        <f t="shared" si="50"/>
        <v>255.8298580882084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135.66666666666666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3.0276923076923068</v>
      </c>
      <c r="N19" s="14">
        <f>IF('Données projet'!$A$36&gt;35,N18+M19-V18,IF(A19&lt;'Données projet'!$A$36,$K$205^A19,IF(A19='Données projet'!$A$36,'Données projet'!$B$36,N18+M19-V18)))</f>
        <v>24.066153846153846</v>
      </c>
      <c r="O19" s="14">
        <f>N19*VLOOKUP('Données projet'!$B$9,Paramètres!$A$1:$I$89,3,0)*VLOOKUP('Données projet'!$B$9,Paramètres!$A$1:$I$89,5,0)</f>
        <v>14.0787</v>
      </c>
      <c r="P19" s="14">
        <f t="shared" si="33"/>
        <v>4.7689408763838834</v>
      </c>
      <c r="Q19" s="22">
        <f t="shared" si="2"/>
        <v>32.826307859701934</v>
      </c>
      <c r="R19" s="62">
        <f t="shared" si="0"/>
        <v>203.74266210575973</v>
      </c>
      <c r="S19" s="62">
        <f ca="1">AVERAGE(OFFSET($R$3,0,0,'Données projet'!$E$9+1,1))-AVERAGE(OFFSET($H$3,0,0,'Données projet'!$E$9+1,1))</f>
        <v>221.18884567967481</v>
      </c>
      <c r="T19" s="62">
        <f t="shared" si="34"/>
        <v>189.31596996710888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1.9558333333333331</v>
      </c>
      <c r="AI19" s="14">
        <f>IF('Données projet'!$A$62&gt;35,AI18+AH19-AQ18,IF(A19&lt;'Données projet'!$A$62,$AF$205^A19,IF(A19='Données projet'!$A$62,'Données projet'!$B$62,AI18+AH19-AQ18)))</f>
        <v>27.076666666666672</v>
      </c>
      <c r="AJ19" s="14">
        <f>AI19*VLOOKUP('Données projet'!$B$10,Paramètres!$A$1:$I$89,3,0)*VLOOKUP('Données projet'!$B$10,Paramètres!$A$1:$I$89,5,0)</f>
        <v>31.192320000000002</v>
      </c>
      <c r="AK19" s="14">
        <f t="shared" si="35"/>
        <v>9.6314703672580624</v>
      </c>
      <c r="AL19" s="22">
        <f t="shared" si="4"/>
        <v>71.101434889641112</v>
      </c>
      <c r="AM19" s="62">
        <f t="shared" si="5"/>
        <v>242.01778913569893</v>
      </c>
      <c r="AN19" s="62">
        <f ca="1">AVERAGE(OFFSET($AM$3,0,0,'Données projet'!$E$10+1,1))-AVERAGE(OFFSET($H$3,0,0,'Données projet'!$E$10+1,1))</f>
        <v>314.72063458462026</v>
      </c>
      <c r="AO19" s="62">
        <f t="shared" si="36"/>
        <v>216.4380325968244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1.8269230769230771</v>
      </c>
      <c r="BD19" s="13">
        <f>IF('Données projet'!$A$88&gt;35,BD18+BC19-BL18,IF(A19&lt;'Données projet'!$A$88,$BA$205^A19,IF(A19='Données projet'!$A$88,'Données projet'!$B$88,BD18+BC19-BL18)))</f>
        <v>17.790993698532937</v>
      </c>
      <c r="BE19" s="14">
        <f>BD19*VLOOKUP('Données projet'!$B$11,Paramètres!$A$1:$I$89,3,0)*VLOOKUP('Données projet'!$B$11,Paramètres!$A$1:$I$89,5,0)</f>
        <v>19.150225617100851</v>
      </c>
      <c r="BF19" s="14">
        <f t="shared" si="37"/>
        <v>6.2586536472932774</v>
      </c>
      <c r="BG19" s="22">
        <f t="shared" si="7"/>
        <v>44.253798052153108</v>
      </c>
      <c r="BH19" s="62">
        <f t="shared" si="8"/>
        <v>215.17015229821092</v>
      </c>
      <c r="BI19" s="62">
        <f ca="1">AVERAGE(OFFSET($BH$3,0,0,'Données projet'!$E$11+1,1))-AVERAGE(OFFSET($H$3,0,0,'Données projet'!$E$11+1,1))</f>
        <v>455.26558725507834</v>
      </c>
      <c r="BJ19" s="62">
        <f t="shared" si="38"/>
        <v>278.60310966788552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4.9800000000000013</v>
      </c>
      <c r="BY19" s="13">
        <f>IF('Données projet'!$A$114&gt;35,BY18+BX19-CG18,IF(A19&lt;'Données projet'!$A$114,$BV$205^A19,IF(A19='Données projet'!$A$114,'Données projet'!$B$114,BY18+BX19-CG18)))</f>
        <v>65.78</v>
      </c>
      <c r="BZ19" s="14">
        <f>BY19*VLOOKUP('Données projet'!$B$12,Paramètres!$A$1:$I$89,3,0)*VLOOKUP('Données projet'!$B$12,Paramètres!$A$1:$I$89,5,0)</f>
        <v>34.205600000000004</v>
      </c>
      <c r="CA19" s="14">
        <f t="shared" si="39"/>
        <v>10.449135526956775</v>
      </c>
      <c r="CB19" s="22">
        <f t="shared" si="10"/>
        <v>77.773664376116372</v>
      </c>
      <c r="CC19" s="62">
        <f t="shared" si="11"/>
        <v>248.69001862217419</v>
      </c>
      <c r="CD19" s="62">
        <f ca="1">AVERAGE(OFFSET($CC$3,0,0,'Données projet'!$E$12+1,1))-AVERAGE(OFFSET($H$3,0,0,'Données projet'!$E$12+1,1))</f>
        <v>300.72820267660154</v>
      </c>
      <c r="CE19" s="62">
        <f t="shared" si="40"/>
        <v>228.35388778608589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1.8269230769230771</v>
      </c>
      <c r="CT19" s="13">
        <f>IF('Données projet'!$A$140&gt;35,CT18+CS19-DB18,IF(A19&lt;'Données projet'!$A$140,$CQ$205^A19,IF(A19='Données projet'!$A$140,'Données projet'!$B$140,CT18+CS19-DB18)))</f>
        <v>17.790993698532937</v>
      </c>
      <c r="CU19" s="18">
        <f>CT19*VLOOKUP('Données projet'!$B$13,Paramètres!$A$1:$I$89,3,0)*VLOOKUP('Données projet'!$B$13,Paramètres!$A$1:$I$89,5,0)</f>
        <v>15.264672593341261</v>
      </c>
      <c r="CV19" s="14">
        <f t="shared" si="41"/>
        <v>5.1222212592760963</v>
      </c>
      <c r="CW19" s="22">
        <f t="shared" si="13"/>
        <v>35.507173459975228</v>
      </c>
      <c r="CX19" s="62">
        <f t="shared" si="14"/>
        <v>206.42352770603304</v>
      </c>
      <c r="CY19" s="62">
        <f ca="1">AVERAGE(OFFSET($CX$3,0,0,'Données projet'!$E$13+1,1))-AVERAGE(OFFSET($H$3,0,0,'Données projet'!$E$13+1,1))</f>
        <v>384.3367849108829</v>
      </c>
      <c r="CZ19" s="62">
        <f t="shared" si="42"/>
        <v>238.2697272367603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3.4425641025641025</v>
      </c>
      <c r="DO19" s="13">
        <f>IF('Données projet'!$A$166&gt;35,DO18+DN19-DW18,IF(A19&lt;'Données projet'!$A$166,$DL$205^A19,IF(A19='Données projet'!$A$166,'Données projet'!$B$166,DO18+DN19-DW18)))</f>
        <v>11.861376416102864</v>
      </c>
      <c r="DP19" s="18">
        <f>DO19*VLOOKUP('Données projet'!$B$14,Paramètres!$A$1:$I$89,3,0)*VLOOKUP('Données projet'!$B$14,Paramètres!$A$1:$I$89,5,0)</f>
        <v>5.5511241627361398</v>
      </c>
      <c r="DQ19" s="14">
        <f t="shared" si="43"/>
        <v>2.0954971024924585</v>
      </c>
      <c r="DR19" s="22">
        <f t="shared" si="16"/>
        <v>13.31786537027314</v>
      </c>
      <c r="DS19" s="62">
        <f t="shared" si="17"/>
        <v>184.23421961633096</v>
      </c>
      <c r="DT19" s="62">
        <f ca="1">AVERAGE(OFFSET($DS$3,0,0,'Données projet'!$E$14+1,1))-AVERAGE(OFFSET($H$3,0,0,'Données projet'!$E$14+1,1))</f>
        <v>304.1100958939968</v>
      </c>
      <c r="DU19" s="62">
        <f t="shared" si="44"/>
        <v>184.1255966824568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1.8269230769230771</v>
      </c>
      <c r="EJ19" s="13">
        <f>IF('Données projet'!$A$192&gt;35,EJ18+EI19-ER18,IF(A19&lt;'Données projet'!$A$192,$EG$205^A19,IF(A19='Données projet'!$A$192,'Données projet'!$B$192,EJ18+EI19-ER18)))</f>
        <v>17.790993698532937</v>
      </c>
      <c r="EK19" s="18">
        <f>EJ19*VLOOKUP('Données projet'!$B$15,Paramètres!$A$1:$I$89,3,0)*VLOOKUP('Données projet'!$B$15,Paramètres!$A$1:$I$89,5,0)</f>
        <v>18.040067610312398</v>
      </c>
      <c r="EL19" s="14">
        <f t="shared" si="45"/>
        <v>5.9369597389194739</v>
      </c>
      <c r="EM19" s="22">
        <f t="shared" si="19"/>
        <v>41.759989299912178</v>
      </c>
      <c r="EN19" s="62">
        <f t="shared" si="20"/>
        <v>212.67634354596998</v>
      </c>
      <c r="EO19" s="62">
        <f ca="1">AVERAGE(OFFSET($EN$3,0,0,'Données projet'!$E$15+1,1))-AVERAGE(OFFSET($H$3,0,0,'Données projet'!$E$15+1,1))</f>
        <v>435.03433721979218</v>
      </c>
      <c r="EP19" s="62">
        <f t="shared" si="46"/>
        <v>267.10015759286387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1.8269230769230771</v>
      </c>
      <c r="FE19" s="13">
        <f>IF('Données projet'!$A$218&gt;35,FE18+FD19-FM18,IF(A19&lt;'Données projet'!$A$218,$FB$205^A19,IF(A19='Données projet'!$A$218,'Données projet'!$B$218,FE18+FD19-FM18)))</f>
        <v>17.790993698532937</v>
      </c>
      <c r="FF19" s="18">
        <f>FE19*VLOOKUP('Données projet'!$B$16,Paramètres!$A$1:$I$89,3,0)*VLOOKUP('Données projet'!$B$16,Paramètres!$A$1:$I$89,5,0)</f>
        <v>18.595146613706628</v>
      </c>
      <c r="FG19" s="14">
        <f t="shared" si="47"/>
        <v>6.0980861783311457</v>
      </c>
      <c r="FH19" s="22">
        <f t="shared" si="22"/>
        <v>43.007380446132458</v>
      </c>
      <c r="FI19" s="62">
        <f t="shared" si="23"/>
        <v>213.92373469219027</v>
      </c>
      <c r="FJ19" s="62">
        <f ca="1">AVERAGE(OFFSET($FI$3,0,0,'Données projet'!$E$16+1,1))-AVERAGE(OFFSET($H$3,0,0,'Données projet'!$E$16+1,1))</f>
        <v>445.15313998584293</v>
      </c>
      <c r="FK19" s="62">
        <f t="shared" si="48"/>
        <v>272.85357736694834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0.9</v>
      </c>
      <c r="FZ19" s="13">
        <f>IF('Données projet'!$A$244&gt;35,FZ18+FY19-GH18,IF(A19&lt;'Données projet'!$A$244,$FW$205^A19,IF(A19='Données projet'!$A$244,'Données projet'!$B$244,FZ18+FY19-GH18)))</f>
        <v>10.097596309015799</v>
      </c>
      <c r="GA19" s="18">
        <f>FZ19*VLOOKUP('Données projet'!$B$17,Paramètres!$A$1:$I$89,3,0)*VLOOKUP('Données projet'!$B$17,Paramètres!$A$1:$I$89,5,0)</f>
        <v>8.8212601355562033</v>
      </c>
      <c r="GB19" s="14">
        <f t="shared" si="49"/>
        <v>3.1551711996443523</v>
      </c>
      <c r="GC19" s="22">
        <f t="shared" si="25"/>
        <v>20.858951242140964</v>
      </c>
      <c r="GD19" s="62">
        <f t="shared" si="26"/>
        <v>191.77530548819877</v>
      </c>
      <c r="GE19" s="62">
        <f ca="1">AVERAGE(OFFSET($GD$3,0,0,'Données projet'!$E$17+1,1))-AVERAGE(OFFSET($H$3,0,0,'Données projet'!$E$17+1,1))</f>
        <v>248.82613595888964</v>
      </c>
      <c r="GF19" s="62">
        <f t="shared" si="50"/>
        <v>255.8298580882084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135.66666666666666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3.0276923076923068</v>
      </c>
      <c r="N20" s="14">
        <f>IF('Données projet'!$A$36&gt;35,N19+M20-V19,IF(A20&lt;'Données projet'!$A$36,$K$205^A20,IF(A20='Données projet'!$A$36,'Données projet'!$B$36,N19+M20-V19)))</f>
        <v>27.093846153846151</v>
      </c>
      <c r="O20" s="14">
        <f>N20*VLOOKUP('Données projet'!$B$9,Paramètres!$A$1:$I$89,3,0)*VLOOKUP('Données projet'!$B$9,Paramètres!$A$1:$I$89,5,0)</f>
        <v>15.8499</v>
      </c>
      <c r="P20" s="14">
        <f t="shared" si="33"/>
        <v>5.2953601604169283</v>
      </c>
      <c r="Q20" s="22">
        <f t="shared" si="2"/>
        <v>36.827994779392817</v>
      </c>
      <c r="R20" s="62">
        <f t="shared" si="0"/>
        <v>210.79339262840824</v>
      </c>
      <c r="S20" s="62">
        <f ca="1">AVERAGE(OFFSET($R$3,0,0,'Données projet'!$E$9+1,1))-AVERAGE(OFFSET($H$3,0,0,'Données projet'!$E$9+1,1))</f>
        <v>221.18884567967481</v>
      </c>
      <c r="T20" s="62">
        <f t="shared" si="34"/>
        <v>189.31596996710888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1.9558333333333331</v>
      </c>
      <c r="AI20" s="14">
        <f>IF('Données projet'!$A$62&gt;35,AI19+AH20-AQ19,IF(A20&lt;'Données projet'!$A$62,$AF$205^A20,IF(A20='Données projet'!$A$62,'Données projet'!$B$62,AI19+AH20-AQ19)))</f>
        <v>29.032500000000006</v>
      </c>
      <c r="AJ20" s="14">
        <f>AI20*VLOOKUP('Données projet'!$B$10,Paramètres!$A$1:$I$89,3,0)*VLOOKUP('Données projet'!$B$10,Paramètres!$A$1:$I$89,5,0)</f>
        <v>33.445440000000005</v>
      </c>
      <c r="AK20" s="14">
        <f t="shared" si="35"/>
        <v>10.243683743720984</v>
      </c>
      <c r="AL20" s="22">
        <f t="shared" si="4"/>
        <v>76.091890520314053</v>
      </c>
      <c r="AM20" s="62">
        <f t="shared" si="5"/>
        <v>250.05728836932948</v>
      </c>
      <c r="AN20" s="62">
        <f ca="1">AVERAGE(OFFSET($AM$3,0,0,'Données projet'!$E$10+1,1))-AVERAGE(OFFSET($H$3,0,0,'Données projet'!$E$10+1,1))</f>
        <v>314.72063458462026</v>
      </c>
      <c r="AO20" s="62">
        <f t="shared" si="36"/>
        <v>216.4380325968244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1.8269230769230771</v>
      </c>
      <c r="BD20" s="13">
        <f>IF('Données projet'!$A$88&gt;35,BD19+BC20-BL19,IF(A20&lt;'Données projet'!$A$88,$BA$205^A20,IF(A20='Données projet'!$A$88,'Données projet'!$B$88,BD19+BC20-BL19)))</f>
        <v>21.297945860423926</v>
      </c>
      <c r="BE20" s="14">
        <f>BD20*VLOOKUP('Données projet'!$B$11,Paramètres!$A$1:$I$89,3,0)*VLOOKUP('Données projet'!$B$11,Paramètres!$A$1:$I$89,5,0)</f>
        <v>22.925108924160313</v>
      </c>
      <c r="BF20" s="14">
        <f t="shared" si="37"/>
        <v>7.3370794994744646</v>
      </c>
      <c r="BG20" s="22">
        <f t="shared" si="7"/>
        <v>52.706644837830567</v>
      </c>
      <c r="BH20" s="62">
        <f t="shared" si="8"/>
        <v>226.672042686846</v>
      </c>
      <c r="BI20" s="62">
        <f ca="1">AVERAGE(OFFSET($BH$3,0,0,'Données projet'!$E$11+1,1))-AVERAGE(OFFSET($H$3,0,0,'Données projet'!$E$11+1,1))</f>
        <v>455.26558725507834</v>
      </c>
      <c r="BJ20" s="62">
        <f t="shared" si="38"/>
        <v>278.60310966788552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4.9800000000000013</v>
      </c>
      <c r="BY20" s="13">
        <f>IF('Données projet'!$A$114&gt;35,BY19+BX20-CG19,IF(A20&lt;'Données projet'!$A$114,$BV$205^A20,IF(A20='Données projet'!$A$114,'Données projet'!$B$114,BY19+BX20-CG19)))</f>
        <v>70.760000000000005</v>
      </c>
      <c r="BZ20" s="14">
        <f>BY20*VLOOKUP('Données projet'!$B$12,Paramètres!$A$1:$I$89,3,0)*VLOOKUP('Données projet'!$B$12,Paramètres!$A$1:$I$89,5,0)</f>
        <v>36.795200000000001</v>
      </c>
      <c r="CA20" s="14">
        <f t="shared" si="39"/>
        <v>11.145130056976178</v>
      </c>
      <c r="CB20" s="22">
        <f t="shared" si="10"/>
        <v>83.496074849233494</v>
      </c>
      <c r="CC20" s="62">
        <f t="shared" si="11"/>
        <v>257.46147269824894</v>
      </c>
      <c r="CD20" s="62">
        <f ca="1">AVERAGE(OFFSET($CC$3,0,0,'Données projet'!$E$12+1,1))-AVERAGE(OFFSET($H$3,0,0,'Données projet'!$E$12+1,1))</f>
        <v>300.72820267660154</v>
      </c>
      <c r="CE20" s="62">
        <f t="shared" si="40"/>
        <v>228.35388778608589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1.8269230769230771</v>
      </c>
      <c r="CT20" s="13">
        <f>IF('Données projet'!$A$140&gt;35,CT19+CS20-DB19,IF(A20&lt;'Données projet'!$A$140,$CQ$205^A20,IF(A20='Données projet'!$A$140,'Données projet'!$B$140,CT19+CS20-DB19)))</f>
        <v>21.297945860423926</v>
      </c>
      <c r="CU20" s="18">
        <f>CT20*VLOOKUP('Données projet'!$B$13,Paramètres!$A$1:$I$89,3,0)*VLOOKUP('Données projet'!$B$13,Paramètres!$A$1:$I$89,5,0)</f>
        <v>18.27363754824373</v>
      </c>
      <c r="CV20" s="14">
        <f t="shared" si="41"/>
        <v>6.0048289474303038</v>
      </c>
      <c r="CW20" s="22">
        <f t="shared" si="13"/>
        <v>42.284995813298941</v>
      </c>
      <c r="CX20" s="62">
        <f t="shared" si="14"/>
        <v>216.25039366231437</v>
      </c>
      <c r="CY20" s="62">
        <f ca="1">AVERAGE(OFFSET($CX$3,0,0,'Données projet'!$E$13+1,1))-AVERAGE(OFFSET($H$3,0,0,'Données projet'!$E$13+1,1))</f>
        <v>384.3367849108829</v>
      </c>
      <c r="CZ20" s="62">
        <f t="shared" si="42"/>
        <v>238.2697272367603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3.4425641025641025</v>
      </c>
      <c r="DO20" s="13">
        <f>IF('Données projet'!$A$166&gt;35,DO19+DN20-DW19,IF(A20&lt;'Données projet'!$A$166,$DL$205^A20,IF(A20='Données projet'!$A$166,'Données projet'!$B$166,DO19+DN20-DW19)))</f>
        <v>13.84422124990315</v>
      </c>
      <c r="DP20" s="18">
        <f>DO20*VLOOKUP('Données projet'!$B$14,Paramètres!$A$1:$I$89,3,0)*VLOOKUP('Données projet'!$B$14,Paramètres!$A$1:$I$89,5,0)</f>
        <v>6.4790955449546734</v>
      </c>
      <c r="DQ20" s="14">
        <f t="shared" si="43"/>
        <v>2.4021834741420709</v>
      </c>
      <c r="DR20" s="22">
        <f t="shared" si="16"/>
        <v>15.468227624926827</v>
      </c>
      <c r="DS20" s="62">
        <f t="shared" si="17"/>
        <v>189.43362547394227</v>
      </c>
      <c r="DT20" s="62">
        <f ca="1">AVERAGE(OFFSET($DS$3,0,0,'Données projet'!$E$14+1,1))-AVERAGE(OFFSET($H$3,0,0,'Données projet'!$E$14+1,1))</f>
        <v>304.1100958939968</v>
      </c>
      <c r="DU20" s="62">
        <f t="shared" si="44"/>
        <v>184.1255966824568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1.8269230769230771</v>
      </c>
      <c r="EJ20" s="13">
        <f>IF('Données projet'!$A$192&gt;35,EJ19+EI20-ER19,IF(A20&lt;'Données projet'!$A$192,$EG$205^A20,IF(A20='Données projet'!$A$192,'Données projet'!$B$192,EJ19+EI20-ER19)))</f>
        <v>21.297945860423926</v>
      </c>
      <c r="EK20" s="18">
        <f>EJ20*VLOOKUP('Données projet'!$B$15,Paramètres!$A$1:$I$89,3,0)*VLOOKUP('Données projet'!$B$15,Paramètres!$A$1:$I$89,5,0)</f>
        <v>21.596117102469861</v>
      </c>
      <c r="EL20" s="14">
        <f t="shared" si="45"/>
        <v>6.9599546554984739</v>
      </c>
      <c r="EM20" s="22">
        <f t="shared" si="19"/>
        <v>49.735158311794855</v>
      </c>
      <c r="EN20" s="62">
        <f t="shared" si="20"/>
        <v>223.70055616081029</v>
      </c>
      <c r="EO20" s="62">
        <f ca="1">AVERAGE(OFFSET($EN$3,0,0,'Données projet'!$E$15+1,1))-AVERAGE(OFFSET($H$3,0,0,'Données projet'!$E$15+1,1))</f>
        <v>435.03433721979218</v>
      </c>
      <c r="EP20" s="62">
        <f t="shared" si="46"/>
        <v>267.10015759286387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1.8269230769230771</v>
      </c>
      <c r="FE20" s="13">
        <f>IF('Données projet'!$A$218&gt;35,FE19+FD20-FM19,IF(A20&lt;'Données projet'!$A$218,$FB$205^A20,IF(A20='Données projet'!$A$218,'Données projet'!$B$218,FE19+FD20-FM19)))</f>
        <v>21.297945860423926</v>
      </c>
      <c r="FF20" s="18">
        <f>FE20*VLOOKUP('Données projet'!$B$16,Paramètres!$A$1:$I$89,3,0)*VLOOKUP('Données projet'!$B$16,Paramètres!$A$1:$I$89,5,0)</f>
        <v>22.260613013315091</v>
      </c>
      <c r="FG20" s="14">
        <f t="shared" si="47"/>
        <v>7.1488447206871681</v>
      </c>
      <c r="FH20" s="22">
        <f t="shared" si="22"/>
        <v>51.221472220053933</v>
      </c>
      <c r="FI20" s="62">
        <f t="shared" si="23"/>
        <v>225.18687006906936</v>
      </c>
      <c r="FJ20" s="62">
        <f ca="1">AVERAGE(OFFSET($FI$3,0,0,'Données projet'!$E$16+1,1))-AVERAGE(OFFSET($H$3,0,0,'Données projet'!$E$16+1,1))</f>
        <v>445.15313998584293</v>
      </c>
      <c r="FK20" s="62">
        <f t="shared" si="48"/>
        <v>272.85357736694834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0.9</v>
      </c>
      <c r="FZ20" s="13">
        <f>IF('Données projet'!$A$244&gt;35,FZ19+FY20-GH19,IF(A20&lt;'Données projet'!$A$244,$FW$205^A20,IF(A20='Données projet'!$A$244,'Données projet'!$B$244,FZ19+FY20-GH19)))</f>
        <v>11.667602620429678</v>
      </c>
      <c r="GA20" s="18">
        <f>FZ20*VLOOKUP('Données projet'!$B$17,Paramètres!$A$1:$I$89,3,0)*VLOOKUP('Données projet'!$B$17,Paramètres!$A$1:$I$89,5,0)</f>
        <v>10.192817649207369</v>
      </c>
      <c r="GB20" s="14">
        <f t="shared" si="49"/>
        <v>3.5849315547400531</v>
      </c>
      <c r="GC20" s="22">
        <f t="shared" si="25"/>
        <v>23.996246530208428</v>
      </c>
      <c r="GD20" s="62">
        <f t="shared" si="26"/>
        <v>197.96164437922386</v>
      </c>
      <c r="GE20" s="62">
        <f ca="1">AVERAGE(OFFSET($GD$3,0,0,'Données projet'!$E$17+1,1))-AVERAGE(OFFSET($H$3,0,0,'Données projet'!$E$17+1,1))</f>
        <v>248.82613595888964</v>
      </c>
      <c r="GF20" s="62">
        <f t="shared" si="50"/>
        <v>255.8298580882084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135.66666666666666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3.0276923076923068</v>
      </c>
      <c r="N21" s="14">
        <f>IF('Données projet'!$A$36&gt;35,N20+M21-V20,IF(A21&lt;'Données projet'!$A$36,$K$205^A21,IF(A21='Données projet'!$A$36,'Données projet'!$B$36,N20+M21-V20)))</f>
        <v>30.121538461538456</v>
      </c>
      <c r="O21" s="14">
        <f>N21*VLOOKUP('Données projet'!$B$9,Paramètres!$A$1:$I$89,3,0)*VLOOKUP('Données projet'!$B$9,Paramètres!$A$1:$I$89,5,0)</f>
        <v>17.621099999999998</v>
      </c>
      <c r="P21" s="14">
        <f t="shared" si="33"/>
        <v>5.8149614193709027</v>
      </c>
      <c r="Q21" s="22">
        <f t="shared" si="2"/>
        <v>40.817806972070983</v>
      </c>
      <c r="R21" s="62">
        <f t="shared" si="0"/>
        <v>217.8005571572491</v>
      </c>
      <c r="S21" s="62">
        <f ca="1">AVERAGE(OFFSET($R$3,0,0,'Données projet'!$E$9+1,1))-AVERAGE(OFFSET($H$3,0,0,'Données projet'!$E$9+1,1))</f>
        <v>221.18884567967481</v>
      </c>
      <c r="T21" s="62">
        <f t="shared" si="34"/>
        <v>189.31596996710888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1.9558333333333331</v>
      </c>
      <c r="AI21" s="14">
        <f>IF('Données projet'!$A$62&gt;35,AI20+AH21-AQ20,IF(A21&lt;'Données projet'!$A$62,$AF$205^A21,IF(A21='Données projet'!$A$62,'Données projet'!$B$62,AI20+AH21-AQ20)))</f>
        <v>30.98833333333334</v>
      </c>
      <c r="AJ21" s="14">
        <f>AI21*VLOOKUP('Données projet'!$B$10,Paramètres!$A$1:$I$89,3,0)*VLOOKUP('Données projet'!$B$10,Paramètres!$A$1:$I$89,5,0)</f>
        <v>35.698560000000008</v>
      </c>
      <c r="AK21" s="14">
        <f t="shared" si="35"/>
        <v>10.851111388752232</v>
      </c>
      <c r="AL21" s="22">
        <f t="shared" si="4"/>
        <v>81.074011002076816</v>
      </c>
      <c r="AM21" s="62">
        <f t="shared" si="5"/>
        <v>258.05676118725489</v>
      </c>
      <c r="AN21" s="62">
        <f ca="1">AVERAGE(OFFSET($AM$3,0,0,'Données projet'!$E$10+1,1))-AVERAGE(OFFSET($H$3,0,0,'Données projet'!$E$10+1,1))</f>
        <v>314.72063458462026</v>
      </c>
      <c r="AO21" s="62">
        <f t="shared" si="36"/>
        <v>216.4380325968244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1.8269230769230771</v>
      </c>
      <c r="BD21" s="13">
        <f>IF('Données projet'!$A$88&gt;35,BD20+BC21-BL20,IF(A21&lt;'Données projet'!$A$88,$BA$205^A21,IF(A21='Données projet'!$A$88,'Données projet'!$B$88,BD20+BC21-BL20)))</f>
        <v>25.49618675380416</v>
      </c>
      <c r="BE21" s="14">
        <f>BD21*VLOOKUP('Données projet'!$B$11,Paramètres!$A$1:$I$89,3,0)*VLOOKUP('Données projet'!$B$11,Paramètres!$A$1:$I$89,5,0)</f>
        <v>27.444095421794795</v>
      </c>
      <c r="BF21" s="14">
        <f t="shared" si="37"/>
        <v>8.6013284350524604</v>
      </c>
      <c r="BG21" s="22">
        <f t="shared" si="7"/>
        <v>62.779113217342307</v>
      </c>
      <c r="BH21" s="62">
        <f t="shared" si="8"/>
        <v>239.76186340252042</v>
      </c>
      <c r="BI21" s="62">
        <f ca="1">AVERAGE(OFFSET($BH$3,0,0,'Données projet'!$E$11+1,1))-AVERAGE(OFFSET($H$3,0,0,'Données projet'!$E$11+1,1))</f>
        <v>455.26558725507834</v>
      </c>
      <c r="BJ21" s="62">
        <f t="shared" si="38"/>
        <v>278.60310966788552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4.9800000000000013</v>
      </c>
      <c r="BY21" s="13">
        <f>IF('Données projet'!$A$114&gt;35,BY20+BX21-CG20,IF(A21&lt;'Données projet'!$A$114,$BV$205^A21,IF(A21='Données projet'!$A$114,'Données projet'!$B$114,BY20+BX21-CG20)))</f>
        <v>75.740000000000009</v>
      </c>
      <c r="BZ21" s="14">
        <f>BY21*VLOOKUP('Données projet'!$B$12,Paramètres!$A$1:$I$89,3,0)*VLOOKUP('Données projet'!$B$12,Paramètres!$A$1:$I$89,5,0)</f>
        <v>39.384800000000013</v>
      </c>
      <c r="CA21" s="14">
        <f t="shared" si="39"/>
        <v>11.835441280121824</v>
      </c>
      <c r="CB21" s="22">
        <f t="shared" si="10"/>
        <v>89.208586896212196</v>
      </c>
      <c r="CC21" s="62">
        <f t="shared" si="11"/>
        <v>266.19133708139032</v>
      </c>
      <c r="CD21" s="62">
        <f ca="1">AVERAGE(OFFSET($CC$3,0,0,'Données projet'!$E$12+1,1))-AVERAGE(OFFSET($H$3,0,0,'Données projet'!$E$12+1,1))</f>
        <v>300.72820267660154</v>
      </c>
      <c r="CE21" s="62">
        <f t="shared" si="40"/>
        <v>228.35388778608589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1.8269230769230771</v>
      </c>
      <c r="CT21" s="13">
        <f>IF('Données projet'!$A$140&gt;35,CT20+CS21-DB20,IF(A21&lt;'Données projet'!$A$140,$CQ$205^A21,IF(A21='Données projet'!$A$140,'Données projet'!$B$140,CT20+CS21-DB20)))</f>
        <v>25.49618675380416</v>
      </c>
      <c r="CU21" s="18">
        <f>CT21*VLOOKUP('Données projet'!$B$13,Paramètres!$A$1:$I$89,3,0)*VLOOKUP('Données projet'!$B$13,Paramètres!$A$1:$I$89,5,0)</f>
        <v>21.875728234763972</v>
      </c>
      <c r="CV21" s="14">
        <f t="shared" si="41"/>
        <v>7.0395183774222332</v>
      </c>
      <c r="CW21" s="22">
        <f t="shared" si="13"/>
        <v>50.360721182890977</v>
      </c>
      <c r="CX21" s="62">
        <f t="shared" si="14"/>
        <v>227.34347136806909</v>
      </c>
      <c r="CY21" s="62">
        <f ca="1">AVERAGE(OFFSET($CX$3,0,0,'Données projet'!$E$13+1,1))-AVERAGE(OFFSET($H$3,0,0,'Données projet'!$E$13+1,1))</f>
        <v>384.3367849108829</v>
      </c>
      <c r="CZ21" s="62">
        <f t="shared" si="42"/>
        <v>238.2697272367603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3.4425641025641025</v>
      </c>
      <c r="DO21" s="13">
        <f>IF('Données projet'!$A$166&gt;35,DO20+DN21-DW20,IF(A21&lt;'Données projet'!$A$166,$DL$205^A21,IF(A21='Données projet'!$A$166,'Données projet'!$B$166,DO20+DN21-DW20)))</f>
        <v>16.158534666859676</v>
      </c>
      <c r="DP21" s="18">
        <f>DO21*VLOOKUP('Données projet'!$B$14,Paramètres!$A$1:$I$89,3,0)*VLOOKUP('Données projet'!$B$14,Paramètres!$A$1:$I$89,5,0)</f>
        <v>7.5621942240903284</v>
      </c>
      <c r="DQ21" s="14">
        <f t="shared" si="43"/>
        <v>2.7537549140858508</v>
      </c>
      <c r="DR21" s="22">
        <f t="shared" si="16"/>
        <v>17.96694474899018</v>
      </c>
      <c r="DS21" s="62">
        <f t="shared" si="17"/>
        <v>194.94969493416829</v>
      </c>
      <c r="DT21" s="62">
        <f ca="1">AVERAGE(OFFSET($DS$3,0,0,'Données projet'!$E$14+1,1))-AVERAGE(OFFSET($H$3,0,0,'Données projet'!$E$14+1,1))</f>
        <v>304.1100958939968</v>
      </c>
      <c r="DU21" s="62">
        <f t="shared" si="44"/>
        <v>184.1255966824568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1.8269230769230771</v>
      </c>
      <c r="EJ21" s="13">
        <f>IF('Données projet'!$A$192&gt;35,EJ20+EI21-ER20,IF(A21&lt;'Données projet'!$A$192,$EG$205^A21,IF(A21='Données projet'!$A$192,'Données projet'!$B$192,EJ20+EI21-ER20)))</f>
        <v>25.49618675380416</v>
      </c>
      <c r="EK21" s="18">
        <f>EJ21*VLOOKUP('Données projet'!$B$15,Paramètres!$A$1:$I$89,3,0)*VLOOKUP('Données projet'!$B$15,Paramètres!$A$1:$I$89,5,0)</f>
        <v>25.853133368357419</v>
      </c>
      <c r="EL21" s="14">
        <f t="shared" si="45"/>
        <v>8.1592213753854956</v>
      </c>
      <c r="EM21" s="22">
        <f t="shared" si="19"/>
        <v>59.238184512018925</v>
      </c>
      <c r="EN21" s="62">
        <f t="shared" si="20"/>
        <v>236.22093469719704</v>
      </c>
      <c r="EO21" s="62">
        <f ca="1">AVERAGE(OFFSET($EN$3,0,0,'Données projet'!$E$15+1,1))-AVERAGE(OFFSET($H$3,0,0,'Données projet'!$E$15+1,1))</f>
        <v>435.03433721979218</v>
      </c>
      <c r="EP21" s="62">
        <f t="shared" si="46"/>
        <v>267.10015759286387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1.8269230769230771</v>
      </c>
      <c r="FE21" s="13">
        <f>IF('Données projet'!$A$218&gt;35,FE20+FD21-FM20,IF(A21&lt;'Données projet'!$A$218,$FB$205^A21,IF(A21='Données projet'!$A$218,'Données projet'!$B$218,FE20+FD21-FM20)))</f>
        <v>25.49618675380416</v>
      </c>
      <c r="FF21" s="18">
        <f>FE21*VLOOKUP('Données projet'!$B$16,Paramètres!$A$1:$I$89,3,0)*VLOOKUP('Données projet'!$B$16,Paramètres!$A$1:$I$89,5,0)</f>
        <v>26.648614395076113</v>
      </c>
      <c r="FG21" s="14">
        <f t="shared" si="47"/>
        <v>8.3806590044752181</v>
      </c>
      <c r="FH21" s="22">
        <f t="shared" si="22"/>
        <v>61.009317837551897</v>
      </c>
      <c r="FI21" s="62">
        <f t="shared" si="23"/>
        <v>237.99206802273</v>
      </c>
      <c r="FJ21" s="62">
        <f ca="1">AVERAGE(OFFSET($FI$3,0,0,'Données projet'!$E$16+1,1))-AVERAGE(OFFSET($H$3,0,0,'Données projet'!$E$16+1,1))</f>
        <v>445.15313998584293</v>
      </c>
      <c r="FK21" s="62">
        <f t="shared" si="48"/>
        <v>272.85357736694834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0.9</v>
      </c>
      <c r="FZ21" s="13">
        <f>IF('Données projet'!$A$244&gt;35,FZ20+FY21-GH20,IF(A21&lt;'Données projet'!$A$244,$FW$205^A21,IF(A21='Données projet'!$A$244,'Données projet'!$B$244,FZ20+FY21-GH20)))</f>
        <v>13.48171849440139</v>
      </c>
      <c r="GA21" s="18">
        <f>FZ21*VLOOKUP('Données projet'!$B$17,Paramètres!$A$1:$I$89,3,0)*VLOOKUP('Données projet'!$B$17,Paramètres!$A$1:$I$89,5,0)</f>
        <v>11.777629276709055</v>
      </c>
      <c r="GB21" s="14">
        <f t="shared" si="49"/>
        <v>4.0732288167499631</v>
      </c>
      <c r="GC21" s="22">
        <f t="shared" si="25"/>
        <v>27.606911179441123</v>
      </c>
      <c r="GD21" s="62">
        <f t="shared" si="26"/>
        <v>204.58966136461922</v>
      </c>
      <c r="GE21" s="62">
        <f ca="1">AVERAGE(OFFSET($GD$3,0,0,'Données projet'!$E$17+1,1))-AVERAGE(OFFSET($H$3,0,0,'Données projet'!$E$17+1,1))</f>
        <v>248.82613595888964</v>
      </c>
      <c r="GF21" s="62">
        <f t="shared" si="50"/>
        <v>255.8298580882084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135.66666666666666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3.0276923076923068</v>
      </c>
      <c r="N22" s="14">
        <f>IF('Données projet'!$A$36&gt;35,N21+M22-V21,IF(A22&lt;'Données projet'!$A$36,$K$205^A22,IF(A22='Données projet'!$A$36,'Données projet'!$B$36,N21+M22-V21)))</f>
        <v>33.149230769230762</v>
      </c>
      <c r="O22" s="14">
        <f>N22*VLOOKUP('Données projet'!$B$9,Paramètres!$A$1:$I$89,3,0)*VLOOKUP('Données projet'!$B$9,Paramètres!$A$1:$I$89,5,0)</f>
        <v>19.392299999999995</v>
      </c>
      <c r="P22" s="14">
        <f t="shared" si="33"/>
        <v>6.3285079934981043</v>
      </c>
      <c r="Q22" s="22">
        <f t="shared" si="2"/>
        <v>44.79707392200919</v>
      </c>
      <c r="R22" s="62">
        <f t="shared" si="0"/>
        <v>224.76603494918277</v>
      </c>
      <c r="S22" s="62">
        <f ca="1">AVERAGE(OFFSET($R$3,0,0,'Données projet'!$E$9+1,1))-AVERAGE(OFFSET($H$3,0,0,'Données projet'!$E$9+1,1))</f>
        <v>221.18884567967481</v>
      </c>
      <c r="T22" s="62">
        <f t="shared" si="34"/>
        <v>189.31596996710888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1.9558333333333331</v>
      </c>
      <c r="AI22" s="14">
        <f>IF('Données projet'!$A$62&gt;35,AI21+AH22-AQ21,IF(A22&lt;'Données projet'!$A$62,$AF$205^A22,IF(A22='Données projet'!$A$62,'Données projet'!$B$62,AI21+AH22-AQ21)))</f>
        <v>32.944166666666675</v>
      </c>
      <c r="AJ22" s="14">
        <f>AI22*VLOOKUP('Données projet'!$B$10,Paramètres!$A$1:$I$89,3,0)*VLOOKUP('Données projet'!$B$10,Paramètres!$A$1:$I$89,5,0)</f>
        <v>37.95168000000001</v>
      </c>
      <c r="AK22" s="14">
        <f t="shared" si="35"/>
        <v>11.454089738390872</v>
      </c>
      <c r="AL22" s="22">
        <f t="shared" si="4"/>
        <v>86.048382294364117</v>
      </c>
      <c r="AM22" s="62">
        <f t="shared" si="5"/>
        <v>266.01734332153768</v>
      </c>
      <c r="AN22" s="62">
        <f ca="1">AVERAGE(OFFSET($AM$3,0,0,'Données projet'!$E$10+1,1))-AVERAGE(OFFSET($H$3,0,0,'Données projet'!$E$10+1,1))</f>
        <v>314.72063458462026</v>
      </c>
      <c r="AO22" s="62">
        <f t="shared" si="36"/>
        <v>216.4380325968244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1.8269230769230771</v>
      </c>
      <c r="BD22" s="13">
        <f>IF('Données projet'!$A$88&gt;35,BD21+BC22-BL21,IF(A22&lt;'Données projet'!$A$88,$BA$205^A22,IF(A22='Données projet'!$A$88,'Données projet'!$B$88,BD21+BC22-BL21)))</f>
        <v>30.521982882527599</v>
      </c>
      <c r="BE22" s="14">
        <f>BD22*VLOOKUP('Données projet'!$B$11,Paramètres!$A$1:$I$89,3,0)*VLOOKUP('Données projet'!$B$11,Paramètres!$A$1:$I$89,5,0)</f>
        <v>32.853862374752701</v>
      </c>
      <c r="BF22" s="14">
        <f t="shared" si="37"/>
        <v>10.083419547647154</v>
      </c>
      <c r="BG22" s="22">
        <f t="shared" si="7"/>
        <v>74.782432681513072</v>
      </c>
      <c r="BH22" s="62">
        <f t="shared" si="8"/>
        <v>254.75139370868663</v>
      </c>
      <c r="BI22" s="62">
        <f ca="1">AVERAGE(OFFSET($BH$3,0,0,'Données projet'!$E$11+1,1))-AVERAGE(OFFSET($H$3,0,0,'Données projet'!$E$11+1,1))</f>
        <v>455.26558725507834</v>
      </c>
      <c r="BJ22" s="62">
        <f t="shared" si="38"/>
        <v>278.60310966788552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4.9800000000000013</v>
      </c>
      <c r="BY22" s="13">
        <f>IF('Données projet'!$A$114&gt;35,BY21+BX22-CG21,IF(A22&lt;'Données projet'!$A$114,$BV$205^A22,IF(A22='Données projet'!$A$114,'Données projet'!$B$114,BY21+BX22-CG21)))</f>
        <v>80.720000000000013</v>
      </c>
      <c r="BZ22" s="14">
        <f>BY22*VLOOKUP('Données projet'!$B$12,Paramètres!$A$1:$I$89,3,0)*VLOOKUP('Données projet'!$B$12,Paramètres!$A$1:$I$89,5,0)</f>
        <v>41.97440000000001</v>
      </c>
      <c r="CA22" s="14">
        <f t="shared" si="39"/>
        <v>12.520485404816361</v>
      </c>
      <c r="CB22" s="22">
        <f t="shared" si="10"/>
        <v>94.911925413388516</v>
      </c>
      <c r="CC22" s="62">
        <f t="shared" si="11"/>
        <v>274.88088644056211</v>
      </c>
      <c r="CD22" s="62">
        <f ca="1">AVERAGE(OFFSET($CC$3,0,0,'Données projet'!$E$12+1,1))-AVERAGE(OFFSET($H$3,0,0,'Données projet'!$E$12+1,1))</f>
        <v>300.72820267660154</v>
      </c>
      <c r="CE22" s="62">
        <f t="shared" si="40"/>
        <v>228.35388778608589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1.8269230769230771</v>
      </c>
      <c r="CT22" s="13">
        <f>IF('Données projet'!$A$140&gt;35,CT21+CS22-DB21,IF(A22&lt;'Données projet'!$A$140,$CQ$205^A22,IF(A22='Données projet'!$A$140,'Données projet'!$B$140,CT21+CS22-DB21)))</f>
        <v>30.521982882527599</v>
      </c>
      <c r="CU22" s="18">
        <f>CT22*VLOOKUP('Données projet'!$B$13,Paramètres!$A$1:$I$89,3,0)*VLOOKUP('Données projet'!$B$13,Paramètres!$A$1:$I$89,5,0)</f>
        <v>26.187861313208685</v>
      </c>
      <c r="CV22" s="14">
        <f t="shared" si="41"/>
        <v>8.2524946871753517</v>
      </c>
      <c r="CW22" s="22">
        <f t="shared" si="13"/>
        <v>59.983620034002193</v>
      </c>
      <c r="CX22" s="62">
        <f t="shared" si="14"/>
        <v>239.95258106117578</v>
      </c>
      <c r="CY22" s="62">
        <f ca="1">AVERAGE(OFFSET($CX$3,0,0,'Données projet'!$E$13+1,1))-AVERAGE(OFFSET($H$3,0,0,'Données projet'!$E$13+1,1))</f>
        <v>384.3367849108829</v>
      </c>
      <c r="CZ22" s="62">
        <f t="shared" si="42"/>
        <v>238.2697272367603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3.4425641025641025</v>
      </c>
      <c r="DO22" s="13">
        <f>IF('Données projet'!$A$166&gt;35,DO21+DN22-DW21,IF(A22&lt;'Données projet'!$A$166,$DL$205^A22,IF(A22='Données projet'!$A$166,'Données projet'!$B$166,DO21+DN22-DW21)))</f>
        <v>18.859727670267663</v>
      </c>
      <c r="DP22" s="18">
        <f>DO22*VLOOKUP('Données projet'!$B$14,Paramètres!$A$1:$I$89,3,0)*VLOOKUP('Données projet'!$B$14,Paramètres!$A$1:$I$89,5,0)</f>
        <v>8.8263525496852662</v>
      </c>
      <c r="DQ22" s="14">
        <f t="shared" si="43"/>
        <v>3.1567805742066648</v>
      </c>
      <c r="DR22" s="22">
        <f t="shared" si="16"/>
        <v>20.870623524111782</v>
      </c>
      <c r="DS22" s="62">
        <f t="shared" si="17"/>
        <v>200.83958455128536</v>
      </c>
      <c r="DT22" s="62">
        <f ca="1">AVERAGE(OFFSET($DS$3,0,0,'Données projet'!$E$14+1,1))-AVERAGE(OFFSET($H$3,0,0,'Données projet'!$E$14+1,1))</f>
        <v>304.1100958939968</v>
      </c>
      <c r="DU22" s="62">
        <f t="shared" si="44"/>
        <v>184.1255966824568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1.8269230769230771</v>
      </c>
      <c r="EJ22" s="13">
        <f>IF('Données projet'!$A$192&gt;35,EJ21+EI22-ER21,IF(A22&lt;'Données projet'!$A$192,$EG$205^A22,IF(A22='Données projet'!$A$192,'Données projet'!$B$192,EJ21+EI22-ER21)))</f>
        <v>30.521982882527599</v>
      </c>
      <c r="EK22" s="18">
        <f>EJ22*VLOOKUP('Données projet'!$B$15,Paramètres!$A$1:$I$89,3,0)*VLOOKUP('Données projet'!$B$15,Paramètres!$A$1:$I$89,5,0)</f>
        <v>30.949290642882985</v>
      </c>
      <c r="EL22" s="14">
        <f t="shared" si="45"/>
        <v>9.5651332153369655</v>
      </c>
      <c r="EM22" s="22">
        <f t="shared" si="19"/>
        <v>70.562621553066407</v>
      </c>
      <c r="EN22" s="62">
        <f t="shared" si="20"/>
        <v>250.53158258023998</v>
      </c>
      <c r="EO22" s="62">
        <f ca="1">AVERAGE(OFFSET($EN$3,0,0,'Données projet'!$E$15+1,1))-AVERAGE(OFFSET($H$3,0,0,'Données projet'!$E$15+1,1))</f>
        <v>435.03433721979218</v>
      </c>
      <c r="EP22" s="62">
        <f t="shared" si="46"/>
        <v>267.10015759286387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1.8269230769230771</v>
      </c>
      <c r="FE22" s="13">
        <f>IF('Données projet'!$A$218&gt;35,FE21+FD22-FM21,IF(A22&lt;'Données projet'!$A$218,$FB$205^A22,IF(A22='Données projet'!$A$218,'Données projet'!$B$218,FE21+FD22-FM21)))</f>
        <v>30.521982882527599</v>
      </c>
      <c r="FF22" s="18">
        <f>FE22*VLOOKUP('Données projet'!$B$16,Paramètres!$A$1:$I$89,3,0)*VLOOKUP('Données projet'!$B$16,Paramètres!$A$1:$I$89,5,0)</f>
        <v>31.901576508817847</v>
      </c>
      <c r="FG22" s="14">
        <f t="shared" si="47"/>
        <v>9.82472666472189</v>
      </c>
      <c r="FH22" s="22">
        <f t="shared" si="22"/>
        <v>72.673311360581707</v>
      </c>
      <c r="FI22" s="62">
        <f t="shared" si="23"/>
        <v>252.64227238775527</v>
      </c>
      <c r="FJ22" s="62">
        <f ca="1">AVERAGE(OFFSET($FI$3,0,0,'Données projet'!$E$16+1,1))-AVERAGE(OFFSET($H$3,0,0,'Données projet'!$E$16+1,1))</f>
        <v>445.15313998584293</v>
      </c>
      <c r="FK22" s="62">
        <f t="shared" si="48"/>
        <v>272.85357736694834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0.9</v>
      </c>
      <c r="FZ22" s="13">
        <f>IF('Données projet'!$A$244&gt;35,FZ21+FY22-GH21,IF(A22&lt;'Données projet'!$A$244,$FW$205^A22,IF(A22='Données projet'!$A$244,'Données projet'!$B$244,FZ21+FY22-GH21)))</f>
        <v>15.577898860219406</v>
      </c>
      <c r="GA22" s="18">
        <f>FZ22*VLOOKUP('Données projet'!$B$17,Paramètres!$A$1:$I$89,3,0)*VLOOKUP('Données projet'!$B$17,Paramètres!$A$1:$I$89,5,0)</f>
        <v>13.608852444287676</v>
      </c>
      <c r="GB22" s="14">
        <f t="shared" si="49"/>
        <v>4.6280361954652021</v>
      </c>
      <c r="GC22" s="22">
        <f t="shared" si="25"/>
        <v>31.762581047569586</v>
      </c>
      <c r="GD22" s="62">
        <f t="shared" si="26"/>
        <v>211.73154207474317</v>
      </c>
      <c r="GE22" s="62">
        <f ca="1">AVERAGE(OFFSET($GD$3,0,0,'Données projet'!$E$17+1,1))-AVERAGE(OFFSET($H$3,0,0,'Données projet'!$E$17+1,1))</f>
        <v>248.82613595888964</v>
      </c>
      <c r="GF22" s="62">
        <f t="shared" si="50"/>
        <v>255.8298580882084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135.66666666666666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36.176923076923075</v>
      </c>
      <c r="L23" s="13">
        <f>VLOOKUP(A23,'Données projet'!$A$35:$I$55,9,0)</f>
        <v>3.0276923076923068</v>
      </c>
      <c r="M23" s="13">
        <f t="array" ref="M23">INDEX(L:L,MIN(IF(ISNUMBER(L23:L219),ROW(L23:L219),"")))</f>
        <v>3.0276923076923068</v>
      </c>
      <c r="N23" s="14">
        <f>IF('Données projet'!$A$36&gt;35,N22+M23-V22,IF(A23&lt;'Données projet'!$A$36,$K$205^A23,IF(A23='Données projet'!$A$36,'Données projet'!$B$36,N22+M23-V22)))</f>
        <v>36.176923076923067</v>
      </c>
      <c r="O23" s="14">
        <f>N23*VLOOKUP('Données projet'!$B$9,Paramètres!$A$1:$I$89,3,0)*VLOOKUP('Données projet'!$B$9,Paramètres!$A$1:$I$89,5,0)</f>
        <v>21.163499999999996</v>
      </c>
      <c r="P23" s="14">
        <f t="shared" si="33"/>
        <v>6.8366157825945306</v>
      </c>
      <c r="Q23" s="22">
        <f t="shared" si="2"/>
        <v>48.766868321352128</v>
      </c>
      <c r="R23" s="62">
        <f t="shared" si="0"/>
        <v>231.69143893165582</v>
      </c>
      <c r="S23" s="62">
        <f ca="1">AVERAGE(OFFSET($R$3,0,0,'Données projet'!$E$9+1,1))-AVERAGE(OFFSET($H$3,0,0,'Données projet'!$E$9+1,1))</f>
        <v>221.18884567967481</v>
      </c>
      <c r="T23" s="62">
        <f t="shared" si="34"/>
        <v>189.31596996710888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34.9</v>
      </c>
      <c r="AG23" s="13">
        <f>VLOOKUP(A23,'Données projet'!$A$61:$I$81,9,0)</f>
        <v>1.9558333333333331</v>
      </c>
      <c r="AH23" s="13">
        <f t="array" ref="AH23">INDEX(AG:AG,MIN(IF(ISNUMBER(AG23:AG219),ROW(AG23:AG219),"")))</f>
        <v>1.9558333333333331</v>
      </c>
      <c r="AI23" s="14">
        <f>IF('Données projet'!$A$62&gt;35,AI22+AH23-AQ22,IF(A23&lt;'Données projet'!$A$62,$AF$205^A23,IF(A23='Données projet'!$A$62,'Données projet'!$B$62,AI22+AH23-AQ22)))</f>
        <v>34.900000000000006</v>
      </c>
      <c r="AJ23" s="14">
        <f>AI23*VLOOKUP('Données projet'!$B$10,Paramètres!$A$1:$I$89,3,0)*VLOOKUP('Données projet'!$B$10,Paramètres!$A$1:$I$89,5,0)</f>
        <v>40.204800000000006</v>
      </c>
      <c r="AK23" s="14">
        <f t="shared" si="35"/>
        <v>12.052913024749227</v>
      </c>
      <c r="AL23" s="22">
        <f t="shared" si="4"/>
        <v>91.01551685143825</v>
      </c>
      <c r="AM23" s="62">
        <f t="shared" si="5"/>
        <v>273.94008746174194</v>
      </c>
      <c r="AN23" s="62">
        <f ca="1">AVERAGE(OFFSET($AM$3,0,0,'Données projet'!$E$10+1,1))-AVERAGE(OFFSET($H$3,0,0,'Données projet'!$E$10+1,1))</f>
        <v>314.72063458462026</v>
      </c>
      <c r="AO23" s="62">
        <f t="shared" si="36"/>
        <v>216.4380325968244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36.53846153846154</v>
      </c>
      <c r="BB23" s="13">
        <f>VLOOKUP(A23,'Données projet'!$A$87:$I$107,9,0)</f>
        <v>1.8269230769230771</v>
      </c>
      <c r="BC23" s="13">
        <f t="array" ref="BC23">INDEX(BB:BB,MIN(IF(ISNUMBER(BB23:BB219),ROW(BB23:BB219),"")))</f>
        <v>1.8269230769230771</v>
      </c>
      <c r="BD23" s="13">
        <f>IF('Données projet'!$A$88&gt;35,BD22+BC23-BL22,IF(A23&lt;'Données projet'!$A$88,$BA$205^A23,IF(A23='Données projet'!$A$88,'Données projet'!$B$88,BD22+BC23-BL22)))</f>
        <v>36.53846153846154</v>
      </c>
      <c r="BE23" s="14">
        <f>BD23*VLOOKUP('Données projet'!$B$11,Paramètres!$A$1:$I$89,3,0)*VLOOKUP('Données projet'!$B$11,Paramètres!$A$1:$I$89,5,0)</f>
        <v>39.33</v>
      </c>
      <c r="BF23" s="14">
        <f t="shared" si="37"/>
        <v>11.820889126791311</v>
      </c>
      <c r="BG23" s="22">
        <f t="shared" si="7"/>
        <v>89.087798562494868</v>
      </c>
      <c r="BH23" s="62">
        <f t="shared" si="8"/>
        <v>272.01236917279857</v>
      </c>
      <c r="BI23" s="62">
        <f ca="1">AVERAGE(OFFSET($BH$3,0,0,'Données projet'!$E$11+1,1))-AVERAGE(OFFSET($H$3,0,0,'Données projet'!$E$11+1,1))</f>
        <v>455.26558725507834</v>
      </c>
      <c r="BJ23" s="62">
        <f t="shared" si="38"/>
        <v>278.60310966788552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85.7</v>
      </c>
      <c r="BW23" s="13">
        <f>VLOOKUP(A23,'Données projet'!$A$113:$I$133,9,0)</f>
        <v>4.9800000000000013</v>
      </c>
      <c r="BX23" s="13">
        <f t="array" ref="BX23">INDEX(BW:BW,MIN(IF(ISNUMBER(BW23:BW219),ROW(BW23:BW219),"")))</f>
        <v>4.9800000000000013</v>
      </c>
      <c r="BY23" s="13">
        <f>IF('Données projet'!$A$114&gt;35,BY22+BX23-CG22,IF(A23&lt;'Données projet'!$A$114,$BV$205^A23,IF(A23='Données projet'!$A$114,'Données projet'!$B$114,BY22+BX23-CG22)))</f>
        <v>85.700000000000017</v>
      </c>
      <c r="BZ23" s="14">
        <f>BY23*VLOOKUP('Données projet'!$B$12,Paramètres!$A$1:$I$89,3,0)*VLOOKUP('Données projet'!$B$12,Paramètres!$A$1:$I$89,5,0)</f>
        <v>44.564000000000014</v>
      </c>
      <c r="CA23" s="14">
        <f t="shared" si="39"/>
        <v>13.200624381506666</v>
      </c>
      <c r="CB23" s="22">
        <f t="shared" si="10"/>
        <v>100.60672079779079</v>
      </c>
      <c r="CC23" s="62">
        <f t="shared" si="11"/>
        <v>283.53129140809449</v>
      </c>
      <c r="CD23" s="62">
        <f ca="1">AVERAGE(OFFSET($CC$3,0,0,'Données projet'!$E$12+1,1))-AVERAGE(OFFSET($H$3,0,0,'Données projet'!$E$12+1,1))</f>
        <v>300.72820267660154</v>
      </c>
      <c r="CE23" s="62">
        <f t="shared" si="40"/>
        <v>228.35388778608589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36.53846153846154</v>
      </c>
      <c r="CR23" s="13">
        <f>VLOOKUP(A23,'Données projet'!$A$139:$I$159,9,0)</f>
        <v>1.8269230769230771</v>
      </c>
      <c r="CS23" s="13">
        <f t="array" ref="CS23">INDEX(CR:CR,MIN(IF(ISNUMBER(CR23:CR219),ROW(CR23:CR219),"")))</f>
        <v>1.8269230769230771</v>
      </c>
      <c r="CT23" s="13">
        <f>IF('Données projet'!$A$140&gt;35,CT22+CS23-DB22,IF(A23&lt;'Données projet'!$A$140,$CQ$205^A23,IF(A23='Données projet'!$A$140,'Données projet'!$B$140,CT22+CS23-DB22)))</f>
        <v>36.53846153846154</v>
      </c>
      <c r="CU23" s="18">
        <f>CT23*VLOOKUP('Données projet'!$B$13,Paramètres!$A$1:$I$89,3,0)*VLOOKUP('Données projet'!$B$13,Paramètres!$A$1:$I$89,5,0)</f>
        <v>31.350000000000009</v>
      </c>
      <c r="CV23" s="14">
        <f t="shared" si="41"/>
        <v>9.6744784103817985</v>
      </c>
      <c r="CW23" s="22">
        <f t="shared" si="13"/>
        <v>71.450966564748299</v>
      </c>
      <c r="CX23" s="62">
        <f t="shared" si="14"/>
        <v>254.37553717505199</v>
      </c>
      <c r="CY23" s="62">
        <f ca="1">AVERAGE(OFFSET($CX$3,0,0,'Données projet'!$E$13+1,1))-AVERAGE(OFFSET($H$3,0,0,'Données projet'!$E$13+1,1))</f>
        <v>384.3367849108829</v>
      </c>
      <c r="CZ23" s="62">
        <f t="shared" si="42"/>
        <v>238.2697272367603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3.4425641025641025</v>
      </c>
      <c r="DO23" s="13">
        <f>IF('Données projet'!$A$166&gt;35,DO22+DN23-DW22,IF(A23&lt;'Données projet'!$A$166,$DL$205^A23,IF(A23='Données projet'!$A$166,'Données projet'!$B$166,DO22+DN23-DW22)))</f>
        <v>22.012474220583886</v>
      </c>
      <c r="DP23" s="18">
        <f>DO23*VLOOKUP('Données projet'!$B$14,Paramètres!$A$1:$I$89,3,0)*VLOOKUP('Données projet'!$B$14,Paramètres!$A$1:$I$89,5,0)</f>
        <v>10.301837935233259</v>
      </c>
      <c r="DQ23" s="14">
        <f t="shared" si="43"/>
        <v>3.6187910342764393</v>
      </c>
      <c r="DR23" s="22">
        <f t="shared" si="16"/>
        <v>24.245095455229389</v>
      </c>
      <c r="DS23" s="62">
        <f t="shared" si="17"/>
        <v>207.16966606553308</v>
      </c>
      <c r="DT23" s="62">
        <f ca="1">AVERAGE(OFFSET($DS$3,0,0,'Données projet'!$E$14+1,1))-AVERAGE(OFFSET($H$3,0,0,'Données projet'!$E$14+1,1))</f>
        <v>304.1100958939968</v>
      </c>
      <c r="DU23" s="62">
        <f t="shared" si="44"/>
        <v>184.1255966824568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36.53846153846154</v>
      </c>
      <c r="EH23" s="13">
        <f>VLOOKUP(A23,'Données projet'!$A$191:$I$211,9,0)</f>
        <v>1.8269230769230771</v>
      </c>
      <c r="EI23" s="13">
        <f t="array" ref="EI23">INDEX(EH:EH,MIN(IF(ISNUMBER(EH23:EH219),ROW(EH23:EH219),"")))</f>
        <v>1.8269230769230771</v>
      </c>
      <c r="EJ23" s="13">
        <f>IF('Données projet'!$A$192&gt;35,EJ22+EI23-ER22,IF(A23&lt;'Données projet'!$A$192,$EG$205^A23,IF(A23='Données projet'!$A$192,'Données projet'!$B$192,EJ22+EI23-ER22)))</f>
        <v>36.53846153846154</v>
      </c>
      <c r="EK23" s="18">
        <f>EJ23*VLOOKUP('Données projet'!$B$15,Paramètres!$A$1:$I$89,3,0)*VLOOKUP('Données projet'!$B$15,Paramètres!$A$1:$I$89,5,0)</f>
        <v>37.050000000000004</v>
      </c>
      <c r="EL23" s="14">
        <f t="shared" si="45"/>
        <v>11.213297104936025</v>
      </c>
      <c r="EM23" s="22">
        <f t="shared" si="19"/>
        <v>84.058575791096914</v>
      </c>
      <c r="EN23" s="62">
        <f t="shared" si="20"/>
        <v>266.98314640140063</v>
      </c>
      <c r="EO23" s="62">
        <f ca="1">AVERAGE(OFFSET($EN$3,0,0,'Données projet'!$E$15+1,1))-AVERAGE(OFFSET($H$3,0,0,'Données projet'!$E$15+1,1))</f>
        <v>435.03433721979218</v>
      </c>
      <c r="EP23" s="62">
        <f t="shared" si="46"/>
        <v>267.10015759286387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36.53846153846154</v>
      </c>
      <c r="FC23" s="13">
        <f>VLOOKUP(A23,'Données projet'!$A$217:$I$237,9,0)</f>
        <v>1.8269230769230771</v>
      </c>
      <c r="FD23" s="13">
        <f t="array" ref="FD23">INDEX(FC:FC,MIN(IF(ISNUMBER(FC23:FC219),ROW(FC23:FC219),"")))</f>
        <v>1.8269230769230771</v>
      </c>
      <c r="FE23" s="13">
        <f>IF('Données projet'!$A$218&gt;35,FE22+FD23-FM22,IF(A23&lt;'Données projet'!$A$218,$FB$205^A23,IF(A23='Données projet'!$A$218,'Données projet'!$B$218,FE22+FD23-FM22)))</f>
        <v>36.53846153846154</v>
      </c>
      <c r="FF23" s="18">
        <f>FE23*VLOOKUP('Données projet'!$B$16,Paramètres!$A$1:$I$89,3,0)*VLOOKUP('Données projet'!$B$16,Paramètres!$A$1:$I$89,5,0)</f>
        <v>38.190000000000005</v>
      </c>
      <c r="FG23" s="14">
        <f t="shared" si="47"/>
        <v>11.517620987198425</v>
      </c>
      <c r="FH23" s="22">
        <f t="shared" si="22"/>
        <v>86.574106552703938</v>
      </c>
      <c r="FI23" s="62">
        <f t="shared" si="23"/>
        <v>269.49867716300764</v>
      </c>
      <c r="FJ23" s="62">
        <f ca="1">AVERAGE(OFFSET($FI$3,0,0,'Données projet'!$E$16+1,1))-AVERAGE(OFFSET($H$3,0,0,'Données projet'!$E$16+1,1))</f>
        <v>445.15313998584293</v>
      </c>
      <c r="FK23" s="62">
        <f t="shared" si="48"/>
        <v>272.85357736694834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18</v>
      </c>
      <c r="FX23" s="13">
        <f>VLOOKUP(A23,'Données projet'!$A$243:$I$263,9,0)</f>
        <v>0.9</v>
      </c>
      <c r="FY23" s="13">
        <f t="array" ref="FY23">INDEX(FX:FX,MIN(IF(ISNUMBER(FX23:FX219),ROW(FX23:FX219),"")))</f>
        <v>0.9</v>
      </c>
      <c r="FZ23" s="13">
        <f>IF('Données projet'!$A$244&gt;35,FZ22+FY23-GH22,IF(A23&lt;'Données projet'!$A$244,$FW$205^A23,IF(A23='Données projet'!$A$244,'Données projet'!$B$244,FZ22+FY23-GH22)))</f>
        <v>18</v>
      </c>
      <c r="GA23" s="18">
        <f>FZ23*VLOOKUP('Données projet'!$B$17,Paramètres!$A$1:$I$89,3,0)*VLOOKUP('Données projet'!$B$17,Paramètres!$A$1:$I$89,5,0)</f>
        <v>15.724800000000004</v>
      </c>
      <c r="GB23" s="14">
        <f t="shared" si="49"/>
        <v>5.2584129176484753</v>
      </c>
      <c r="GC23" s="22">
        <f t="shared" si="25"/>
        <v>36.545762498237771</v>
      </c>
      <c r="GD23" s="62">
        <f t="shared" si="26"/>
        <v>219.47033310854147</v>
      </c>
      <c r="GE23" s="62">
        <f ca="1">AVERAGE(OFFSET($GD$3,0,0,'Données projet'!$E$17+1,1))-AVERAGE(OFFSET($H$3,0,0,'Données projet'!$E$17+1,1))</f>
        <v>248.82613595888964</v>
      </c>
      <c r="GF23" s="62">
        <f t="shared" si="50"/>
        <v>255.8298580882084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135.66666666666666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4.4723076923076919</v>
      </c>
      <c r="N24" s="14">
        <f>IF('Données projet'!$A$36&gt;35,N23+M24-V23,IF(A24&lt;'Données projet'!$A$36,$K$205^A24,IF(A24='Données projet'!$A$36,'Données projet'!$B$36,N23+M24-V23)))</f>
        <v>40.649230769230762</v>
      </c>
      <c r="O24" s="14">
        <f>N24*VLOOKUP('Données projet'!$B$9,Paramètres!$A$1:$I$89,3,0)*VLOOKUP('Données projet'!$B$9,Paramètres!$A$1:$I$89,5,0)</f>
        <v>23.779799999999998</v>
      </c>
      <c r="P24" s="14">
        <f t="shared" si="33"/>
        <v>7.5782622172573655</v>
      </c>
      <c r="Q24" s="22">
        <f t="shared" si="2"/>
        <v>54.615291695056577</v>
      </c>
      <c r="R24" s="62">
        <f t="shared" si="0"/>
        <v>240.4654014930523</v>
      </c>
      <c r="S24" s="62">
        <f ca="1">AVERAGE(OFFSET($R$3,0,0,'Données projet'!$E$9+1,1))-AVERAGE(OFFSET($H$3,0,0,'Données projet'!$E$9+1,1))</f>
        <v>221.18884567967481</v>
      </c>
      <c r="T24" s="62">
        <f t="shared" si="34"/>
        <v>189.31596996710888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1.9887500000000009</v>
      </c>
      <c r="AI24" s="14">
        <f>IF('Données projet'!$A$62&gt;35,AI23+AH24-AQ23,IF(A24&lt;'Données projet'!$A$62,$AF$205^A24,IF(A24='Données projet'!$A$62,'Données projet'!$B$62,AI23+AH24-AQ23)))</f>
        <v>36.888750000000009</v>
      </c>
      <c r="AJ24" s="14">
        <f>AI24*VLOOKUP('Données projet'!$B$10,Paramètres!$A$1:$I$89,3,0)*VLOOKUP('Données projet'!$B$10,Paramètres!$A$1:$I$89,5,0)</f>
        <v>42.495840000000008</v>
      </c>
      <c r="AK24" s="14">
        <f t="shared" si="35"/>
        <v>12.657821296361272</v>
      </c>
      <c r="AL24" s="22">
        <f t="shared" si="4"/>
        <v>96.059293424495877</v>
      </c>
      <c r="AM24" s="62">
        <f t="shared" si="5"/>
        <v>281.90940322249162</v>
      </c>
      <c r="AN24" s="62">
        <f ca="1">AVERAGE(OFFSET($AM$3,0,0,'Données projet'!$E$10+1,1))-AVERAGE(OFFSET($H$3,0,0,'Données projet'!$E$10+1,1))</f>
        <v>314.72063458462026</v>
      </c>
      <c r="AO24" s="62">
        <f t="shared" si="36"/>
        <v>216.4380325968244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4.7435897435897427</v>
      </c>
      <c r="BD24" s="13">
        <f>IF('Données projet'!$A$88&gt;35,BD23+BC24-BL23,IF(A24&lt;'Données projet'!$A$88,$BA$205^A24,IF(A24='Données projet'!$A$88,'Données projet'!$B$88,BD23+BC24-BL23)))</f>
        <v>41.282051282051285</v>
      </c>
      <c r="BE24" s="14">
        <f>BD24*VLOOKUP('Données projet'!$B$11,Paramètres!$A$1:$I$89,3,0)*VLOOKUP('Données projet'!$B$11,Paramètres!$A$1:$I$89,5,0)</f>
        <v>44.436</v>
      </c>
      <c r="BF24" s="14">
        <f t="shared" si="37"/>
        <v>13.167116370001004</v>
      </c>
      <c r="BG24" s="22">
        <f t="shared" si="7"/>
        <v>100.32542767775175</v>
      </c>
      <c r="BH24" s="62">
        <f t="shared" si="8"/>
        <v>286.17553747574743</v>
      </c>
      <c r="BI24" s="62">
        <f ca="1">AVERAGE(OFFSET($BH$3,0,0,'Données projet'!$E$11+1,1))-AVERAGE(OFFSET($H$3,0,0,'Données projet'!$E$11+1,1))</f>
        <v>455.26558725507834</v>
      </c>
      <c r="BJ24" s="62">
        <f t="shared" si="38"/>
        <v>278.60310966788552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4.74</v>
      </c>
      <c r="BY24" s="13">
        <f>IF('Données projet'!$A$114&gt;35,BY23+BX24-CG23,IF(A24&lt;'Données projet'!$A$114,$BV$205^A24,IF(A24='Données projet'!$A$114,'Données projet'!$B$114,BY23+BX24-CG23)))</f>
        <v>90.440000000000012</v>
      </c>
      <c r="BZ24" s="14">
        <f>BY24*VLOOKUP('Données projet'!$B$12,Paramètres!$A$1:$I$89,3,0)*VLOOKUP('Données projet'!$B$12,Paramètres!$A$1:$I$89,5,0)</f>
        <v>47.028800000000011</v>
      </c>
      <c r="CA24" s="14">
        <f t="shared" si="39"/>
        <v>13.843719928712767</v>
      </c>
      <c r="CB24" s="22">
        <f t="shared" si="10"/>
        <v>106.01963887584141</v>
      </c>
      <c r="CC24" s="62">
        <f t="shared" si="11"/>
        <v>291.86974867383714</v>
      </c>
      <c r="CD24" s="62">
        <f ca="1">AVERAGE(OFFSET($CC$3,0,0,'Données projet'!$E$12+1,1))-AVERAGE(OFFSET($H$3,0,0,'Données projet'!$E$12+1,1))</f>
        <v>300.72820267660154</v>
      </c>
      <c r="CE24" s="62">
        <f t="shared" si="40"/>
        <v>228.35388778608589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4.7435897435897427</v>
      </c>
      <c r="CT24" s="13">
        <f>IF('Données projet'!$A$140&gt;35,CT23+CS24-DB23,IF(A24&lt;'Données projet'!$A$140,$CQ$205^A24,IF(A24='Données projet'!$A$140,'Données projet'!$B$140,CT23+CS24-DB23)))</f>
        <v>41.282051282051285</v>
      </c>
      <c r="CU24" s="18">
        <f>CT24*VLOOKUP('Données projet'!$B$13,Paramètres!$A$1:$I$89,3,0)*VLOOKUP('Données projet'!$B$13,Paramètres!$A$1:$I$89,5,0)</f>
        <v>35.420000000000009</v>
      </c>
      <c r="CV24" s="14">
        <f t="shared" si="41"/>
        <v>10.776260709513746</v>
      </c>
      <c r="CW24" s="22">
        <f t="shared" si="13"/>
        <v>80.458487402403108</v>
      </c>
      <c r="CX24" s="62">
        <f t="shared" si="14"/>
        <v>266.30859720039882</v>
      </c>
      <c r="CY24" s="62">
        <f ca="1">AVERAGE(OFFSET($CX$3,0,0,'Données projet'!$E$13+1,1))-AVERAGE(OFFSET($H$3,0,0,'Données projet'!$E$13+1,1))</f>
        <v>384.3367849108829</v>
      </c>
      <c r="CZ24" s="62">
        <f t="shared" si="42"/>
        <v>238.2697272367603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3.4425641025641025</v>
      </c>
      <c r="DO24" s="13">
        <f>IF('Données projet'!$A$166&gt;35,DO23+DN24-DW23,IF(A24&lt;'Données projet'!$A$166,$DL$205^A24,IF(A24='Données projet'!$A$166,'Données projet'!$B$166,DO23+DN24-DW23)))</f>
        <v>25.692259707215236</v>
      </c>
      <c r="DP24" s="18">
        <f>DO24*VLOOKUP('Données projet'!$B$14,Paramètres!$A$1:$I$89,3,0)*VLOOKUP('Données projet'!$B$14,Paramètres!$A$1:$I$89,5,0)</f>
        <v>12.023977542976729</v>
      </c>
      <c r="DQ24" s="14">
        <f t="shared" si="43"/>
        <v>4.1484190116858626</v>
      </c>
      <c r="DR24" s="22">
        <f t="shared" si="16"/>
        <v>28.166923999370677</v>
      </c>
      <c r="DS24" s="62">
        <f t="shared" si="17"/>
        <v>214.01703379736639</v>
      </c>
      <c r="DT24" s="62">
        <f ca="1">AVERAGE(OFFSET($DS$3,0,0,'Données projet'!$E$14+1,1))-AVERAGE(OFFSET($H$3,0,0,'Données projet'!$E$14+1,1))</f>
        <v>304.1100958939968</v>
      </c>
      <c r="DU24" s="62">
        <f t="shared" si="44"/>
        <v>184.1255966824568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4.7435897435897427</v>
      </c>
      <c r="EJ24" s="13">
        <f>IF('Données projet'!$A$192&gt;35,EJ23+EI24-ER23,IF(A24&lt;'Données projet'!$A$192,$EG$205^A24,IF(A24='Données projet'!$A$192,'Données projet'!$B$192,EJ23+EI24-ER23)))</f>
        <v>41.282051282051285</v>
      </c>
      <c r="EK24" s="18">
        <f>EJ24*VLOOKUP('Données projet'!$B$15,Paramètres!$A$1:$I$89,3,0)*VLOOKUP('Données projet'!$B$15,Paramètres!$A$1:$I$89,5,0)</f>
        <v>41.860000000000007</v>
      </c>
      <c r="EL24" s="14">
        <f t="shared" si="45"/>
        <v>12.490328459088218</v>
      </c>
      <c r="EM24" s="22">
        <f t="shared" si="19"/>
        <v>94.66015539957867</v>
      </c>
      <c r="EN24" s="62">
        <f t="shared" si="20"/>
        <v>280.51026519757437</v>
      </c>
      <c r="EO24" s="62">
        <f ca="1">AVERAGE(OFFSET($EN$3,0,0,'Données projet'!$E$15+1,1))-AVERAGE(OFFSET($H$3,0,0,'Données projet'!$E$15+1,1))</f>
        <v>435.03433721979218</v>
      </c>
      <c r="EP24" s="62">
        <f t="shared" si="46"/>
        <v>267.10015759286387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4.7435897435897427</v>
      </c>
      <c r="FE24" s="13">
        <f>IF('Données projet'!$A$218&gt;35,FE23+FD24-FM23,IF(A24&lt;'Données projet'!$A$218,$FB$205^A24,IF(A24='Données projet'!$A$218,'Données projet'!$B$218,FE23+FD24-FM23)))</f>
        <v>41.282051282051285</v>
      </c>
      <c r="FF24" s="18">
        <f>FE24*VLOOKUP('Données projet'!$B$16,Paramètres!$A$1:$I$89,3,0)*VLOOKUP('Données projet'!$B$16,Paramètres!$A$1:$I$89,5,0)</f>
        <v>43.148000000000003</v>
      </c>
      <c r="FG24" s="14">
        <f t="shared" si="47"/>
        <v>12.829310402742328</v>
      </c>
      <c r="FH24" s="22">
        <f t="shared" si="22"/>
        <v>97.493815618109565</v>
      </c>
      <c r="FI24" s="62">
        <f t="shared" si="23"/>
        <v>283.34392541610526</v>
      </c>
      <c r="FJ24" s="62">
        <f ca="1">AVERAGE(OFFSET($FI$3,0,0,'Données projet'!$E$16+1,1))-AVERAGE(OFFSET($H$3,0,0,'Données projet'!$E$16+1,1))</f>
        <v>445.15313998584293</v>
      </c>
      <c r="FK24" s="62">
        <f t="shared" si="48"/>
        <v>272.85357736694834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7.6</v>
      </c>
      <c r="FZ24" s="13">
        <f>IF('Données projet'!$A$244&gt;35,FZ23+FY24-GH23,IF(A24&lt;'Données projet'!$A$244,$FW$205^A24,IF(A24='Données projet'!$A$244,'Données projet'!$B$244,FZ23+FY24-GH23)))</f>
        <v>25.6</v>
      </c>
      <c r="GA24" s="18">
        <f>FZ24*VLOOKUP('Données projet'!$B$17,Paramètres!$A$1:$I$89,3,0)*VLOOKUP('Données projet'!$B$17,Paramètres!$A$1:$I$89,5,0)</f>
        <v>22.364160000000005</v>
      </c>
      <c r="GB24" s="14">
        <f t="shared" si="49"/>
        <v>7.1782194944528523</v>
      </c>
      <c r="GC24" s="22">
        <f t="shared" si="25"/>
        <v>51.452977619505397</v>
      </c>
      <c r="GD24" s="62">
        <f t="shared" si="26"/>
        <v>237.3030874175011</v>
      </c>
      <c r="GE24" s="62">
        <f ca="1">AVERAGE(OFFSET($GD$3,0,0,'Données projet'!$E$17+1,1))-AVERAGE(OFFSET($H$3,0,0,'Données projet'!$E$17+1,1))</f>
        <v>248.82613595888964</v>
      </c>
      <c r="GF24" s="62">
        <f t="shared" si="50"/>
        <v>255.8298580882084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135.66666666666666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4.4723076923076919</v>
      </c>
      <c r="N25" s="14">
        <f>IF('Données projet'!$A$36&gt;35,N24+M25-V24,IF(A25&lt;'Données projet'!$A$36,$K$205^A25,IF(A25='Données projet'!$A$36,'Données projet'!$B$36,N24+M25-V24)))</f>
        <v>45.121538461538456</v>
      </c>
      <c r="O25" s="14">
        <f>N25*VLOOKUP('Données projet'!$B$9,Paramètres!$A$1:$I$89,3,0)*VLOOKUP('Données projet'!$B$9,Paramètres!$A$1:$I$89,5,0)</f>
        <v>26.396100000000001</v>
      </c>
      <c r="P25" s="14">
        <f t="shared" si="33"/>
        <v>8.3104511541894546</v>
      </c>
      <c r="Q25" s="22">
        <f t="shared" si="2"/>
        <v>60.447243260213298</v>
      </c>
      <c r="R25" s="62">
        <f t="shared" si="0"/>
        <v>249.1933435045963</v>
      </c>
      <c r="S25" s="62">
        <f ca="1">AVERAGE(OFFSET($R$3,0,0,'Données projet'!$E$9+1,1))-AVERAGE(OFFSET($H$3,0,0,'Données projet'!$E$9+1,1))</f>
        <v>221.18884567967481</v>
      </c>
      <c r="T25" s="62">
        <f t="shared" si="34"/>
        <v>189.31596996710888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1.9887500000000009</v>
      </c>
      <c r="AI25" s="14">
        <f>IF('Données projet'!$A$62&gt;35,AI24+AH25-AQ24,IF(A25&lt;'Données projet'!$A$62,$AF$205^A25,IF(A25='Données projet'!$A$62,'Données projet'!$B$62,AI24+AH25-AQ24)))</f>
        <v>38.877500000000012</v>
      </c>
      <c r="AJ25" s="14">
        <f>AI25*VLOOKUP('Données projet'!$B$10,Paramètres!$A$1:$I$89,3,0)*VLOOKUP('Données projet'!$B$10,Paramètres!$A$1:$I$89,5,0)</f>
        <v>44.786880000000011</v>
      </c>
      <c r="AK25" s="14">
        <f t="shared" si="35"/>
        <v>13.258943495431026</v>
      </c>
      <c r="AL25" s="22">
        <f t="shared" si="4"/>
        <v>101.09647592120905</v>
      </c>
      <c r="AM25" s="62">
        <f t="shared" si="5"/>
        <v>289.84257616559205</v>
      </c>
      <c r="AN25" s="62">
        <f ca="1">AVERAGE(OFFSET($AM$3,0,0,'Données projet'!$E$10+1,1))-AVERAGE(OFFSET($H$3,0,0,'Données projet'!$E$10+1,1))</f>
        <v>314.72063458462026</v>
      </c>
      <c r="AO25" s="62">
        <f t="shared" si="36"/>
        <v>216.4380325968244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4.7435897435897427</v>
      </c>
      <c r="BD25" s="13">
        <f>IF('Données projet'!$A$88&gt;35,BD24+BC25-BL24,IF(A25&lt;'Données projet'!$A$88,$BA$205^A25,IF(A25='Données projet'!$A$88,'Données projet'!$B$88,BD24+BC25-BL24)))</f>
        <v>46.025641025641029</v>
      </c>
      <c r="BE25" s="14">
        <f>BD25*VLOOKUP('Données projet'!$B$11,Paramètres!$A$1:$I$89,3,0)*VLOOKUP('Données projet'!$B$11,Paramètres!$A$1:$I$89,5,0)</f>
        <v>49.542000000000002</v>
      </c>
      <c r="BF25" s="14">
        <f t="shared" si="37"/>
        <v>14.495415893475638</v>
      </c>
      <c r="BG25" s="22">
        <f t="shared" si="7"/>
        <v>111.53183268113673</v>
      </c>
      <c r="BH25" s="62">
        <f t="shared" si="8"/>
        <v>300.27793292551974</v>
      </c>
      <c r="BI25" s="62">
        <f ca="1">AVERAGE(OFFSET($BH$3,0,0,'Données projet'!$E$11+1,1))-AVERAGE(OFFSET($H$3,0,0,'Données projet'!$E$11+1,1))</f>
        <v>455.26558725507834</v>
      </c>
      <c r="BJ25" s="62">
        <f t="shared" si="38"/>
        <v>278.60310966788552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4.74</v>
      </c>
      <c r="BY25" s="13">
        <f>IF('Données projet'!$A$114&gt;35,BY24+BX25-CG24,IF(A25&lt;'Données projet'!$A$114,$BV$205^A25,IF(A25='Données projet'!$A$114,'Données projet'!$B$114,BY24+BX25-CG24)))</f>
        <v>95.18</v>
      </c>
      <c r="BZ25" s="14">
        <f>BY25*VLOOKUP('Données projet'!$B$12,Paramètres!$A$1:$I$89,3,0)*VLOOKUP('Données projet'!$B$12,Paramètres!$A$1:$I$89,5,0)</f>
        <v>49.493600000000008</v>
      </c>
      <c r="CA25" s="14">
        <f t="shared" si="39"/>
        <v>14.482902274825232</v>
      </c>
      <c r="CB25" s="22">
        <f t="shared" si="10"/>
        <v>111.42574146198729</v>
      </c>
      <c r="CC25" s="62">
        <f t="shared" si="11"/>
        <v>300.17184170637029</v>
      </c>
      <c r="CD25" s="62">
        <f ca="1">AVERAGE(OFFSET($CC$3,0,0,'Données projet'!$E$12+1,1))-AVERAGE(OFFSET($H$3,0,0,'Données projet'!$E$12+1,1))</f>
        <v>300.72820267660154</v>
      </c>
      <c r="CE25" s="62">
        <f t="shared" si="40"/>
        <v>228.35388778608589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4.7435897435897427</v>
      </c>
      <c r="CT25" s="13">
        <f>IF('Données projet'!$A$140&gt;35,CT24+CS25-DB24,IF(A25&lt;'Données projet'!$A$140,$CQ$205^A25,IF(A25='Données projet'!$A$140,'Données projet'!$B$140,CT24+CS25-DB24)))</f>
        <v>46.025641025641029</v>
      </c>
      <c r="CU25" s="18">
        <f>CT25*VLOOKUP('Données projet'!$B$13,Paramètres!$A$1:$I$89,3,0)*VLOOKUP('Données projet'!$B$13,Paramètres!$A$1:$I$89,5,0)</f>
        <v>39.490000000000009</v>
      </c>
      <c r="CV25" s="14">
        <f t="shared" si="41"/>
        <v>11.863370564325823</v>
      </c>
      <c r="CW25" s="22">
        <f t="shared" si="13"/>
        <v>89.440453732867482</v>
      </c>
      <c r="CX25" s="62">
        <f t="shared" si="14"/>
        <v>278.18655397725047</v>
      </c>
      <c r="CY25" s="62">
        <f ca="1">AVERAGE(OFFSET($CX$3,0,0,'Données projet'!$E$13+1,1))-AVERAGE(OFFSET($H$3,0,0,'Données projet'!$E$13+1,1))</f>
        <v>384.3367849108829</v>
      </c>
      <c r="CZ25" s="62">
        <f t="shared" si="42"/>
        <v>238.2697272367603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3.4425641025641025</v>
      </c>
      <c r="DO25" s="13">
        <f>IF('Données projet'!$A$166&gt;35,DO24+DN25-DW24,IF(A25&lt;'Données projet'!$A$166,$DL$205^A25,IF(A25='Données projet'!$A$166,'Données projet'!$B$166,DO24+DN25-DW24)))</f>
        <v>29.987188275534368</v>
      </c>
      <c r="DP25" s="18">
        <f>DO25*VLOOKUP('Données projet'!$B$14,Paramètres!$A$1:$I$89,3,0)*VLOOKUP('Données projet'!$B$14,Paramètres!$A$1:$I$89,5,0)</f>
        <v>14.034004112950084</v>
      </c>
      <c r="DQ25" s="14">
        <f t="shared" si="43"/>
        <v>4.7555606647394173</v>
      </c>
      <c r="DR25" s="22">
        <f t="shared" si="16"/>
        <v>32.725158654475884</v>
      </c>
      <c r="DS25" s="62">
        <f t="shared" si="17"/>
        <v>221.47125889885888</v>
      </c>
      <c r="DT25" s="62">
        <f ca="1">AVERAGE(OFFSET($DS$3,0,0,'Données projet'!$E$14+1,1))-AVERAGE(OFFSET($H$3,0,0,'Données projet'!$E$14+1,1))</f>
        <v>304.1100958939968</v>
      </c>
      <c r="DU25" s="62">
        <f t="shared" si="44"/>
        <v>184.1255966824568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4.7435897435897427</v>
      </c>
      <c r="EJ25" s="13">
        <f>IF('Données projet'!$A$192&gt;35,EJ24+EI25-ER24,IF(A25&lt;'Données projet'!$A$192,$EG$205^A25,IF(A25='Données projet'!$A$192,'Données projet'!$B$192,EJ24+EI25-ER24)))</f>
        <v>46.025641025641029</v>
      </c>
      <c r="EK25" s="18">
        <f>EJ25*VLOOKUP('Données projet'!$B$15,Paramètres!$A$1:$I$89,3,0)*VLOOKUP('Données projet'!$B$15,Paramètres!$A$1:$I$89,5,0)</f>
        <v>46.670000000000009</v>
      </c>
      <c r="EL25" s="14">
        <f t="shared" si="45"/>
        <v>13.750353575752944</v>
      </c>
      <c r="EM25" s="22">
        <f t="shared" si="19"/>
        <v>105.23211581110307</v>
      </c>
      <c r="EN25" s="62">
        <f t="shared" si="20"/>
        <v>293.97821605548609</v>
      </c>
      <c r="EO25" s="62">
        <f ca="1">AVERAGE(OFFSET($EN$3,0,0,'Données projet'!$E$15+1,1))-AVERAGE(OFFSET($H$3,0,0,'Données projet'!$E$15+1,1))</f>
        <v>435.03433721979218</v>
      </c>
      <c r="EP25" s="62">
        <f t="shared" si="46"/>
        <v>267.10015759286387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4.7435897435897427</v>
      </c>
      <c r="FE25" s="13">
        <f>IF('Données projet'!$A$218&gt;35,FE24+FD25-FM24,IF(A25&lt;'Données projet'!$A$218,$FB$205^A25,IF(A25='Données projet'!$A$218,'Données projet'!$B$218,FE24+FD25-FM24)))</f>
        <v>46.025641025641029</v>
      </c>
      <c r="FF25" s="18">
        <f>FE25*VLOOKUP('Données projet'!$B$16,Paramètres!$A$1:$I$89,3,0)*VLOOKUP('Données projet'!$B$16,Paramètres!$A$1:$I$89,5,0)</f>
        <v>48.106000000000009</v>
      </c>
      <c r="FG25" s="14">
        <f t="shared" si="47"/>
        <v>14.123532039098192</v>
      </c>
      <c r="FH25" s="22">
        <f t="shared" si="22"/>
        <v>108.3831016347627</v>
      </c>
      <c r="FI25" s="62">
        <f t="shared" si="23"/>
        <v>297.12920187914568</v>
      </c>
      <c r="FJ25" s="62">
        <f ca="1">AVERAGE(OFFSET($FI$3,0,0,'Données projet'!$E$16+1,1))-AVERAGE(OFFSET($H$3,0,0,'Données projet'!$E$16+1,1))</f>
        <v>445.15313998584293</v>
      </c>
      <c r="FK25" s="62">
        <f t="shared" si="48"/>
        <v>272.85357736694834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7.6</v>
      </c>
      <c r="FZ25" s="13">
        <f>IF('Données projet'!$A$244&gt;35,FZ24+FY25-GH24,IF(A25&lt;'Données projet'!$A$244,$FW$205^A25,IF(A25='Données projet'!$A$244,'Données projet'!$B$244,FZ24+FY25-GH24)))</f>
        <v>33.200000000000003</v>
      </c>
      <c r="GA25" s="18">
        <f>FZ25*VLOOKUP('Données projet'!$B$17,Paramètres!$A$1:$I$89,3,0)*VLOOKUP('Données projet'!$B$17,Paramètres!$A$1:$I$89,5,0)</f>
        <v>29.003520000000005</v>
      </c>
      <c r="GB25" s="14">
        <f t="shared" si="49"/>
        <v>9.0317833500167612</v>
      </c>
      <c r="GC25" s="22">
        <f t="shared" si="25"/>
        <v>66.244820001279194</v>
      </c>
      <c r="GD25" s="62">
        <f t="shared" si="26"/>
        <v>254.99092024566221</v>
      </c>
      <c r="GE25" s="62">
        <f ca="1">AVERAGE(OFFSET($GD$3,0,0,'Données projet'!$E$17+1,1))-AVERAGE(OFFSET($H$3,0,0,'Données projet'!$E$17+1,1))</f>
        <v>248.82613595888964</v>
      </c>
      <c r="GF25" s="62">
        <f t="shared" si="50"/>
        <v>255.8298580882084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135.66666666666666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4.4723076923076919</v>
      </c>
      <c r="N26" s="14">
        <f>IF('Données projet'!$A$36&gt;35,N25+M26-V25,IF(A26&lt;'Données projet'!$A$36,$K$205^A26,IF(A26='Données projet'!$A$36,'Données projet'!$B$36,N25+M26-V25)))</f>
        <v>49.593846153846151</v>
      </c>
      <c r="O26" s="14">
        <f>N26*VLOOKUP('Données projet'!$B$9,Paramètres!$A$1:$I$89,3,0)*VLOOKUP('Données projet'!$B$9,Paramètres!$A$1:$I$89,5,0)</f>
        <v>29.0124</v>
      </c>
      <c r="P26" s="14">
        <f t="shared" si="33"/>
        <v>9.0342266890744032</v>
      </c>
      <c r="Q26" s="22">
        <f t="shared" si="2"/>
        <v>66.264541483471248</v>
      </c>
      <c r="R26" s="62">
        <f t="shared" si="0"/>
        <v>257.8775960375375</v>
      </c>
      <c r="S26" s="62">
        <f ca="1">AVERAGE(OFFSET($R$3,0,0,'Données projet'!$E$9+1,1))-AVERAGE(OFFSET($H$3,0,0,'Données projet'!$E$9+1,1))</f>
        <v>221.18884567967481</v>
      </c>
      <c r="T26" s="62">
        <f t="shared" si="34"/>
        <v>189.31596996710888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1.9887500000000009</v>
      </c>
      <c r="AI26" s="14">
        <f>IF('Données projet'!$A$62&gt;35,AI25+AH26-AQ25,IF(A26&lt;'Données projet'!$A$62,$AF$205^A26,IF(A26='Données projet'!$A$62,'Données projet'!$B$62,AI25+AH26-AQ25)))</f>
        <v>40.866250000000015</v>
      </c>
      <c r="AJ26" s="14">
        <f>AI26*VLOOKUP('Données projet'!$B$10,Paramètres!$A$1:$I$89,3,0)*VLOOKUP('Données projet'!$B$10,Paramètres!$A$1:$I$89,5,0)</f>
        <v>47.077920000000013</v>
      </c>
      <c r="AK26" s="14">
        <f t="shared" si="35"/>
        <v>13.856495389760431</v>
      </c>
      <c r="AL26" s="22">
        <f t="shared" si="4"/>
        <v>106.1274401371661</v>
      </c>
      <c r="AM26" s="62">
        <f t="shared" si="5"/>
        <v>297.74049469123236</v>
      </c>
      <c r="AN26" s="62">
        <f ca="1">AVERAGE(OFFSET($AM$3,0,0,'Données projet'!$E$10+1,1))-AVERAGE(OFFSET($H$3,0,0,'Données projet'!$E$10+1,1))</f>
        <v>314.72063458462026</v>
      </c>
      <c r="AO26" s="62">
        <f t="shared" si="36"/>
        <v>216.4380325968244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4.7435897435897427</v>
      </c>
      <c r="BD26" s="13">
        <f>IF('Données projet'!$A$88&gt;35,BD25+BC26-BL25,IF(A26&lt;'Données projet'!$A$88,$BA$205^A26,IF(A26='Données projet'!$A$88,'Données projet'!$B$88,BD25+BC26-BL25)))</f>
        <v>50.769230769230774</v>
      </c>
      <c r="BE26" s="14">
        <f>BD26*VLOOKUP('Données projet'!$B$11,Paramètres!$A$1:$I$89,3,0)*VLOOKUP('Données projet'!$B$11,Paramètres!$A$1:$I$89,5,0)</f>
        <v>54.648000000000003</v>
      </c>
      <c r="BF26" s="14">
        <f t="shared" si="37"/>
        <v>15.807845837266502</v>
      </c>
      <c r="BG26" s="22">
        <f t="shared" si="7"/>
        <v>122.7105981665725</v>
      </c>
      <c r="BH26" s="62">
        <f t="shared" si="8"/>
        <v>314.32365272063873</v>
      </c>
      <c r="BI26" s="62">
        <f ca="1">AVERAGE(OFFSET($BH$3,0,0,'Données projet'!$E$11+1,1))-AVERAGE(OFFSET($H$3,0,0,'Données projet'!$E$11+1,1))</f>
        <v>455.26558725507834</v>
      </c>
      <c r="BJ26" s="62">
        <f t="shared" si="38"/>
        <v>278.60310966788552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4.74</v>
      </c>
      <c r="BY26" s="13">
        <f>IF('Données projet'!$A$114&gt;35,BY25+BX26-CG25,IF(A26&lt;'Données projet'!$A$114,$BV$205^A26,IF(A26='Données projet'!$A$114,'Données projet'!$B$114,BY25+BX26-CG25)))</f>
        <v>99.92</v>
      </c>
      <c r="BZ26" s="14">
        <f>BY26*VLOOKUP('Données projet'!$B$12,Paramètres!$A$1:$I$89,3,0)*VLOOKUP('Données projet'!$B$12,Paramètres!$A$1:$I$89,5,0)</f>
        <v>51.958400000000005</v>
      </c>
      <c r="CA26" s="14">
        <f t="shared" si="39"/>
        <v>15.118388537073713</v>
      </c>
      <c r="CB26" s="22">
        <f t="shared" si="10"/>
        <v>116.82540670207005</v>
      </c>
      <c r="CC26" s="62">
        <f t="shared" si="11"/>
        <v>308.43846125613629</v>
      </c>
      <c r="CD26" s="62">
        <f ca="1">AVERAGE(OFFSET($CC$3,0,0,'Données projet'!$E$12+1,1))-AVERAGE(OFFSET($H$3,0,0,'Données projet'!$E$12+1,1))</f>
        <v>300.72820267660154</v>
      </c>
      <c r="CE26" s="62">
        <f t="shared" si="40"/>
        <v>228.35388778608589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4.7435897435897427</v>
      </c>
      <c r="CT26" s="13">
        <f>IF('Données projet'!$A$140&gt;35,CT25+CS26-DB25,IF(A26&lt;'Données projet'!$A$140,$CQ$205^A26,IF(A26='Données projet'!$A$140,'Données projet'!$B$140,CT25+CS26-DB25)))</f>
        <v>50.769230769230774</v>
      </c>
      <c r="CU26" s="18">
        <f>CT26*VLOOKUP('Données projet'!$B$13,Paramètres!$A$1:$I$89,3,0)*VLOOKUP('Données projet'!$B$13,Paramètres!$A$1:$I$89,5,0)</f>
        <v>43.560000000000009</v>
      </c>
      <c r="CV26" s="14">
        <f t="shared" si="41"/>
        <v>12.937492402383343</v>
      </c>
      <c r="CW26" s="22">
        <f t="shared" si="13"/>
        <v>98.39979926748434</v>
      </c>
      <c r="CX26" s="62">
        <f t="shared" si="14"/>
        <v>290.01285382155055</v>
      </c>
      <c r="CY26" s="62">
        <f ca="1">AVERAGE(OFFSET($CX$3,0,0,'Données projet'!$E$13+1,1))-AVERAGE(OFFSET($H$3,0,0,'Données projet'!$E$13+1,1))</f>
        <v>384.3367849108829</v>
      </c>
      <c r="CZ26" s="62">
        <f t="shared" si="42"/>
        <v>238.2697272367603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3.4425641025641025</v>
      </c>
      <c r="DO26" s="13">
        <f>IF('Données projet'!$A$166&gt;35,DO25+DN26-DW25,IF(A26&lt;'Données projet'!$A$166,$DL$205^A26,IF(A26='Données projet'!$A$166,'Données projet'!$B$166,DO25+DN26-DW25)))</f>
        <v>35.000092281482424</v>
      </c>
      <c r="DP26" s="18">
        <f>DO26*VLOOKUP('Données projet'!$B$14,Paramètres!$A$1:$I$89,3,0)*VLOOKUP('Données projet'!$B$14,Paramètres!$A$1:$I$89,5,0)</f>
        <v>16.380043187733772</v>
      </c>
      <c r="DQ26" s="14">
        <f t="shared" si="43"/>
        <v>5.4515605034859353</v>
      </c>
      <c r="DR26" s="22">
        <f t="shared" si="16"/>
        <v>38.023376428874322</v>
      </c>
      <c r="DS26" s="62">
        <f t="shared" si="17"/>
        <v>229.63643098294054</v>
      </c>
      <c r="DT26" s="62">
        <f ca="1">AVERAGE(OFFSET($DS$3,0,0,'Données projet'!$E$14+1,1))-AVERAGE(OFFSET($H$3,0,0,'Données projet'!$E$14+1,1))</f>
        <v>304.1100958939968</v>
      </c>
      <c r="DU26" s="62">
        <f t="shared" si="44"/>
        <v>184.1255966824568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4.7435897435897427</v>
      </c>
      <c r="EJ26" s="13">
        <f>IF('Données projet'!$A$192&gt;35,EJ25+EI26-ER25,IF(A26&lt;'Données projet'!$A$192,$EG$205^A26,IF(A26='Données projet'!$A$192,'Données projet'!$B$192,EJ25+EI26-ER25)))</f>
        <v>50.769230769230774</v>
      </c>
      <c r="EK26" s="18">
        <f>EJ26*VLOOKUP('Données projet'!$B$15,Paramètres!$A$1:$I$89,3,0)*VLOOKUP('Données projet'!$B$15,Paramètres!$A$1:$I$89,5,0)</f>
        <v>51.480000000000011</v>
      </c>
      <c r="EL26" s="14">
        <f t="shared" si="45"/>
        <v>14.995324806875232</v>
      </c>
      <c r="EM26" s="22">
        <f t="shared" si="19"/>
        <v>115.77785737197439</v>
      </c>
      <c r="EN26" s="62">
        <f t="shared" si="20"/>
        <v>307.39091192604064</v>
      </c>
      <c r="EO26" s="62">
        <f ca="1">AVERAGE(OFFSET($EN$3,0,0,'Données projet'!$E$15+1,1))-AVERAGE(OFFSET($H$3,0,0,'Données projet'!$E$15+1,1))</f>
        <v>435.03433721979218</v>
      </c>
      <c r="EP26" s="62">
        <f t="shared" si="46"/>
        <v>267.10015759286387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4.7435897435897427</v>
      </c>
      <c r="FE26" s="13">
        <f>IF('Données projet'!$A$218&gt;35,FE25+FD26-FM25,IF(A26&lt;'Données projet'!$A$218,$FB$205^A26,IF(A26='Données projet'!$A$218,'Données projet'!$B$218,FE25+FD26-FM25)))</f>
        <v>50.769230769230774</v>
      </c>
      <c r="FF26" s="18">
        <f>FE26*VLOOKUP('Données projet'!$B$16,Paramètres!$A$1:$I$89,3,0)*VLOOKUP('Données projet'!$B$16,Paramètres!$A$1:$I$89,5,0)</f>
        <v>53.064000000000007</v>
      </c>
      <c r="FG26" s="14">
        <f t="shared" si="47"/>
        <v>15.402291234172077</v>
      </c>
      <c r="FH26" s="22">
        <f t="shared" si="22"/>
        <v>119.24545723284972</v>
      </c>
      <c r="FI26" s="62">
        <f t="shared" si="23"/>
        <v>310.85851178691593</v>
      </c>
      <c r="FJ26" s="62">
        <f ca="1">AVERAGE(OFFSET($FI$3,0,0,'Données projet'!$E$16+1,1))-AVERAGE(OFFSET($H$3,0,0,'Données projet'!$E$16+1,1))</f>
        <v>445.15313998584293</v>
      </c>
      <c r="FK26" s="62">
        <f t="shared" si="48"/>
        <v>272.85357736694834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7.6</v>
      </c>
      <c r="FZ26" s="13">
        <f>IF('Données projet'!$A$244&gt;35,FZ25+FY26-GH25,IF(A26&lt;'Données projet'!$A$244,$FW$205^A26,IF(A26='Données projet'!$A$244,'Données projet'!$B$244,FZ25+FY26-GH25)))</f>
        <v>40.800000000000004</v>
      </c>
      <c r="GA26" s="18">
        <f>FZ26*VLOOKUP('Données projet'!$B$17,Paramètres!$A$1:$I$89,3,0)*VLOOKUP('Données projet'!$B$17,Paramètres!$A$1:$I$89,5,0)</f>
        <v>35.642880000000012</v>
      </c>
      <c r="GB26" s="14">
        <f t="shared" si="49"/>
        <v>10.836155304531358</v>
      </c>
      <c r="GC26" s="22">
        <f t="shared" si="25"/>
        <v>80.950986488725476</v>
      </c>
      <c r="GD26" s="62">
        <f t="shared" si="26"/>
        <v>272.5640410427917</v>
      </c>
      <c r="GE26" s="62">
        <f ca="1">AVERAGE(OFFSET($GD$3,0,0,'Données projet'!$E$17+1,1))-AVERAGE(OFFSET($H$3,0,0,'Données projet'!$E$17+1,1))</f>
        <v>248.82613595888964</v>
      </c>
      <c r="GF26" s="62">
        <f t="shared" si="50"/>
        <v>255.8298580882084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135.66666666666666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4.4723076923076919</v>
      </c>
      <c r="N27" s="14">
        <f>IF('Données projet'!$A$36&gt;35,N26+M27-V26,IF(A27&lt;'Données projet'!$A$36,$K$205^A27,IF(A27='Données projet'!$A$36,'Données projet'!$B$36,N26+M27-V26)))</f>
        <v>54.066153846153846</v>
      </c>
      <c r="O27" s="14">
        <f>N27*VLOOKUP('Données projet'!$B$9,Paramètres!$A$1:$I$89,3,0)*VLOOKUP('Données projet'!$B$9,Paramètres!$A$1:$I$89,5,0)</f>
        <v>31.628700000000002</v>
      </c>
      <c r="P27" s="14">
        <f t="shared" si="33"/>
        <v>9.7504338131068167</v>
      </c>
      <c r="Q27" s="22">
        <f t="shared" si="2"/>
        <v>72.068658057827705</v>
      </c>
      <c r="R27" s="62">
        <f t="shared" si="0"/>
        <v>266.52013449692981</v>
      </c>
      <c r="S27" s="62">
        <f ca="1">AVERAGE(OFFSET($R$3,0,0,'Données projet'!$E$9+1,1))-AVERAGE(OFFSET($H$3,0,0,'Données projet'!$E$9+1,1))</f>
        <v>221.18884567967481</v>
      </c>
      <c r="T27" s="62">
        <f t="shared" si="34"/>
        <v>189.31596996710888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1.9887500000000009</v>
      </c>
      <c r="AI27" s="14">
        <f>IF('Données projet'!$A$62&gt;35,AI26+AH27-AQ26,IF(A27&lt;'Données projet'!$A$62,$AF$205^A27,IF(A27='Données projet'!$A$62,'Données projet'!$B$62,AI26+AH27-AQ26)))</f>
        <v>42.855000000000018</v>
      </c>
      <c r="AJ27" s="14">
        <f>AI27*VLOOKUP('Données projet'!$B$10,Paramètres!$A$1:$I$89,3,0)*VLOOKUP('Données projet'!$B$10,Paramètres!$A$1:$I$89,5,0)</f>
        <v>49.368960000000015</v>
      </c>
      <c r="AK27" s="14">
        <f t="shared" si="35"/>
        <v>14.450670560048829</v>
      </c>
      <c r="AL27" s="22">
        <f t="shared" si="4"/>
        <v>111.15252322541839</v>
      </c>
      <c r="AM27" s="62">
        <f t="shared" si="5"/>
        <v>305.60399966452047</v>
      </c>
      <c r="AN27" s="62">
        <f ca="1">AVERAGE(OFFSET($AM$3,0,0,'Données projet'!$E$10+1,1))-AVERAGE(OFFSET($H$3,0,0,'Données projet'!$E$10+1,1))</f>
        <v>314.72063458462026</v>
      </c>
      <c r="AO27" s="62">
        <f t="shared" si="36"/>
        <v>216.4380325968244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4.7435897435897427</v>
      </c>
      <c r="BD27" s="13">
        <f>IF('Données projet'!$A$88&gt;35,BD26+BC27-BL26,IF(A27&lt;'Données projet'!$A$88,$BA$205^A27,IF(A27='Données projet'!$A$88,'Données projet'!$B$88,BD26+BC27-BL26)))</f>
        <v>55.512820512820518</v>
      </c>
      <c r="BE27" s="14">
        <f>BD27*VLOOKUP('Données projet'!$B$11,Paramètres!$A$1:$I$89,3,0)*VLOOKUP('Données projet'!$B$11,Paramètres!$A$1:$I$89,5,0)</f>
        <v>59.753999999999998</v>
      </c>
      <c r="BF27" s="14">
        <f t="shared" si="37"/>
        <v>17.106057630223042</v>
      </c>
      <c r="BG27" s="22">
        <f t="shared" si="7"/>
        <v>133.86460037263845</v>
      </c>
      <c r="BH27" s="62">
        <f t="shared" si="8"/>
        <v>328.31607681174057</v>
      </c>
      <c r="BI27" s="62">
        <f ca="1">AVERAGE(OFFSET($BH$3,0,0,'Données projet'!$E$11+1,1))-AVERAGE(OFFSET($H$3,0,0,'Données projet'!$E$11+1,1))</f>
        <v>455.26558725507834</v>
      </c>
      <c r="BJ27" s="62">
        <f t="shared" si="38"/>
        <v>278.60310966788552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4.74</v>
      </c>
      <c r="BY27" s="13">
        <f>IF('Données projet'!$A$114&gt;35,BY26+BX27-CG26,IF(A27&lt;'Données projet'!$A$114,$BV$205^A27,IF(A27='Données projet'!$A$114,'Données projet'!$B$114,BY26+BX27-CG26)))</f>
        <v>104.66</v>
      </c>
      <c r="BZ27" s="14">
        <f>BY27*VLOOKUP('Données projet'!$B$12,Paramètres!$A$1:$I$89,3,0)*VLOOKUP('Données projet'!$B$12,Paramètres!$A$1:$I$89,5,0)</f>
        <v>54.423200000000008</v>
      </c>
      <c r="CA27" s="14">
        <f t="shared" si="39"/>
        <v>15.750374069493635</v>
      </c>
      <c r="CB27" s="22">
        <f t="shared" si="10"/>
        <v>122.21897483770141</v>
      </c>
      <c r="CC27" s="62">
        <f t="shared" si="11"/>
        <v>316.67045127680353</v>
      </c>
      <c r="CD27" s="62">
        <f ca="1">AVERAGE(OFFSET($CC$3,0,0,'Données projet'!$E$12+1,1))-AVERAGE(OFFSET($H$3,0,0,'Données projet'!$E$12+1,1))</f>
        <v>300.72820267660154</v>
      </c>
      <c r="CE27" s="62">
        <f t="shared" si="40"/>
        <v>228.35388778608589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4.7435897435897427</v>
      </c>
      <c r="CT27" s="13">
        <f>IF('Données projet'!$A$140&gt;35,CT26+CS27-DB26,IF(A27&lt;'Données projet'!$A$140,$CQ$205^A27,IF(A27='Données projet'!$A$140,'Données projet'!$B$140,CT26+CS27-DB26)))</f>
        <v>55.512820512820518</v>
      </c>
      <c r="CU27" s="18">
        <f>CT27*VLOOKUP('Données projet'!$B$13,Paramètres!$A$1:$I$89,3,0)*VLOOKUP('Données projet'!$B$13,Paramètres!$A$1:$I$89,5,0)</f>
        <v>47.63000000000001</v>
      </c>
      <c r="CV27" s="14">
        <f t="shared" si="41"/>
        <v>13.99997778976388</v>
      </c>
      <c r="CW27" s="22">
        <f t="shared" si="13"/>
        <v>107.33887798383877</v>
      </c>
      <c r="CX27" s="62">
        <f t="shared" si="14"/>
        <v>301.79035442294088</v>
      </c>
      <c r="CY27" s="62">
        <f ca="1">AVERAGE(OFFSET($CX$3,0,0,'Données projet'!$E$13+1,1))-AVERAGE(OFFSET($H$3,0,0,'Données projet'!$E$13+1,1))</f>
        <v>384.3367849108829</v>
      </c>
      <c r="CZ27" s="62">
        <f t="shared" si="42"/>
        <v>238.2697272367603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3.4425641025641025</v>
      </c>
      <c r="DO27" s="13">
        <f>IF('Données projet'!$A$166&gt;35,DO26+DN27-DW26,IF(A27&lt;'Données projet'!$A$166,$DL$205^A27,IF(A27='Données projet'!$A$166,'Données projet'!$B$166,DO26+DN27-DW26)))</f>
        <v>40.850994379880916</v>
      </c>
      <c r="DP27" s="18">
        <f>DO27*VLOOKUP('Données projet'!$B$14,Paramètres!$A$1:$I$89,3,0)*VLOOKUP('Données projet'!$B$14,Paramètres!$A$1:$I$89,5,0)</f>
        <v>19.118265369784268</v>
      </c>
      <c r="DQ27" s="14">
        <f t="shared" si="43"/>
        <v>6.2494233631643379</v>
      </c>
      <c r="DR27" s="22">
        <f t="shared" si="16"/>
        <v>44.182057876552157</v>
      </c>
      <c r="DS27" s="62">
        <f t="shared" si="17"/>
        <v>238.63353431565426</v>
      </c>
      <c r="DT27" s="62">
        <f ca="1">AVERAGE(OFFSET($DS$3,0,0,'Données projet'!$E$14+1,1))-AVERAGE(OFFSET($H$3,0,0,'Données projet'!$E$14+1,1))</f>
        <v>304.1100958939968</v>
      </c>
      <c r="DU27" s="62">
        <f t="shared" si="44"/>
        <v>184.1255966824568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4.7435897435897427</v>
      </c>
      <c r="EJ27" s="13">
        <f>IF('Données projet'!$A$192&gt;35,EJ26+EI27-ER26,IF(A27&lt;'Données projet'!$A$192,$EG$205^A27,IF(A27='Données projet'!$A$192,'Données projet'!$B$192,EJ26+EI27-ER26)))</f>
        <v>55.512820512820518</v>
      </c>
      <c r="EK27" s="18">
        <f>EJ27*VLOOKUP('Données projet'!$B$15,Paramètres!$A$1:$I$89,3,0)*VLOOKUP('Données projet'!$B$15,Paramètres!$A$1:$I$89,5,0)</f>
        <v>56.290000000000006</v>
      </c>
      <c r="EL27" s="14">
        <f t="shared" si="45"/>
        <v>16.226808698096274</v>
      </c>
      <c r="EM27" s="22">
        <f t="shared" si="19"/>
        <v>126.3001084825177</v>
      </c>
      <c r="EN27" s="62">
        <f t="shared" si="20"/>
        <v>320.75158492161978</v>
      </c>
      <c r="EO27" s="62">
        <f ca="1">AVERAGE(OFFSET($EN$3,0,0,'Données projet'!$E$15+1,1))-AVERAGE(OFFSET($H$3,0,0,'Données projet'!$E$15+1,1))</f>
        <v>435.03433721979218</v>
      </c>
      <c r="EP27" s="62">
        <f t="shared" si="46"/>
        <v>267.10015759286387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4.7435897435897427</v>
      </c>
      <c r="FE27" s="13">
        <f>IF('Données projet'!$A$218&gt;35,FE26+FD27-FM26,IF(A27&lt;'Données projet'!$A$218,$FB$205^A27,IF(A27='Données projet'!$A$218,'Données projet'!$B$218,FE26+FD27-FM26)))</f>
        <v>55.512820512820518</v>
      </c>
      <c r="FF27" s="18">
        <f>FE27*VLOOKUP('Données projet'!$B$16,Paramètres!$A$1:$I$89,3,0)*VLOOKUP('Données projet'!$B$16,Paramètres!$A$1:$I$89,5,0)</f>
        <v>58.022000000000006</v>
      </c>
      <c r="FG27" s="14">
        <f t="shared" si="47"/>
        <v>16.667197048955192</v>
      </c>
      <c r="FH27" s="22">
        <f t="shared" si="22"/>
        <v>130.08368486026362</v>
      </c>
      <c r="FI27" s="62">
        <f t="shared" si="23"/>
        <v>324.53516129936571</v>
      </c>
      <c r="FJ27" s="62">
        <f ca="1">AVERAGE(OFFSET($FI$3,0,0,'Données projet'!$E$16+1,1))-AVERAGE(OFFSET($H$3,0,0,'Données projet'!$E$16+1,1))</f>
        <v>445.15313998584293</v>
      </c>
      <c r="FK27" s="62">
        <f t="shared" si="48"/>
        <v>272.85357736694834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7.6</v>
      </c>
      <c r="FZ27" s="13">
        <f>IF('Données projet'!$A$244&gt;35,FZ26+FY27-GH26,IF(A27&lt;'Données projet'!$A$244,$FW$205^A27,IF(A27='Données projet'!$A$244,'Données projet'!$B$244,FZ26+FY27-GH26)))</f>
        <v>48.400000000000006</v>
      </c>
      <c r="GA27" s="18">
        <f>FZ27*VLOOKUP('Données projet'!$B$17,Paramètres!$A$1:$I$89,3,0)*VLOOKUP('Données projet'!$B$17,Paramètres!$A$1:$I$89,5,0)</f>
        <v>42.282240000000009</v>
      </c>
      <c r="GB27" s="14">
        <f t="shared" si="49"/>
        <v>12.60158758294113</v>
      </c>
      <c r="GC27" s="22">
        <f t="shared" si="25"/>
        <v>95.589333040289148</v>
      </c>
      <c r="GD27" s="62">
        <f t="shared" si="26"/>
        <v>290.04080947939121</v>
      </c>
      <c r="GE27" s="62">
        <f ca="1">AVERAGE(OFFSET($GD$3,0,0,'Données projet'!$E$17+1,1))-AVERAGE(OFFSET($H$3,0,0,'Données projet'!$E$17+1,1))</f>
        <v>248.82613595888964</v>
      </c>
      <c r="GF27" s="62">
        <f t="shared" si="50"/>
        <v>255.8298580882084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135.66666666666666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58.538461538461533</v>
      </c>
      <c r="L28" s="13">
        <f>VLOOKUP(A28,'Données projet'!$A$35:$I$55,9,0)</f>
        <v>4.4723076923076919</v>
      </c>
      <c r="M28" s="13">
        <f t="array" ref="M28">INDEX(L:L,MIN(IF(ISNUMBER(L28:L224),ROW(L28:L224),"")))</f>
        <v>4.4723076923076919</v>
      </c>
      <c r="N28" s="14">
        <f>IF('Données projet'!$A$36&gt;35,N27+M28-V27,IF(A28&lt;'Données projet'!$A$36,$K$205^A28,IF(A28='Données projet'!$A$36,'Données projet'!$B$36,N27+M28-V27)))</f>
        <v>58.53846153846154</v>
      </c>
      <c r="O28" s="14">
        <f>N28*VLOOKUP('Données projet'!$B$9,Paramètres!$A$1:$I$89,3,0)*VLOOKUP('Données projet'!$B$9,Paramètres!$A$1:$I$89,5,0)</f>
        <v>34.244999999999997</v>
      </c>
      <c r="P28" s="14">
        <f t="shared" si="33"/>
        <v>10.459769755154808</v>
      </c>
      <c r="Q28" s="22">
        <f t="shared" si="2"/>
        <v>77.860807323561289</v>
      </c>
      <c r="R28" s="62">
        <f t="shared" si="0"/>
        <v>275.12266819683055</v>
      </c>
      <c r="S28" s="62">
        <f ca="1">AVERAGE(OFFSET($R$3,0,0,'Données projet'!$E$9+1,1))-AVERAGE(OFFSET($H$3,0,0,'Données projet'!$E$9+1,1))</f>
        <v>221.18884567967481</v>
      </c>
      <c r="T28" s="62">
        <f t="shared" si="34"/>
        <v>189.31596996710888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1.9887500000000009</v>
      </c>
      <c r="AI28" s="14">
        <f>IF('Données projet'!$A$62&gt;35,AI27+AH28-AQ27,IF(A28&lt;'Données projet'!$A$62,$AF$205^A28,IF(A28='Données projet'!$A$62,'Données projet'!$B$62,AI27+AH28-AQ27)))</f>
        <v>44.843750000000021</v>
      </c>
      <c r="AJ28" s="14">
        <f>AI28*VLOOKUP('Données projet'!$B$10,Paramètres!$A$1:$I$89,3,0)*VLOOKUP('Données projet'!$B$10,Paramètres!$A$1:$I$89,5,0)</f>
        <v>51.660000000000018</v>
      </c>
      <c r="AK28" s="14">
        <f t="shared" si="35"/>
        <v>15.041643604774535</v>
      </c>
      <c r="AL28" s="22">
        <f t="shared" si="4"/>
        <v>116.17202927831566</v>
      </c>
      <c r="AM28" s="62">
        <f t="shared" si="5"/>
        <v>313.43389015158493</v>
      </c>
      <c r="AN28" s="62">
        <f ca="1">AVERAGE(OFFSET($AM$3,0,0,'Données projet'!$E$10+1,1))-AVERAGE(OFFSET($H$3,0,0,'Données projet'!$E$10+1,1))</f>
        <v>314.72063458462026</v>
      </c>
      <c r="AO28" s="62">
        <f t="shared" si="36"/>
        <v>216.4380325968244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60.256410256410255</v>
      </c>
      <c r="BB28" s="13">
        <f>VLOOKUP(A28,'Données projet'!$A$87:$I$107,9,0)</f>
        <v>4.7435897435897427</v>
      </c>
      <c r="BC28" s="13">
        <f t="array" ref="BC28">INDEX(BB:BB,MIN(IF(ISNUMBER(BB28:BB224),ROW(BB28:BB224),"")))</f>
        <v>4.7435897435897427</v>
      </c>
      <c r="BD28" s="13">
        <f>IF('Données projet'!$A$88&gt;35,BD27+BC28-BL27,IF(A28&lt;'Données projet'!$A$88,$BA$205^A28,IF(A28='Données projet'!$A$88,'Données projet'!$B$88,BD27+BC28-BL27)))</f>
        <v>60.256410256410263</v>
      </c>
      <c r="BE28" s="14">
        <f>BD28*VLOOKUP('Données projet'!$B$11,Paramètres!$A$1:$I$89,3,0)*VLOOKUP('Données projet'!$B$11,Paramètres!$A$1:$I$89,5,0)</f>
        <v>64.860000000000014</v>
      </c>
      <c r="BF28" s="14">
        <f t="shared" si="37"/>
        <v>18.391404353016956</v>
      </c>
      <c r="BG28" s="22">
        <f t="shared" si="7"/>
        <v>144.99619591483787</v>
      </c>
      <c r="BH28" s="62">
        <f t="shared" si="8"/>
        <v>342.25805678810718</v>
      </c>
      <c r="BI28" s="62">
        <f ca="1">AVERAGE(OFFSET($BH$3,0,0,'Données projet'!$E$11+1,1))-AVERAGE(OFFSET($H$3,0,0,'Données projet'!$E$11+1,1))</f>
        <v>455.26558725507834</v>
      </c>
      <c r="BJ28" s="62">
        <f t="shared" si="38"/>
        <v>278.60310966788552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109.4</v>
      </c>
      <c r="BW28" s="13">
        <f>VLOOKUP(A28,'Données projet'!$A$113:$I$133,9,0)</f>
        <v>4.74</v>
      </c>
      <c r="BX28" s="13">
        <f t="array" ref="BX28">INDEX(BW:BW,MIN(IF(ISNUMBER(BW28:BW224),ROW(BW28:BW224),"")))</f>
        <v>4.74</v>
      </c>
      <c r="BY28" s="13">
        <f>IF('Données projet'!$A$114&gt;35,BY27+BX28-CG27,IF(A28&lt;'Données projet'!$A$114,$BV$205^A28,IF(A28='Données projet'!$A$114,'Données projet'!$B$114,BY27+BX28-CG27)))</f>
        <v>109.39999999999999</v>
      </c>
      <c r="BZ28" s="14">
        <f>BY28*VLOOKUP('Données projet'!$B$12,Paramètres!$A$1:$I$89,3,0)*VLOOKUP('Données projet'!$B$12,Paramètres!$A$1:$I$89,5,0)</f>
        <v>56.887999999999998</v>
      </c>
      <c r="CA28" s="14">
        <f t="shared" si="39"/>
        <v>16.379035530880738</v>
      </c>
      <c r="CB28" s="22">
        <f t="shared" si="10"/>
        <v>127.60675354961728</v>
      </c>
      <c r="CC28" s="62">
        <f t="shared" si="11"/>
        <v>324.86861442288659</v>
      </c>
      <c r="CD28" s="62">
        <f ca="1">AVERAGE(OFFSET($CC$3,0,0,'Données projet'!$E$12+1,1))-AVERAGE(OFFSET($H$3,0,0,'Données projet'!$E$12+1,1))</f>
        <v>300.72820267660154</v>
      </c>
      <c r="CE28" s="62">
        <f t="shared" si="40"/>
        <v>228.35388778608589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60.256410256410255</v>
      </c>
      <c r="CR28" s="13">
        <f>VLOOKUP(A28,'Données projet'!$A$139:$I$159,9,0)</f>
        <v>4.7435897435897427</v>
      </c>
      <c r="CS28" s="13">
        <f t="array" ref="CS28">INDEX(CR:CR,MIN(IF(ISNUMBER(CR28:CR224),ROW(CR28:CR224),"")))</f>
        <v>4.7435897435897427</v>
      </c>
      <c r="CT28" s="13">
        <f>IF('Données projet'!$A$140&gt;35,CT27+CS28-DB27,IF(A28&lt;'Données projet'!$A$140,$CQ$205^A28,IF(A28='Données projet'!$A$140,'Données projet'!$B$140,CT27+CS28-DB27)))</f>
        <v>60.256410256410263</v>
      </c>
      <c r="CU28" s="18">
        <f>CT28*VLOOKUP('Données projet'!$B$13,Paramètres!$A$1:$I$89,3,0)*VLOOKUP('Données projet'!$B$13,Paramètres!$A$1:$I$89,5,0)</f>
        <v>51.700000000000017</v>
      </c>
      <c r="CV28" s="14">
        <f t="shared" si="41"/>
        <v>15.051934117764738</v>
      </c>
      <c r="CW28" s="22">
        <f t="shared" si="13"/>
        <v>116.25961858844029</v>
      </c>
      <c r="CX28" s="62">
        <f t="shared" si="14"/>
        <v>313.52147946170959</v>
      </c>
      <c r="CY28" s="62">
        <f ca="1">AVERAGE(OFFSET($CX$3,0,0,'Données projet'!$E$13+1,1))-AVERAGE(OFFSET($H$3,0,0,'Données projet'!$E$13+1,1))</f>
        <v>384.3367849108829</v>
      </c>
      <c r="CZ28" s="62">
        <f t="shared" si="42"/>
        <v>238.2697272367603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3.4425641025641025</v>
      </c>
      <c r="DO28" s="13">
        <f>IF('Données projet'!$A$166&gt;35,DO27+DN28-DW27,IF(A28&lt;'Données projet'!$A$166,$DL$205^A28,IF(A28='Données projet'!$A$166,'Données projet'!$B$166,DO27+DN28-DW27)))</f>
        <v>47.679981195591871</v>
      </c>
      <c r="DP28" s="18">
        <f>DO28*VLOOKUP('Données projet'!$B$14,Paramètres!$A$1:$I$89,3,0)*VLOOKUP('Données projet'!$B$14,Paramètres!$A$1:$I$89,5,0)</f>
        <v>22.314231199536998</v>
      </c>
      <c r="DQ28" s="14">
        <f t="shared" si="43"/>
        <v>7.1640574010122027</v>
      </c>
      <c r="DR28" s="22">
        <f t="shared" si="16"/>
        <v>51.341352645956526</v>
      </c>
      <c r="DS28" s="62">
        <f t="shared" si="17"/>
        <v>248.60321351922582</v>
      </c>
      <c r="DT28" s="62">
        <f ca="1">AVERAGE(OFFSET($DS$3,0,0,'Données projet'!$E$14+1,1))-AVERAGE(OFFSET($H$3,0,0,'Données projet'!$E$14+1,1))</f>
        <v>304.1100958939968</v>
      </c>
      <c r="DU28" s="62">
        <f t="shared" si="44"/>
        <v>184.1255966824568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60.256410256410255</v>
      </c>
      <c r="EH28" s="13">
        <f>VLOOKUP(A28,'Données projet'!$A$191:$I$211,9,0)</f>
        <v>4.7435897435897427</v>
      </c>
      <c r="EI28" s="13">
        <f t="array" ref="EI28">INDEX(EH:EH,MIN(IF(ISNUMBER(EH28:EH224),ROW(EH28:EH224),"")))</f>
        <v>4.7435897435897427</v>
      </c>
      <c r="EJ28" s="13">
        <f>IF('Données projet'!$A$192&gt;35,EJ27+EI28-ER27,IF(A28&lt;'Données projet'!$A$192,$EG$205^A28,IF(A28='Données projet'!$A$192,'Données projet'!$B$192,EJ27+EI28-ER27)))</f>
        <v>60.256410256410263</v>
      </c>
      <c r="EK28" s="18">
        <f>EJ28*VLOOKUP('Données projet'!$B$15,Paramètres!$A$1:$I$89,3,0)*VLOOKUP('Données projet'!$B$15,Paramètres!$A$1:$I$89,5,0)</f>
        <v>61.100000000000009</v>
      </c>
      <c r="EL28" s="14">
        <f t="shared" si="45"/>
        <v>17.446088781933437</v>
      </c>
      <c r="EM28" s="22">
        <f t="shared" si="19"/>
        <v>136.80110462853409</v>
      </c>
      <c r="EN28" s="62">
        <f t="shared" si="20"/>
        <v>334.06296550180338</v>
      </c>
      <c r="EO28" s="62">
        <f ca="1">AVERAGE(OFFSET($EN$3,0,0,'Données projet'!$E$15+1,1))-AVERAGE(OFFSET($H$3,0,0,'Données projet'!$E$15+1,1))</f>
        <v>435.03433721979218</v>
      </c>
      <c r="EP28" s="62">
        <f t="shared" si="46"/>
        <v>267.10015759286387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60.256410256410255</v>
      </c>
      <c r="FC28" s="13">
        <f>VLOOKUP(A28,'Données projet'!$A$217:$I$237,9,0)</f>
        <v>4.7435897435897427</v>
      </c>
      <c r="FD28" s="13">
        <f t="array" ref="FD28">INDEX(FC:FC,MIN(IF(ISNUMBER(FC28:FC224),ROW(FC28:FC224),"")))</f>
        <v>4.7435897435897427</v>
      </c>
      <c r="FE28" s="13">
        <f>IF('Données projet'!$A$218&gt;35,FE27+FD28-FM27,IF(A28&lt;'Données projet'!$A$218,$FB$205^A28,IF(A28='Données projet'!$A$218,'Données projet'!$B$218,FE27+FD28-FM27)))</f>
        <v>60.256410256410263</v>
      </c>
      <c r="FF28" s="18">
        <f>FE28*VLOOKUP('Données projet'!$B$16,Paramètres!$A$1:$I$89,3,0)*VLOOKUP('Données projet'!$B$16,Paramètres!$A$1:$I$89,5,0)</f>
        <v>62.980000000000011</v>
      </c>
      <c r="FG28" s="14">
        <f t="shared" si="47"/>
        <v>17.919567850464976</v>
      </c>
      <c r="FH28" s="22">
        <f t="shared" si="22"/>
        <v>140.90008067289321</v>
      </c>
      <c r="FI28" s="62">
        <f t="shared" si="23"/>
        <v>338.1619415461625</v>
      </c>
      <c r="FJ28" s="62">
        <f ca="1">AVERAGE(OFFSET($FI$3,0,0,'Données projet'!$E$16+1,1))-AVERAGE(OFFSET($H$3,0,0,'Données projet'!$E$16+1,1))</f>
        <v>445.15313998584293</v>
      </c>
      <c r="FK28" s="62">
        <f t="shared" si="48"/>
        <v>272.85357736694834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56</v>
      </c>
      <c r="FX28" s="13">
        <f>VLOOKUP(A28,'Données projet'!$A$243:$I$263,9,0)</f>
        <v>7.6</v>
      </c>
      <c r="FY28" s="13">
        <f t="array" ref="FY28">INDEX(FX:FX,MIN(IF(ISNUMBER(FX28:FX224),ROW(FX28:FX224),"")))</f>
        <v>7.6</v>
      </c>
      <c r="FZ28" s="13">
        <f>IF('Données projet'!$A$244&gt;35,FZ27+FY28-GH27,IF(A28&lt;'Données projet'!$A$244,$FW$205^A28,IF(A28='Données projet'!$A$244,'Données projet'!$B$244,FZ27+FY28-GH27)))</f>
        <v>56.000000000000007</v>
      </c>
      <c r="GA28" s="18">
        <f>FZ28*VLOOKUP('Données projet'!$B$17,Paramètres!$A$1:$I$89,3,0)*VLOOKUP('Données projet'!$B$17,Paramètres!$A$1:$I$89,5,0)</f>
        <v>48.921600000000012</v>
      </c>
      <c r="GB28" s="14">
        <f t="shared" si="49"/>
        <v>14.334905731333873</v>
      </c>
      <c r="GC28" s="22">
        <f t="shared" si="25"/>
        <v>110.1717474820732</v>
      </c>
      <c r="GD28" s="62">
        <f t="shared" si="26"/>
        <v>307.43360835534247</v>
      </c>
      <c r="GE28" s="62">
        <f ca="1">AVERAGE(OFFSET($GD$3,0,0,'Données projet'!$E$17+1,1))-AVERAGE(OFFSET($H$3,0,0,'Données projet'!$E$17+1,1))</f>
        <v>248.82613595888964</v>
      </c>
      <c r="GF28" s="62">
        <f t="shared" si="50"/>
        <v>255.8298580882084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135.66666666666666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5.6261538461538461</v>
      </c>
      <c r="N29" s="14">
        <f>IF('Données projet'!$A$36&gt;35,N28+M29-V28,IF(A29&lt;'Données projet'!$A$36,$K$205^A29,IF(A29='Données projet'!$A$36,'Données projet'!$B$36,N28+M29-V28)))</f>
        <v>64.164615384615388</v>
      </c>
      <c r="O29" s="14">
        <f>N29*VLOOKUP('Données projet'!$B$9,Paramètres!$A$1:$I$89,3,0)*VLOOKUP('Données projet'!$B$9,Paramètres!$A$1:$I$89,5,0)</f>
        <v>37.536300000000004</v>
      </c>
      <c r="P29" s="14">
        <f t="shared" si="33"/>
        <v>11.343246666320949</v>
      </c>
      <c r="Q29" s="22">
        <f t="shared" si="2"/>
        <v>85.131877110508995</v>
      </c>
      <c r="R29" s="62">
        <f t="shared" si="0"/>
        <v>285.17657135416698</v>
      </c>
      <c r="S29" s="62">
        <f ca="1">AVERAGE(OFFSET($R$3,0,0,'Données projet'!$E$9+1,1))-AVERAGE(OFFSET($H$3,0,0,'Données projet'!$E$9+1,1))</f>
        <v>221.18884567967481</v>
      </c>
      <c r="T29" s="62">
        <f t="shared" si="34"/>
        <v>189.31596996710888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1.9887500000000009</v>
      </c>
      <c r="AI29" s="14">
        <f>IF('Données projet'!$A$62&gt;35,AI28+AH29-AQ28,IF(A29&lt;'Données projet'!$A$62,$AF$205^A29,IF(A29='Données projet'!$A$62,'Données projet'!$B$62,AI28+AH29-AQ28)))</f>
        <v>46.832500000000024</v>
      </c>
      <c r="AJ29" s="14">
        <f>AI29*VLOOKUP('Données projet'!$B$10,Paramètres!$A$1:$I$89,3,0)*VLOOKUP('Données projet'!$B$10,Paramètres!$A$1:$I$89,5,0)</f>
        <v>53.951040000000027</v>
      </c>
      <c r="AK29" s="14">
        <f t="shared" si="35"/>
        <v>15.629572760496334</v>
      </c>
      <c r="AL29" s="22">
        <f t="shared" si="4"/>
        <v>121.18623389119783</v>
      </c>
      <c r="AM29" s="62">
        <f t="shared" si="5"/>
        <v>321.23092813485584</v>
      </c>
      <c r="AN29" s="62">
        <f ca="1">AVERAGE(OFFSET($AM$3,0,0,'Données projet'!$E$10+1,1))-AVERAGE(OFFSET($H$3,0,0,'Données projet'!$E$10+1,1))</f>
        <v>314.72063458462026</v>
      </c>
      <c r="AO29" s="62">
        <f t="shared" si="36"/>
        <v>216.4380325968244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4.9999999999999982</v>
      </c>
      <c r="BD29" s="13">
        <f>IF('Données projet'!$A$88&gt;35,BD28+BC29-BL28,IF(A29&lt;'Données projet'!$A$88,$BA$205^A29,IF(A29='Données projet'!$A$88,'Données projet'!$B$88,BD28+BC29-BL28)))</f>
        <v>65.256410256410263</v>
      </c>
      <c r="BE29" s="14">
        <f>BD29*VLOOKUP('Données projet'!$B$11,Paramètres!$A$1:$I$89,3,0)*VLOOKUP('Données projet'!$B$11,Paramètres!$A$1:$I$89,5,0)</f>
        <v>70.242000000000004</v>
      </c>
      <c r="BF29" s="14">
        <f t="shared" si="37"/>
        <v>19.733542624173232</v>
      </c>
      <c r="BG29" s="22">
        <f t="shared" si="7"/>
        <v>156.70740340376838</v>
      </c>
      <c r="BH29" s="62">
        <f t="shared" si="8"/>
        <v>356.75209764742635</v>
      </c>
      <c r="BI29" s="62">
        <f ca="1">AVERAGE(OFFSET($BH$3,0,0,'Données projet'!$E$11+1,1))-AVERAGE(OFFSET($H$3,0,0,'Données projet'!$E$11+1,1))</f>
        <v>455.26558725507834</v>
      </c>
      <c r="BJ29" s="62">
        <f t="shared" si="38"/>
        <v>278.60310966788552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4.5</v>
      </c>
      <c r="BY29" s="13">
        <f>IF('Données projet'!$A$114&gt;35,BY28+BX29-CG28,IF(A29&lt;'Données projet'!$A$114,$BV$205^A29,IF(A29='Données projet'!$A$114,'Données projet'!$B$114,BY28+BX29-CG28)))</f>
        <v>113.89999999999999</v>
      </c>
      <c r="BZ29" s="14">
        <f>BY29*VLOOKUP('Données projet'!$B$12,Paramètres!$A$1:$I$89,3,0)*VLOOKUP('Données projet'!$B$12,Paramètres!$A$1:$I$89,5,0)</f>
        <v>59.228000000000002</v>
      </c>
      <c r="CA29" s="14">
        <f t="shared" si="39"/>
        <v>16.972936323405893</v>
      </c>
      <c r="CB29" s="22">
        <f t="shared" si="10"/>
        <v>132.71663076326527</v>
      </c>
      <c r="CC29" s="62">
        <f t="shared" si="11"/>
        <v>332.76132500692324</v>
      </c>
      <c r="CD29" s="62">
        <f ca="1">AVERAGE(OFFSET($CC$3,0,0,'Données projet'!$E$12+1,1))-AVERAGE(OFFSET($H$3,0,0,'Données projet'!$E$12+1,1))</f>
        <v>300.72820267660154</v>
      </c>
      <c r="CE29" s="62">
        <f t="shared" si="40"/>
        <v>228.35388778608589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4.9999999999999982</v>
      </c>
      <c r="CT29" s="13">
        <f>IF('Données projet'!$A$140&gt;35,CT28+CS29-DB28,IF(A29&lt;'Données projet'!$A$140,$CQ$205^A29,IF(A29='Données projet'!$A$140,'Données projet'!$B$140,CT28+CS29-DB28)))</f>
        <v>65.256410256410263</v>
      </c>
      <c r="CU29" s="18">
        <f>CT29*VLOOKUP('Données projet'!$B$13,Paramètres!$A$1:$I$89,3,0)*VLOOKUP('Données projet'!$B$13,Paramètres!$A$1:$I$89,5,0)</f>
        <v>55.990000000000016</v>
      </c>
      <c r="CV29" s="14">
        <f t="shared" si="41"/>
        <v>16.150369911280464</v>
      </c>
      <c r="CW29" s="22">
        <f t="shared" si="13"/>
        <v>125.64447759548017</v>
      </c>
      <c r="CX29" s="62">
        <f t="shared" si="14"/>
        <v>325.68917183913817</v>
      </c>
      <c r="CY29" s="62">
        <f ca="1">AVERAGE(OFFSET($CX$3,0,0,'Données projet'!$E$13+1,1))-AVERAGE(OFFSET($H$3,0,0,'Données projet'!$E$13+1,1))</f>
        <v>384.3367849108829</v>
      </c>
      <c r="CZ29" s="62">
        <f t="shared" si="42"/>
        <v>238.2697272367603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3.4425641025641025</v>
      </c>
      <c r="DO29" s="13">
        <f>IF('Données projet'!$A$166&gt;35,DO28+DN29-DW28,IF(A29&lt;'Données projet'!$A$166,$DL$205^A29,IF(A29='Données projet'!$A$166,'Données projet'!$B$166,DO28+DN29-DW28)))</f>
        <v>55.650557381086244</v>
      </c>
      <c r="DP29" s="18">
        <f>DO29*VLOOKUP('Données projet'!$B$14,Paramètres!$A$1:$I$89,3,0)*VLOOKUP('Données projet'!$B$14,Paramètres!$A$1:$I$89,5,0)</f>
        <v>26.044460854348362</v>
      </c>
      <c r="DQ29" s="14">
        <f t="shared" si="43"/>
        <v>8.2125526568599181</v>
      </c>
      <c r="DR29" s="22">
        <f t="shared" si="16"/>
        <v>59.664298532021071</v>
      </c>
      <c r="DS29" s="62">
        <f t="shared" si="17"/>
        <v>259.70899277567906</v>
      </c>
      <c r="DT29" s="62">
        <f ca="1">AVERAGE(OFFSET($DS$3,0,0,'Données projet'!$E$14+1,1))-AVERAGE(OFFSET($H$3,0,0,'Données projet'!$E$14+1,1))</f>
        <v>304.1100958939968</v>
      </c>
      <c r="DU29" s="62">
        <f t="shared" si="44"/>
        <v>184.1255966824568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4.9999999999999982</v>
      </c>
      <c r="EJ29" s="13">
        <f>IF('Données projet'!$A$192&gt;35,EJ28+EI29-ER28,IF(A29&lt;'Données projet'!$A$192,$EG$205^A29,IF(A29='Données projet'!$A$192,'Données projet'!$B$192,EJ28+EI29-ER28)))</f>
        <v>65.256410256410263</v>
      </c>
      <c r="EK29" s="18">
        <f>EJ29*VLOOKUP('Données projet'!$B$15,Paramètres!$A$1:$I$89,3,0)*VLOOKUP('Données projet'!$B$15,Paramètres!$A$1:$I$89,5,0)</f>
        <v>66.170000000000016</v>
      </c>
      <c r="EL29" s="14">
        <f t="shared" si="45"/>
        <v>18.719241336614886</v>
      </c>
      <c r="EM29" s="22">
        <f t="shared" si="19"/>
        <v>147.84876199460427</v>
      </c>
      <c r="EN29" s="62">
        <f t="shared" si="20"/>
        <v>347.89345623826227</v>
      </c>
      <c r="EO29" s="62">
        <f ca="1">AVERAGE(OFFSET($EN$3,0,0,'Données projet'!$E$15+1,1))-AVERAGE(OFFSET($H$3,0,0,'Données projet'!$E$15+1,1))</f>
        <v>435.03433721979218</v>
      </c>
      <c r="EP29" s="62">
        <f t="shared" si="46"/>
        <v>267.10015759286387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4.9999999999999982</v>
      </c>
      <c r="FE29" s="13">
        <f>IF('Données projet'!$A$218&gt;35,FE28+FD29-FM28,IF(A29&lt;'Données projet'!$A$218,$FB$205^A29,IF(A29='Données projet'!$A$218,'Données projet'!$B$218,FE28+FD29-FM28)))</f>
        <v>65.256410256410263</v>
      </c>
      <c r="FF29" s="18">
        <f>FE29*VLOOKUP('Données projet'!$B$16,Paramètres!$A$1:$I$89,3,0)*VLOOKUP('Données projet'!$B$16,Paramètres!$A$1:$I$89,5,0)</f>
        <v>68.206000000000017</v>
      </c>
      <c r="FG29" s="14">
        <f t="shared" si="47"/>
        <v>19.227273197650447</v>
      </c>
      <c r="FH29" s="22">
        <f t="shared" si="22"/>
        <v>152.27961748590789</v>
      </c>
      <c r="FI29" s="62">
        <f t="shared" si="23"/>
        <v>352.32431172956592</v>
      </c>
      <c r="FJ29" s="62">
        <f ca="1">AVERAGE(OFFSET($FI$3,0,0,'Données projet'!$E$16+1,1))-AVERAGE(OFFSET($H$3,0,0,'Données projet'!$E$16+1,1))</f>
        <v>445.15313998584293</v>
      </c>
      <c r="FK29" s="62">
        <f t="shared" si="48"/>
        <v>272.85357736694834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7.4</v>
      </c>
      <c r="FZ29" s="13">
        <f>IF('Données projet'!$A$244&gt;35,FZ28+FY29-GH28,IF(A29&lt;'Données projet'!$A$244,$FW$205^A29,IF(A29='Données projet'!$A$244,'Données projet'!$B$244,FZ28+FY29-GH28)))</f>
        <v>63.400000000000006</v>
      </c>
      <c r="GA29" s="18">
        <f>FZ29*VLOOKUP('Données projet'!$B$17,Paramètres!$A$1:$I$89,3,0)*VLOOKUP('Données projet'!$B$17,Paramètres!$A$1:$I$89,5,0)</f>
        <v>55.386240000000008</v>
      </c>
      <c r="GB29" s="14">
        <f t="shared" si="49"/>
        <v>15.996389447319554</v>
      </c>
      <c r="GC29" s="22">
        <f t="shared" si="25"/>
        <v>124.32474628741488</v>
      </c>
      <c r="GD29" s="62">
        <f t="shared" si="26"/>
        <v>324.36944053107288</v>
      </c>
      <c r="GE29" s="62">
        <f ca="1">AVERAGE(OFFSET($GD$3,0,0,'Données projet'!$E$17+1,1))-AVERAGE(OFFSET($H$3,0,0,'Données projet'!$E$17+1,1))</f>
        <v>248.82613595888964</v>
      </c>
      <c r="GF29" s="62">
        <f t="shared" si="50"/>
        <v>255.8298580882084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135.66666666666666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5.6261538461538461</v>
      </c>
      <c r="N30" s="14">
        <f>IF('Données projet'!$A$36&gt;35,N29+M30-V29,IF(A30&lt;'Données projet'!$A$36,$K$205^A30,IF(A30='Données projet'!$A$36,'Données projet'!$B$36,N29+M30-V29)))</f>
        <v>69.790769230769229</v>
      </c>
      <c r="O30" s="14">
        <f>N30*VLOOKUP('Données projet'!$B$9,Paramètres!$A$1:$I$89,3,0)*VLOOKUP('Données projet'!$B$9,Paramètres!$A$1:$I$89,5,0)</f>
        <v>40.827599999999997</v>
      </c>
      <c r="P30" s="14">
        <f t="shared" si="33"/>
        <v>12.217740250965957</v>
      </c>
      <c r="Q30" s="22">
        <f t="shared" si="2"/>
        <v>92.387300937099027</v>
      </c>
      <c r="R30" s="62">
        <f t="shared" si="0"/>
        <v>295.18775543672888</v>
      </c>
      <c r="S30" s="62">
        <f ca="1">AVERAGE(OFFSET($R$3,0,0,'Données projet'!$E$9+1,1))-AVERAGE(OFFSET($H$3,0,0,'Données projet'!$E$9+1,1))</f>
        <v>221.18884567967481</v>
      </c>
      <c r="T30" s="62">
        <f t="shared" si="34"/>
        <v>189.31596996710888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1.9887500000000009</v>
      </c>
      <c r="AI30" s="14">
        <f>IF('Données projet'!$A$62&gt;35,AI29+AH30-AQ29,IF(A30&lt;'Données projet'!$A$62,$AF$205^A30,IF(A30='Données projet'!$A$62,'Données projet'!$B$62,AI29+AH30-AQ29)))</f>
        <v>48.821250000000028</v>
      </c>
      <c r="AJ30" s="14">
        <f>AI30*VLOOKUP('Données projet'!$B$10,Paramètres!$A$1:$I$89,3,0)*VLOOKUP('Données projet'!$B$10,Paramètres!$A$1:$I$89,5,0)</f>
        <v>56.242080000000023</v>
      </c>
      <c r="AK30" s="14">
        <f t="shared" si="35"/>
        <v>16.214602064519848</v>
      </c>
      <c r="AL30" s="22">
        <f t="shared" si="4"/>
        <v>126.19538792903876</v>
      </c>
      <c r="AM30" s="62">
        <f t="shared" si="5"/>
        <v>328.99584242866865</v>
      </c>
      <c r="AN30" s="62">
        <f ca="1">AVERAGE(OFFSET($AM$3,0,0,'Données projet'!$E$10+1,1))-AVERAGE(OFFSET($H$3,0,0,'Données projet'!$E$10+1,1))</f>
        <v>314.72063458462026</v>
      </c>
      <c r="AO30" s="62">
        <f t="shared" si="36"/>
        <v>216.4380325968244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4.9999999999999982</v>
      </c>
      <c r="BD30" s="13">
        <f>IF('Données projet'!$A$88&gt;35,BD29+BC30-BL29,IF(A30&lt;'Données projet'!$A$88,$BA$205^A30,IF(A30='Données projet'!$A$88,'Données projet'!$B$88,BD29+BC30-BL29)))</f>
        <v>70.256410256410263</v>
      </c>
      <c r="BE30" s="14">
        <f>BD30*VLOOKUP('Données projet'!$B$11,Paramètres!$A$1:$I$89,3,0)*VLOOKUP('Données projet'!$B$11,Paramètres!$A$1:$I$89,5,0)</f>
        <v>75.624000000000009</v>
      </c>
      <c r="BF30" s="14">
        <f t="shared" si="37"/>
        <v>21.063751721138914</v>
      </c>
      <c r="BG30" s="22">
        <f t="shared" si="7"/>
        <v>168.39783424765028</v>
      </c>
      <c r="BH30" s="62">
        <f t="shared" si="8"/>
        <v>371.19828874728012</v>
      </c>
      <c r="BI30" s="62">
        <f ca="1">AVERAGE(OFFSET($BH$3,0,0,'Données projet'!$E$11+1,1))-AVERAGE(OFFSET($H$3,0,0,'Données projet'!$E$11+1,1))</f>
        <v>455.26558725507834</v>
      </c>
      <c r="BJ30" s="62">
        <f t="shared" si="38"/>
        <v>278.60310966788552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4.5</v>
      </c>
      <c r="BY30" s="13">
        <f>IF('Données projet'!$A$114&gt;35,BY29+BX30-CG29,IF(A30&lt;'Données projet'!$A$114,$BV$205^A30,IF(A30='Données projet'!$A$114,'Données projet'!$B$114,BY29+BX30-CG29)))</f>
        <v>118.39999999999999</v>
      </c>
      <c r="BZ30" s="14">
        <f>BY30*VLOOKUP('Données projet'!$B$12,Paramètres!$A$1:$I$89,3,0)*VLOOKUP('Données projet'!$B$12,Paramètres!$A$1:$I$89,5,0)</f>
        <v>61.567999999999998</v>
      </c>
      <c r="CA30" s="14">
        <f t="shared" si="39"/>
        <v>17.564111423853156</v>
      </c>
      <c r="CB30" s="22">
        <f t="shared" si="10"/>
        <v>137.82176072987758</v>
      </c>
      <c r="CC30" s="62">
        <f t="shared" si="11"/>
        <v>340.62221522950745</v>
      </c>
      <c r="CD30" s="62">
        <f ca="1">AVERAGE(OFFSET($CC$3,0,0,'Données projet'!$E$12+1,1))-AVERAGE(OFFSET($H$3,0,0,'Données projet'!$E$12+1,1))</f>
        <v>300.72820267660154</v>
      </c>
      <c r="CE30" s="62">
        <f t="shared" si="40"/>
        <v>228.35388778608589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4.9999999999999982</v>
      </c>
      <c r="CT30" s="13">
        <f>IF('Données projet'!$A$140&gt;35,CT29+CS30-DB29,IF(A30&lt;'Données projet'!$A$140,$CQ$205^A30,IF(A30='Données projet'!$A$140,'Données projet'!$B$140,CT29+CS30-DB29)))</f>
        <v>70.256410256410263</v>
      </c>
      <c r="CU30" s="18">
        <f>CT30*VLOOKUP('Données projet'!$B$13,Paramètres!$A$1:$I$89,3,0)*VLOOKUP('Données projet'!$B$13,Paramètres!$A$1:$I$89,5,0)</f>
        <v>60.280000000000015</v>
      </c>
      <c r="CV30" s="14">
        <f t="shared" si="41"/>
        <v>17.239042603482694</v>
      </c>
      <c r="CW30" s="22">
        <f t="shared" si="13"/>
        <v>135.01233253439906</v>
      </c>
      <c r="CX30" s="62">
        <f t="shared" si="14"/>
        <v>337.81278703402893</v>
      </c>
      <c r="CY30" s="62">
        <f ca="1">AVERAGE(OFFSET($CX$3,0,0,'Données projet'!$E$13+1,1))-AVERAGE(OFFSET($H$3,0,0,'Données projet'!$E$13+1,1))</f>
        <v>384.3367849108829</v>
      </c>
      <c r="CZ30" s="62">
        <f t="shared" si="42"/>
        <v>238.2697272367603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3.4425641025641025</v>
      </c>
      <c r="DO30" s="13">
        <f>IF('Données projet'!$A$166&gt;35,DO29+DN30-DW29,IF(A30&lt;'Données projet'!$A$166,$DL$205^A30,IF(A30='Données projet'!$A$166,'Données projet'!$B$166,DO29+DN30-DW29)))</f>
        <v>64.953560365747308</v>
      </c>
      <c r="DP30" s="18">
        <f>DO30*VLOOKUP('Données projet'!$B$14,Paramètres!$A$1:$I$89,3,0)*VLOOKUP('Données projet'!$B$14,Paramètres!$A$1:$I$89,5,0)</f>
        <v>30.398266251169741</v>
      </c>
      <c r="DQ30" s="14">
        <f t="shared" si="43"/>
        <v>9.4145003824463398</v>
      </c>
      <c r="DR30" s="22">
        <f t="shared" si="16"/>
        <v>69.340568553547996</v>
      </c>
      <c r="DS30" s="62">
        <f t="shared" si="17"/>
        <v>272.14102305317783</v>
      </c>
      <c r="DT30" s="62">
        <f ca="1">AVERAGE(OFFSET($DS$3,0,0,'Données projet'!$E$14+1,1))-AVERAGE(OFFSET($H$3,0,0,'Données projet'!$E$14+1,1))</f>
        <v>304.1100958939968</v>
      </c>
      <c r="DU30" s="62">
        <f t="shared" si="44"/>
        <v>184.1255966824568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4.9999999999999982</v>
      </c>
      <c r="EJ30" s="13">
        <f>IF('Données projet'!$A$192&gt;35,EJ29+EI30-ER29,IF(A30&lt;'Données projet'!$A$192,$EG$205^A30,IF(A30='Données projet'!$A$192,'Données projet'!$B$192,EJ29+EI30-ER29)))</f>
        <v>70.256410256410263</v>
      </c>
      <c r="EK30" s="18">
        <f>EJ30*VLOOKUP('Données projet'!$B$15,Paramètres!$A$1:$I$89,3,0)*VLOOKUP('Données projet'!$B$15,Paramètres!$A$1:$I$89,5,0)</f>
        <v>71.240000000000009</v>
      </c>
      <c r="EL30" s="14">
        <f t="shared" si="45"/>
        <v>19.981077874964491</v>
      </c>
      <c r="EM30" s="22">
        <f t="shared" si="19"/>
        <v>158.87671063222982</v>
      </c>
      <c r="EN30" s="62">
        <f t="shared" si="20"/>
        <v>361.67716513185968</v>
      </c>
      <c r="EO30" s="62">
        <f ca="1">AVERAGE(OFFSET($EN$3,0,0,'Données projet'!$E$15+1,1))-AVERAGE(OFFSET($H$3,0,0,'Données projet'!$E$15+1,1))</f>
        <v>435.03433721979218</v>
      </c>
      <c r="EP30" s="62">
        <f t="shared" si="46"/>
        <v>267.10015759286387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4.9999999999999982</v>
      </c>
      <c r="FE30" s="13">
        <f>IF('Données projet'!$A$218&gt;35,FE29+FD30-FM29,IF(A30&lt;'Données projet'!$A$218,$FB$205^A30,IF(A30='Données projet'!$A$218,'Données projet'!$B$218,FE29+FD30-FM29)))</f>
        <v>70.256410256410263</v>
      </c>
      <c r="FF30" s="18">
        <f>FE30*VLOOKUP('Données projet'!$B$16,Paramètres!$A$1:$I$89,3,0)*VLOOKUP('Données projet'!$B$16,Paramètres!$A$1:$I$89,5,0)</f>
        <v>73.432000000000016</v>
      </c>
      <c r="FG30" s="14">
        <f t="shared" si="47"/>
        <v>20.523355416867822</v>
      </c>
      <c r="FH30" s="22">
        <f t="shared" si="22"/>
        <v>163.63891068437815</v>
      </c>
      <c r="FI30" s="62">
        <f t="shared" si="23"/>
        <v>366.43936518400801</v>
      </c>
      <c r="FJ30" s="62">
        <f ca="1">AVERAGE(OFFSET($FI$3,0,0,'Données projet'!$E$16+1,1))-AVERAGE(OFFSET($H$3,0,0,'Données projet'!$E$16+1,1))</f>
        <v>445.15313998584293</v>
      </c>
      <c r="FK30" s="62">
        <f t="shared" si="48"/>
        <v>272.85357736694834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7.4</v>
      </c>
      <c r="FZ30" s="13">
        <f>IF('Données projet'!$A$244&gt;35,FZ29+FY30-GH29,IF(A30&lt;'Données projet'!$A$244,$FW$205^A30,IF(A30='Données projet'!$A$244,'Données projet'!$B$244,FZ29+FY30-GH29)))</f>
        <v>70.800000000000011</v>
      </c>
      <c r="GA30" s="18">
        <f>FZ30*VLOOKUP('Données projet'!$B$17,Paramètres!$A$1:$I$89,3,0)*VLOOKUP('Données projet'!$B$17,Paramètres!$A$1:$I$89,5,0)</f>
        <v>61.850880000000018</v>
      </c>
      <c r="GB30" s="14">
        <f t="shared" si="49"/>
        <v>17.635398883369188</v>
      </c>
      <c r="GC30" s="22">
        <f t="shared" si="25"/>
        <v>138.43860238853472</v>
      </c>
      <c r="GD30" s="62">
        <f t="shared" si="26"/>
        <v>341.23905688816455</v>
      </c>
      <c r="GE30" s="62">
        <f ca="1">AVERAGE(OFFSET($GD$3,0,0,'Données projet'!$E$17+1,1))-AVERAGE(OFFSET($H$3,0,0,'Données projet'!$E$17+1,1))</f>
        <v>248.82613595888964</v>
      </c>
      <c r="GF30" s="62">
        <f t="shared" si="50"/>
        <v>255.8298580882084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135.66666666666666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5.6261538461538461</v>
      </c>
      <c r="N31" s="14">
        <f>IF('Données projet'!$A$36&gt;35,N30+M31-V30,IF(A31&lt;'Données projet'!$A$36,$K$205^A31,IF(A31='Données projet'!$A$36,'Données projet'!$B$36,N30+M31-V30)))</f>
        <v>75.416923076923069</v>
      </c>
      <c r="O31" s="14">
        <f>N31*VLOOKUP('Données projet'!$B$9,Paramètres!$A$1:$I$89,3,0)*VLOOKUP('Données projet'!$B$9,Paramètres!$A$1:$I$89,5,0)</f>
        <v>44.118900000000004</v>
      </c>
      <c r="P31" s="14">
        <f t="shared" si="33"/>
        <v>13.084057029220077</v>
      </c>
      <c r="Q31" s="22">
        <f t="shared" si="2"/>
        <v>99.628483492558303</v>
      </c>
      <c r="R31" s="62">
        <f t="shared" si="0"/>
        <v>305.15809479175186</v>
      </c>
      <c r="S31" s="62">
        <f ca="1">AVERAGE(OFFSET($R$3,0,0,'Données projet'!$E$9+1,1))-AVERAGE(OFFSET($H$3,0,0,'Données projet'!$E$9+1,1))</f>
        <v>221.18884567967481</v>
      </c>
      <c r="T31" s="62">
        <f t="shared" si="34"/>
        <v>189.31596996710888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1.9887500000000009</v>
      </c>
      <c r="AI31" s="14">
        <f>IF('Données projet'!$A$62&gt;35,AI30+AH31-AQ30,IF(A31&lt;'Données projet'!$A$62,$AF$205^A31,IF(A31='Données projet'!$A$62,'Données projet'!$B$62,AI30+AH31-AQ30)))</f>
        <v>50.810000000000031</v>
      </c>
      <c r="AJ31" s="14">
        <f>AI31*VLOOKUP('Données projet'!$B$10,Paramètres!$A$1:$I$89,3,0)*VLOOKUP('Données projet'!$B$10,Paramètres!$A$1:$I$89,5,0)</f>
        <v>58.533120000000032</v>
      </c>
      <c r="AK31" s="14">
        <f t="shared" si="35"/>
        <v>16.79686315525263</v>
      </c>
      <c r="AL31" s="22">
        <f t="shared" si="4"/>
        <v>131.19972066206506</v>
      </c>
      <c r="AM31" s="62">
        <f t="shared" si="5"/>
        <v>336.72933196125865</v>
      </c>
      <c r="AN31" s="62">
        <f ca="1">AVERAGE(OFFSET($AM$3,0,0,'Données projet'!$E$10+1,1))-AVERAGE(OFFSET($H$3,0,0,'Données projet'!$E$10+1,1))</f>
        <v>314.72063458462026</v>
      </c>
      <c r="AO31" s="62">
        <f t="shared" si="36"/>
        <v>216.4380325968244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4.9999999999999982</v>
      </c>
      <c r="BD31" s="13">
        <f>IF('Données projet'!$A$88&gt;35,BD30+BC31-BL30,IF(A31&lt;'Données projet'!$A$88,$BA$205^A31,IF(A31='Données projet'!$A$88,'Données projet'!$B$88,BD30+BC31-BL30)))</f>
        <v>75.256410256410263</v>
      </c>
      <c r="BE31" s="14">
        <f>BD31*VLOOKUP('Données projet'!$B$11,Paramètres!$A$1:$I$89,3,0)*VLOOKUP('Données projet'!$B$11,Paramètres!$A$1:$I$89,5,0)</f>
        <v>81.006</v>
      </c>
      <c r="BF31" s="14">
        <f t="shared" si="37"/>
        <v>22.382977176937434</v>
      </c>
      <c r="BG31" s="22">
        <f t="shared" si="7"/>
        <v>180.0691352498327</v>
      </c>
      <c r="BH31" s="62">
        <f t="shared" si="8"/>
        <v>385.59874654902626</v>
      </c>
      <c r="BI31" s="62">
        <f ca="1">AVERAGE(OFFSET($BH$3,0,0,'Données projet'!$E$11+1,1))-AVERAGE(OFFSET($H$3,0,0,'Données projet'!$E$11+1,1))</f>
        <v>455.26558725507834</v>
      </c>
      <c r="BJ31" s="62">
        <f t="shared" si="38"/>
        <v>278.60310966788552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4.5</v>
      </c>
      <c r="BY31" s="13">
        <f>IF('Données projet'!$A$114&gt;35,BY30+BX31-CG30,IF(A31&lt;'Données projet'!$A$114,$BV$205^A31,IF(A31='Données projet'!$A$114,'Données projet'!$B$114,BY30+BX31-CG30)))</f>
        <v>122.89999999999999</v>
      </c>
      <c r="BZ31" s="14">
        <f>BY31*VLOOKUP('Données projet'!$B$12,Paramètres!$A$1:$I$89,3,0)*VLOOKUP('Données projet'!$B$12,Paramètres!$A$1:$I$89,5,0)</f>
        <v>63.908000000000001</v>
      </c>
      <c r="CA31" s="14">
        <f t="shared" si="39"/>
        <v>18.152676286503855</v>
      </c>
      <c r="CB31" s="22">
        <f t="shared" si="10"/>
        <v>142.92234453232751</v>
      </c>
      <c r="CC31" s="62">
        <f t="shared" si="11"/>
        <v>348.4519558315211</v>
      </c>
      <c r="CD31" s="62">
        <f ca="1">AVERAGE(OFFSET($CC$3,0,0,'Données projet'!$E$12+1,1))-AVERAGE(OFFSET($H$3,0,0,'Données projet'!$E$12+1,1))</f>
        <v>300.72820267660154</v>
      </c>
      <c r="CE31" s="62">
        <f t="shared" si="40"/>
        <v>228.35388778608589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4.9999999999999982</v>
      </c>
      <c r="CT31" s="13">
        <f>IF('Données projet'!$A$140&gt;35,CT30+CS31-DB30,IF(A31&lt;'Données projet'!$A$140,$CQ$205^A31,IF(A31='Données projet'!$A$140,'Données projet'!$B$140,CT30+CS31-DB30)))</f>
        <v>75.256410256410263</v>
      </c>
      <c r="CU31" s="18">
        <f>CT31*VLOOKUP('Données projet'!$B$13,Paramètres!$A$1:$I$89,3,0)*VLOOKUP('Données projet'!$B$13,Paramètres!$A$1:$I$89,5,0)</f>
        <v>64.570000000000022</v>
      </c>
      <c r="CV31" s="14">
        <f t="shared" si="41"/>
        <v>18.318726039614646</v>
      </c>
      <c r="CW31" s="22">
        <f t="shared" si="13"/>
        <v>144.36453118566223</v>
      </c>
      <c r="CX31" s="62">
        <f t="shared" si="14"/>
        <v>349.89414248485582</v>
      </c>
      <c r="CY31" s="62">
        <f ca="1">AVERAGE(OFFSET($CX$3,0,0,'Données projet'!$E$13+1,1))-AVERAGE(OFFSET($H$3,0,0,'Données projet'!$E$13+1,1))</f>
        <v>384.3367849108829</v>
      </c>
      <c r="CZ31" s="62">
        <f t="shared" si="42"/>
        <v>238.2697272367603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3.4425641025641025</v>
      </c>
      <c r="DO31" s="13">
        <f>IF('Données projet'!$A$166&gt;35,DO30+DN31-DW30,IF(A31&lt;'Données projet'!$A$166,$DL$205^A31,IF(A31='Données projet'!$A$166,'Données projet'!$B$166,DO30+DN31-DW30)))</f>
        <v>75.81172952673181</v>
      </c>
      <c r="DP31" s="18">
        <f>DO31*VLOOKUP('Données projet'!$B$14,Paramètres!$A$1:$I$89,3,0)*VLOOKUP('Données projet'!$B$14,Paramètres!$A$1:$I$89,5,0)</f>
        <v>35.479889418510488</v>
      </c>
      <c r="DQ31" s="14">
        <f t="shared" si="43"/>
        <v>10.7923591061602</v>
      </c>
      <c r="DR31" s="22">
        <f t="shared" si="16"/>
        <v>80.590832847134777</v>
      </c>
      <c r="DS31" s="62">
        <f t="shared" si="17"/>
        <v>286.1204441463284</v>
      </c>
      <c r="DT31" s="62">
        <f ca="1">AVERAGE(OFFSET($DS$3,0,0,'Données projet'!$E$14+1,1))-AVERAGE(OFFSET($H$3,0,0,'Données projet'!$E$14+1,1))</f>
        <v>304.1100958939968</v>
      </c>
      <c r="DU31" s="62">
        <f t="shared" si="44"/>
        <v>184.1255966824568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4.9999999999999982</v>
      </c>
      <c r="EJ31" s="13">
        <f>IF('Données projet'!$A$192&gt;35,EJ30+EI31-ER30,IF(A31&lt;'Données projet'!$A$192,$EG$205^A31,IF(A31='Données projet'!$A$192,'Données projet'!$B$192,EJ30+EI31-ER30)))</f>
        <v>75.256410256410263</v>
      </c>
      <c r="EK31" s="18">
        <f>EJ31*VLOOKUP('Données projet'!$B$15,Paramètres!$A$1:$I$89,3,0)*VLOOKUP('Données projet'!$B$15,Paramètres!$A$1:$I$89,5,0)</f>
        <v>76.310000000000016</v>
      </c>
      <c r="EL31" s="14">
        <f t="shared" si="45"/>
        <v>21.232495329742605</v>
      </c>
      <c r="EM31" s="22">
        <f t="shared" si="19"/>
        <v>169.8865126993017</v>
      </c>
      <c r="EN31" s="62">
        <f t="shared" si="20"/>
        <v>375.41612399849532</v>
      </c>
      <c r="EO31" s="62">
        <f ca="1">AVERAGE(OFFSET($EN$3,0,0,'Données projet'!$E$15+1,1))-AVERAGE(OFFSET($H$3,0,0,'Données projet'!$E$15+1,1))</f>
        <v>435.03433721979218</v>
      </c>
      <c r="EP31" s="62">
        <f t="shared" si="46"/>
        <v>267.10015759286387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4.9999999999999982</v>
      </c>
      <c r="FE31" s="13">
        <f>IF('Données projet'!$A$218&gt;35,FE30+FD31-FM30,IF(A31&lt;'Données projet'!$A$218,$FB$205^A31,IF(A31='Données projet'!$A$218,'Données projet'!$B$218,FE30+FD31-FM30)))</f>
        <v>75.256410256410263</v>
      </c>
      <c r="FF31" s="18">
        <f>FE31*VLOOKUP('Données projet'!$B$16,Paramètres!$A$1:$I$89,3,0)*VLOOKUP('Données projet'!$B$16,Paramètres!$A$1:$I$89,5,0)</f>
        <v>78.658000000000015</v>
      </c>
      <c r="FG31" s="14">
        <f t="shared" si="47"/>
        <v>21.808735783232525</v>
      </c>
      <c r="FH31" s="22">
        <f t="shared" si="22"/>
        <v>174.97956482246332</v>
      </c>
      <c r="FI31" s="62">
        <f t="shared" si="23"/>
        <v>380.50917612165688</v>
      </c>
      <c r="FJ31" s="62">
        <f ca="1">AVERAGE(OFFSET($FI$3,0,0,'Données projet'!$E$16+1,1))-AVERAGE(OFFSET($H$3,0,0,'Données projet'!$E$16+1,1))</f>
        <v>445.15313998584293</v>
      </c>
      <c r="FK31" s="62">
        <f t="shared" si="48"/>
        <v>272.85357736694834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7.4</v>
      </c>
      <c r="FZ31" s="13">
        <f>IF('Données projet'!$A$244&gt;35,FZ30+FY31-GH30,IF(A31&lt;'Données projet'!$A$244,$FW$205^A31,IF(A31='Données projet'!$A$244,'Données projet'!$B$244,FZ30+FY31-GH30)))</f>
        <v>78.200000000000017</v>
      </c>
      <c r="GA31" s="18">
        <f>FZ31*VLOOKUP('Données projet'!$B$17,Paramètres!$A$1:$I$89,3,0)*VLOOKUP('Données projet'!$B$17,Paramètres!$A$1:$I$89,5,0)</f>
        <v>68.315520000000021</v>
      </c>
      <c r="GB31" s="14">
        <f t="shared" si="49"/>
        <v>19.254550643039188</v>
      </c>
      <c r="GC31" s="22">
        <f t="shared" si="25"/>
        <v>152.51787303662658</v>
      </c>
      <c r="GD31" s="62">
        <f t="shared" si="26"/>
        <v>358.04748433582017</v>
      </c>
      <c r="GE31" s="62">
        <f ca="1">AVERAGE(OFFSET($GD$3,0,0,'Données projet'!$E$17+1,1))-AVERAGE(OFFSET($H$3,0,0,'Données projet'!$E$17+1,1))</f>
        <v>248.82613595888964</v>
      </c>
      <c r="GF31" s="62">
        <f t="shared" si="50"/>
        <v>255.8298580882084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135.66666666666666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5.6261538461538461</v>
      </c>
      <c r="N32" s="14">
        <f>IF('Données projet'!$A$36&gt;35,N31+M32-V31,IF(A32&lt;'Données projet'!$A$36,$K$205^A32,IF(A32='Données projet'!$A$36,'Données projet'!$B$36,N31+M32-V31)))</f>
        <v>81.04307692307691</v>
      </c>
      <c r="O32" s="14">
        <f>N32*VLOOKUP('Données projet'!$B$9,Paramètres!$A$1:$I$89,3,0)*VLOOKUP('Données projet'!$B$9,Paramètres!$A$1:$I$89,5,0)</f>
        <v>47.410199999999996</v>
      </c>
      <c r="P32" s="14">
        <f t="shared" si="33"/>
        <v>13.94287635938028</v>
      </c>
      <c r="Q32" s="22">
        <f t="shared" si="2"/>
        <v>106.85660799258731</v>
      </c>
      <c r="R32" s="62">
        <f t="shared" si="0"/>
        <v>315.08923414542875</v>
      </c>
      <c r="S32" s="62">
        <f ca="1">AVERAGE(OFFSET($R$3,0,0,'Données projet'!$E$9+1,1))-AVERAGE(OFFSET($H$3,0,0,'Données projet'!$E$9+1,1))</f>
        <v>221.18884567967481</v>
      </c>
      <c r="T32" s="62">
        <f t="shared" si="34"/>
        <v>189.31596996710888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1.9887500000000009</v>
      </c>
      <c r="AI32" s="14">
        <f>IF('Données projet'!$A$62&gt;35,AI31+AH32-AQ31,IF(A32&lt;'Données projet'!$A$62,$AF$205^A32,IF(A32='Données projet'!$A$62,'Données projet'!$B$62,AI31+AH32-AQ31)))</f>
        <v>52.798750000000034</v>
      </c>
      <c r="AJ32" s="14">
        <f>AI32*VLOOKUP('Données projet'!$B$10,Paramètres!$A$1:$I$89,3,0)*VLOOKUP('Données projet'!$B$10,Paramètres!$A$1:$I$89,5,0)</f>
        <v>60.824160000000035</v>
      </c>
      <c r="AK32" s="14">
        <f t="shared" si="35"/>
        <v>17.376476782758175</v>
      </c>
      <c r="AL32" s="22">
        <f t="shared" si="4"/>
        <v>136.19944239663721</v>
      </c>
      <c r="AM32" s="62">
        <f t="shared" si="5"/>
        <v>344.43206854947869</v>
      </c>
      <c r="AN32" s="62">
        <f ca="1">AVERAGE(OFFSET($AM$3,0,0,'Données projet'!$E$10+1,1))-AVERAGE(OFFSET($H$3,0,0,'Données projet'!$E$10+1,1))</f>
        <v>314.72063458462026</v>
      </c>
      <c r="AO32" s="62">
        <f t="shared" si="36"/>
        <v>216.4380325968244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4.9999999999999982</v>
      </c>
      <c r="BD32" s="13">
        <f>IF('Données projet'!$A$88&gt;35,BD31+BC32-BL31,IF(A32&lt;'Données projet'!$A$88,$BA$205^A32,IF(A32='Données projet'!$A$88,'Données projet'!$B$88,BD31+BC32-BL31)))</f>
        <v>80.256410256410263</v>
      </c>
      <c r="BE32" s="14">
        <f>BD32*VLOOKUP('Données projet'!$B$11,Paramètres!$A$1:$I$89,3,0)*VLOOKUP('Données projet'!$B$11,Paramètres!$A$1:$I$89,5,0)</f>
        <v>86.388000000000005</v>
      </c>
      <c r="BF32" s="14">
        <f t="shared" si="37"/>
        <v>23.692031775390987</v>
      </c>
      <c r="BG32" s="22">
        <f t="shared" si="7"/>
        <v>191.72272200880596</v>
      </c>
      <c r="BH32" s="62">
        <f t="shared" si="8"/>
        <v>399.95534816164741</v>
      </c>
      <c r="BI32" s="62">
        <f ca="1">AVERAGE(OFFSET($BH$3,0,0,'Données projet'!$E$11+1,1))-AVERAGE(OFFSET($H$3,0,0,'Données projet'!$E$11+1,1))</f>
        <v>455.26558725507834</v>
      </c>
      <c r="BJ32" s="62">
        <f t="shared" si="38"/>
        <v>278.60310966788552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4.5</v>
      </c>
      <c r="BY32" s="13">
        <f>IF('Données projet'!$A$114&gt;35,BY31+BX32-CG31,IF(A32&lt;'Données projet'!$A$114,$BV$205^A32,IF(A32='Données projet'!$A$114,'Données projet'!$B$114,BY31+BX32-CG31)))</f>
        <v>127.39999999999999</v>
      </c>
      <c r="BZ32" s="14">
        <f>BY32*VLOOKUP('Données projet'!$B$12,Paramètres!$A$1:$I$89,3,0)*VLOOKUP('Données projet'!$B$12,Paramètres!$A$1:$I$89,5,0)</f>
        <v>66.248000000000005</v>
      </c>
      <c r="CA32" s="14">
        <f t="shared" si="39"/>
        <v>18.738737431772371</v>
      </c>
      <c r="CB32" s="22">
        <f t="shared" si="10"/>
        <v>148.01856769367024</v>
      </c>
      <c r="CC32" s="62">
        <f t="shared" si="11"/>
        <v>356.25119384651168</v>
      </c>
      <c r="CD32" s="62">
        <f ca="1">AVERAGE(OFFSET($CC$3,0,0,'Données projet'!$E$12+1,1))-AVERAGE(OFFSET($H$3,0,0,'Données projet'!$E$12+1,1))</f>
        <v>300.72820267660154</v>
      </c>
      <c r="CE32" s="62">
        <f t="shared" si="40"/>
        <v>228.35388778608589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4.9999999999999982</v>
      </c>
      <c r="CT32" s="13">
        <f>IF('Données projet'!$A$140&gt;35,CT31+CS32-DB31,IF(A32&lt;'Données projet'!$A$140,$CQ$205^A32,IF(A32='Données projet'!$A$140,'Données projet'!$B$140,CT31+CS32-DB31)))</f>
        <v>80.256410256410263</v>
      </c>
      <c r="CU32" s="18">
        <f>CT32*VLOOKUP('Données projet'!$B$13,Paramètres!$A$1:$I$89,3,0)*VLOOKUP('Données projet'!$B$13,Paramètres!$A$1:$I$89,5,0)</f>
        <v>68.860000000000014</v>
      </c>
      <c r="CV32" s="14">
        <f t="shared" si="41"/>
        <v>19.390085420022569</v>
      </c>
      <c r="CW32" s="22">
        <f t="shared" si="13"/>
        <v>153.70223210653933</v>
      </c>
      <c r="CX32" s="62">
        <f t="shared" si="14"/>
        <v>361.9348582593808</v>
      </c>
      <c r="CY32" s="62">
        <f ca="1">AVERAGE(OFFSET($CX$3,0,0,'Données projet'!$E$13+1,1))-AVERAGE(OFFSET($H$3,0,0,'Données projet'!$E$13+1,1))</f>
        <v>384.3367849108829</v>
      </c>
      <c r="CZ32" s="62">
        <f t="shared" si="42"/>
        <v>238.2697272367603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3.4425641025641025</v>
      </c>
      <c r="DO32" s="13">
        <f>IF('Données projet'!$A$166&gt;35,DO31+DN32-DW31,IF(A32&lt;'Données projet'!$A$166,$DL$205^A32,IF(A32='Données projet'!$A$166,'Données projet'!$B$166,DO31+DN32-DW31)))</f>
        <v>88.485039179856727</v>
      </c>
      <c r="DP32" s="18">
        <f>DO32*VLOOKUP('Données projet'!$B$14,Paramètres!$A$1:$I$89,3,0)*VLOOKUP('Données projet'!$B$14,Paramètres!$A$1:$I$89,5,0)</f>
        <v>41.410998336172952</v>
      </c>
      <c r="DQ32" s="14">
        <f t="shared" si="43"/>
        <v>12.371874273168087</v>
      </c>
      <c r="DR32" s="22">
        <f t="shared" si="16"/>
        <v>93.671836461268967</v>
      </c>
      <c r="DS32" s="62">
        <f t="shared" si="17"/>
        <v>301.9044626141104</v>
      </c>
      <c r="DT32" s="62">
        <f ca="1">AVERAGE(OFFSET($DS$3,0,0,'Données projet'!$E$14+1,1))-AVERAGE(OFFSET($H$3,0,0,'Données projet'!$E$14+1,1))</f>
        <v>304.1100958939968</v>
      </c>
      <c r="DU32" s="62">
        <f t="shared" si="44"/>
        <v>184.1255966824568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4.9999999999999982</v>
      </c>
      <c r="EJ32" s="13">
        <f>IF('Données projet'!$A$192&gt;35,EJ31+EI32-ER31,IF(A32&lt;'Données projet'!$A$192,$EG$205^A32,IF(A32='Données projet'!$A$192,'Données projet'!$B$192,EJ31+EI32-ER31)))</f>
        <v>80.256410256410263</v>
      </c>
      <c r="EK32" s="18">
        <f>EJ32*VLOOKUP('Données projet'!$B$15,Paramètres!$A$1:$I$89,3,0)*VLOOKUP('Données projet'!$B$15,Paramètres!$A$1:$I$89,5,0)</f>
        <v>81.38000000000001</v>
      </c>
      <c r="EL32" s="14">
        <f t="shared" si="45"/>
        <v>22.474264707798401</v>
      </c>
      <c r="EM32" s="22">
        <f t="shared" si="19"/>
        <v>180.87951103274887</v>
      </c>
      <c r="EN32" s="62">
        <f t="shared" si="20"/>
        <v>389.11213718559031</v>
      </c>
      <c r="EO32" s="62">
        <f ca="1">AVERAGE(OFFSET($EN$3,0,0,'Données projet'!$E$15+1,1))-AVERAGE(OFFSET($H$3,0,0,'Données projet'!$E$15+1,1))</f>
        <v>435.03433721979218</v>
      </c>
      <c r="EP32" s="62">
        <f t="shared" si="46"/>
        <v>267.10015759286387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4.9999999999999982</v>
      </c>
      <c r="FE32" s="13">
        <f>IF('Données projet'!$A$218&gt;35,FE31+FD32-FM31,IF(A32&lt;'Données projet'!$A$218,$FB$205^A32,IF(A32='Données projet'!$A$218,'Données projet'!$B$218,FE31+FD32-FM31)))</f>
        <v>80.256410256410263</v>
      </c>
      <c r="FF32" s="18">
        <f>FE32*VLOOKUP('Données projet'!$B$16,Paramètres!$A$1:$I$89,3,0)*VLOOKUP('Données projet'!$B$16,Paramètres!$A$1:$I$89,5,0)</f>
        <v>83.884000000000015</v>
      </c>
      <c r="FG32" s="14">
        <f t="shared" si="47"/>
        <v>23.08420622837572</v>
      </c>
      <c r="FH32" s="22">
        <f t="shared" si="22"/>
        <v>186.30295918108774</v>
      </c>
      <c r="FI32" s="62">
        <f t="shared" si="23"/>
        <v>394.53558533392919</v>
      </c>
      <c r="FJ32" s="62">
        <f ca="1">AVERAGE(OFFSET($FI$3,0,0,'Données projet'!$E$16+1,1))-AVERAGE(OFFSET($H$3,0,0,'Données projet'!$E$16+1,1))</f>
        <v>445.15313998584293</v>
      </c>
      <c r="FK32" s="62">
        <f t="shared" si="48"/>
        <v>272.85357736694834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7.4</v>
      </c>
      <c r="FZ32" s="13">
        <f>IF('Données projet'!$A$244&gt;35,FZ31+FY32-GH31,IF(A32&lt;'Données projet'!$A$244,$FW$205^A32,IF(A32='Données projet'!$A$244,'Données projet'!$B$244,FZ31+FY32-GH31)))</f>
        <v>85.600000000000023</v>
      </c>
      <c r="GA32" s="18">
        <f>FZ32*VLOOKUP('Données projet'!$B$17,Paramètres!$A$1:$I$89,3,0)*VLOOKUP('Données projet'!$B$17,Paramètres!$A$1:$I$89,5,0)</f>
        <v>74.780160000000024</v>
      </c>
      <c r="GB32" s="14">
        <f t="shared" si="49"/>
        <v>20.85593761602691</v>
      </c>
      <c r="GC32" s="22">
        <f t="shared" si="25"/>
        <v>166.56620334791356</v>
      </c>
      <c r="GD32" s="62">
        <f t="shared" si="26"/>
        <v>374.79882950075501</v>
      </c>
      <c r="GE32" s="62">
        <f ca="1">AVERAGE(OFFSET($GD$3,0,0,'Données projet'!$E$17+1,1))-AVERAGE(OFFSET($H$3,0,0,'Données projet'!$E$17+1,1))</f>
        <v>248.82613595888964</v>
      </c>
      <c r="GF32" s="62">
        <f t="shared" si="50"/>
        <v>255.8298580882084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135.66666666666666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86.669230769230765</v>
      </c>
      <c r="L33" s="13">
        <f>VLOOKUP(A33,'Données projet'!$A$35:$I$55,9,0)</f>
        <v>5.6261538461538461</v>
      </c>
      <c r="M33" s="13">
        <f t="array" ref="M33">INDEX(L:L,MIN(IF(ISNUMBER(L33:L229),ROW(L33:L229),"")))</f>
        <v>5.6261538461538461</v>
      </c>
      <c r="N33" s="14">
        <f>IF('Données projet'!$A$36&gt;35,N32+M33-V32,IF(A33&lt;'Données projet'!$A$36,$K$205^A33,IF(A33='Données projet'!$A$36,'Données projet'!$B$36,N32+M33-V32)))</f>
        <v>86.669230769230751</v>
      </c>
      <c r="O33" s="14">
        <f>N33*VLOOKUP('Données projet'!$B$9,Paramètres!$A$1:$I$89,3,0)*VLOOKUP('Données projet'!$B$9,Paramètres!$A$1:$I$89,5,0)</f>
        <v>50.701499999999996</v>
      </c>
      <c r="P33" s="14">
        <f t="shared" si="33"/>
        <v>14.794777934288117</v>
      </c>
      <c r="Q33" s="22">
        <f t="shared" si="2"/>
        <v>114.07268406888512</v>
      </c>
      <c r="R33" s="62">
        <f t="shared" si="0"/>
        <v>324.98263663377554</v>
      </c>
      <c r="S33" s="62">
        <f ca="1">AVERAGE(OFFSET($R$3,0,0,'Données projet'!$E$9+1,1))-AVERAGE(OFFSET($H$3,0,0,'Données projet'!$E$9+1,1))</f>
        <v>221.18884567967481</v>
      </c>
      <c r="T33" s="62">
        <f t="shared" si="34"/>
        <v>189.31596996710888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54.787500000000009</v>
      </c>
      <c r="AG33" s="13">
        <f>VLOOKUP(A33,'Données projet'!$A$61:$I$81,9,0)</f>
        <v>1.9887500000000009</v>
      </c>
      <c r="AH33" s="13">
        <f t="array" ref="AH33">INDEX(AG:AG,MIN(IF(ISNUMBER(AG33:AG229),ROW(AG33:AG229),"")))</f>
        <v>1.9887500000000009</v>
      </c>
      <c r="AI33" s="14">
        <f>IF('Données projet'!$A$62&gt;35,AI32+AH33-AQ32,IF(A33&lt;'Données projet'!$A$62,$AF$205^A33,IF(A33='Données projet'!$A$62,'Données projet'!$B$62,AI32+AH33-AQ32)))</f>
        <v>54.787500000000037</v>
      </c>
      <c r="AJ33" s="14">
        <f>AI33*VLOOKUP('Données projet'!$B$10,Paramètres!$A$1:$I$89,3,0)*VLOOKUP('Données projet'!$B$10,Paramètres!$A$1:$I$89,5,0)</f>
        <v>63.115200000000037</v>
      </c>
      <c r="AK33" s="14">
        <f t="shared" si="35"/>
        <v>17.953554085320896</v>
      </c>
      <c r="AL33" s="22">
        <f t="shared" si="4"/>
        <v>141.19474669860062</v>
      </c>
      <c r="AM33" s="62">
        <f t="shared" si="5"/>
        <v>352.10469926349106</v>
      </c>
      <c r="AN33" s="62">
        <f ca="1">AVERAGE(OFFSET($AM$3,0,0,'Données projet'!$E$10+1,1))-AVERAGE(OFFSET($H$3,0,0,'Données projet'!$E$10+1,1))</f>
        <v>314.72063458462026</v>
      </c>
      <c r="AO33" s="62">
        <f t="shared" si="36"/>
        <v>216.4380325968244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11.375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85.256410256410248</v>
      </c>
      <c r="BB33" s="13">
        <f>VLOOKUP(A33,'Données projet'!$A$87:$I$107,9,0)</f>
        <v>4.9999999999999982</v>
      </c>
      <c r="BC33" s="13">
        <f t="array" ref="BC33">INDEX(BB:BB,MIN(IF(ISNUMBER(BB33:BB229),ROW(BB33:BB229),"")))</f>
        <v>4.9999999999999982</v>
      </c>
      <c r="BD33" s="13">
        <f>IF('Données projet'!$A$88&gt;35,BD32+BC33-BL32,IF(A33&lt;'Données projet'!$A$88,$BA$205^A33,IF(A33='Données projet'!$A$88,'Données projet'!$B$88,BD32+BC33-BL32)))</f>
        <v>85.256410256410263</v>
      </c>
      <c r="BE33" s="14">
        <f>BD33*VLOOKUP('Données projet'!$B$11,Paramètres!$A$1:$I$89,3,0)*VLOOKUP('Données projet'!$B$11,Paramètres!$A$1:$I$89,5,0)</f>
        <v>91.77000000000001</v>
      </c>
      <c r="BF33" s="14">
        <f t="shared" si="37"/>
        <v>24.991621303155043</v>
      </c>
      <c r="BG33" s="22">
        <f t="shared" si="7"/>
        <v>203.35982376966172</v>
      </c>
      <c r="BH33" s="62">
        <f t="shared" si="8"/>
        <v>414.26977633455215</v>
      </c>
      <c r="BI33" s="62">
        <f ca="1">AVERAGE(OFFSET($BH$3,0,0,'Données projet'!$E$11+1,1))-AVERAGE(OFFSET($H$3,0,0,'Données projet'!$E$11+1,1))</f>
        <v>455.26558725507834</v>
      </c>
      <c r="BJ33" s="62">
        <f t="shared" si="38"/>
        <v>278.60310966788552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17.307692307692307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131.9</v>
      </c>
      <c r="BW33" s="13">
        <f>VLOOKUP(A33,'Données projet'!$A$113:$I$133,9,0)</f>
        <v>4.5</v>
      </c>
      <c r="BX33" s="13">
        <f t="array" ref="BX33">INDEX(BW:BW,MIN(IF(ISNUMBER(BW33:BW229),ROW(BW33:BW229),"")))</f>
        <v>4.5</v>
      </c>
      <c r="BY33" s="13">
        <f>IF('Données projet'!$A$114&gt;35,BY32+BX33-CG32,IF(A33&lt;'Données projet'!$A$114,$BV$205^A33,IF(A33='Données projet'!$A$114,'Données projet'!$B$114,BY32+BX33-CG32)))</f>
        <v>131.89999999999998</v>
      </c>
      <c r="BZ33" s="14">
        <f>BY33*VLOOKUP('Données projet'!$B$12,Paramètres!$A$1:$I$89,3,0)*VLOOKUP('Données projet'!$B$12,Paramètres!$A$1:$I$89,5,0)</f>
        <v>68.587999999999994</v>
      </c>
      <c r="CA33" s="14">
        <f t="shared" si="39"/>
        <v>19.322393428437586</v>
      </c>
      <c r="CB33" s="22">
        <f t="shared" si="10"/>
        <v>153.11060188786209</v>
      </c>
      <c r="CC33" s="62">
        <f t="shared" si="11"/>
        <v>364.02055445275255</v>
      </c>
      <c r="CD33" s="62">
        <f ca="1">AVERAGE(OFFSET($CC$3,0,0,'Données projet'!$E$12+1,1))-AVERAGE(OFFSET($H$3,0,0,'Données projet'!$E$12+1,1))</f>
        <v>300.72820267660154</v>
      </c>
      <c r="CE33" s="62">
        <f t="shared" si="40"/>
        <v>228.35388778608589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85.256410256410248</v>
      </c>
      <c r="CR33" s="13">
        <f>VLOOKUP(A33,'Données projet'!$A$139:$I$159,9,0)</f>
        <v>4.9999999999999982</v>
      </c>
      <c r="CS33" s="13">
        <f t="array" ref="CS33">INDEX(CR:CR,MIN(IF(ISNUMBER(CR33:CR229),ROW(CR33:CR229),"")))</f>
        <v>4.9999999999999982</v>
      </c>
      <c r="CT33" s="13">
        <f>IF('Données projet'!$A$140&gt;35,CT32+CS33-DB32,IF(A33&lt;'Données projet'!$A$140,$CQ$205^A33,IF(A33='Données projet'!$A$140,'Données projet'!$B$140,CT32+CS33-DB32)))</f>
        <v>85.256410256410263</v>
      </c>
      <c r="CU33" s="18">
        <f>CT33*VLOOKUP('Données projet'!$B$13,Paramètres!$A$1:$I$89,3,0)*VLOOKUP('Données projet'!$B$13,Paramètres!$A$1:$I$89,5,0)</f>
        <v>73.15000000000002</v>
      </c>
      <c r="CV33" s="14">
        <f t="shared" si="41"/>
        <v>20.453698376193206</v>
      </c>
      <c r="CW33" s="22">
        <f t="shared" si="13"/>
        <v>163.02644133853653</v>
      </c>
      <c r="CX33" s="62">
        <f t="shared" si="14"/>
        <v>373.93639390342696</v>
      </c>
      <c r="CY33" s="62">
        <f ca="1">AVERAGE(OFFSET($CX$3,0,0,'Données projet'!$E$13+1,1))-AVERAGE(OFFSET($H$3,0,0,'Données projet'!$E$13+1,1))</f>
        <v>384.3367849108829</v>
      </c>
      <c r="CZ33" s="62">
        <f t="shared" si="42"/>
        <v>238.2697272367603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17.307692307692307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103.27692307692307</v>
      </c>
      <c r="DM33" s="13">
        <f>VLOOKUP(A33,'Données projet'!$A$165:$I$185,9,0)</f>
        <v>3.4425641025641025</v>
      </c>
      <c r="DN33" s="13">
        <f t="array" ref="DN33">INDEX(DM:DM,MIN(IF(ISNUMBER(DM33:DM229),ROW(DM33:DM229),"")))</f>
        <v>3.4425641025641025</v>
      </c>
      <c r="DO33" s="13">
        <f>IF('Données projet'!$A$166&gt;35,DO32+DN33-DW32,IF(A33&lt;'Données projet'!$A$166,$DL$205^A33,IF(A33='Données projet'!$A$166,'Données projet'!$B$166,DO32+DN33-DW32)))</f>
        <v>103.27692307692307</v>
      </c>
      <c r="DP33" s="18">
        <f>DO33*VLOOKUP('Données projet'!$B$14,Paramètres!$A$1:$I$89,3,0)*VLOOKUP('Données projet'!$B$14,Paramètres!$A$1:$I$89,5,0)</f>
        <v>48.333599999999997</v>
      </c>
      <c r="DQ33" s="14">
        <f t="shared" si="43"/>
        <v>14.182559301951969</v>
      </c>
      <c r="DR33" s="22">
        <f t="shared" si="16"/>
        <v>108.88231078423301</v>
      </c>
      <c r="DS33" s="62">
        <f t="shared" si="17"/>
        <v>319.79226334912346</v>
      </c>
      <c r="DT33" s="62">
        <f ca="1">AVERAGE(OFFSET($DS$3,0,0,'Données projet'!$E$14+1,1))-AVERAGE(OFFSET($H$3,0,0,'Données projet'!$E$14+1,1))</f>
        <v>304.1100958939968</v>
      </c>
      <c r="DU33" s="62">
        <f t="shared" si="44"/>
        <v>184.1255966824568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85.256410256410248</v>
      </c>
      <c r="EH33" s="13">
        <f>VLOOKUP(A33,'Données projet'!$A$191:$I$211,9,0)</f>
        <v>4.9999999999999982</v>
      </c>
      <c r="EI33" s="13">
        <f t="array" ref="EI33">INDEX(EH:EH,MIN(IF(ISNUMBER(EH33:EH229),ROW(EH33:EH229),"")))</f>
        <v>4.9999999999999982</v>
      </c>
      <c r="EJ33" s="13">
        <f>IF('Données projet'!$A$192&gt;35,EJ32+EI33-ER32,IF(A33&lt;'Données projet'!$A$192,$EG$205^A33,IF(A33='Données projet'!$A$192,'Données projet'!$B$192,EJ32+EI33-ER32)))</f>
        <v>85.256410256410263</v>
      </c>
      <c r="EK33" s="18">
        <f>EJ33*VLOOKUP('Données projet'!$B$15,Paramètres!$A$1:$I$89,3,0)*VLOOKUP('Données projet'!$B$15,Paramètres!$A$1:$I$89,5,0)</f>
        <v>86.450000000000017</v>
      </c>
      <c r="EL33" s="14">
        <f t="shared" si="45"/>
        <v>23.707055518453593</v>
      </c>
      <c r="EM33" s="22">
        <f t="shared" si="19"/>
        <v>191.85687169464003</v>
      </c>
      <c r="EN33" s="62">
        <f t="shared" si="20"/>
        <v>402.76682425953049</v>
      </c>
      <c r="EO33" s="62">
        <f ca="1">AVERAGE(OFFSET($EN$3,0,0,'Données projet'!$E$15+1,1))-AVERAGE(OFFSET($H$3,0,0,'Données projet'!$E$15+1,1))</f>
        <v>435.03433721979218</v>
      </c>
      <c r="EP33" s="62">
        <f t="shared" si="46"/>
        <v>267.10015759286387</v>
      </c>
      <c r="EQ33" s="16">
        <f>IF(ISNA(VLOOKUP(A33,'Données projet'!$A$191:$I$211,3,0)),0,VLOOKUP(A33,'Données projet'!$A$191:$I$211,3,0))</f>
        <v>1</v>
      </c>
      <c r="ER33" s="16">
        <f>IF(ISNA(VLOOKUP(A33,'Données projet'!$A$191:$I$211,4,0)),0,VLOOKUP(A33,'Données projet'!$A$191:$I$211,4,0))</f>
        <v>17.307692307692307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85.256410256410248</v>
      </c>
      <c r="FC33" s="13">
        <f>VLOOKUP(A33,'Données projet'!$A$217:$I$237,9,0)</f>
        <v>4.9999999999999982</v>
      </c>
      <c r="FD33" s="13">
        <f t="array" ref="FD33">INDEX(FC:FC,MIN(IF(ISNUMBER(FC33:FC229),ROW(FC33:FC229),"")))</f>
        <v>4.9999999999999982</v>
      </c>
      <c r="FE33" s="13">
        <f>IF('Données projet'!$A$218&gt;35,FE32+FD33-FM32,IF(A33&lt;'Données projet'!$A$218,$FB$205^A33,IF(A33='Données projet'!$A$218,'Données projet'!$B$218,FE32+FD33-FM32)))</f>
        <v>85.256410256410263</v>
      </c>
      <c r="FF33" s="18">
        <f>FE33*VLOOKUP('Données projet'!$B$16,Paramètres!$A$1:$I$89,3,0)*VLOOKUP('Données projet'!$B$16,Paramètres!$A$1:$I$89,5,0)</f>
        <v>89.110000000000014</v>
      </c>
      <c r="FG33" s="14">
        <f t="shared" si="47"/>
        <v>24.350454431803538</v>
      </c>
      <c r="FH33" s="22">
        <f t="shared" si="22"/>
        <v>197.61029146872451</v>
      </c>
      <c r="FI33" s="62">
        <f t="shared" si="23"/>
        <v>408.52024403361497</v>
      </c>
      <c r="FJ33" s="62">
        <f ca="1">AVERAGE(OFFSET($FI$3,0,0,'Données projet'!$E$16+1,1))-AVERAGE(OFFSET($H$3,0,0,'Données projet'!$E$16+1,1))</f>
        <v>445.15313998584293</v>
      </c>
      <c r="FK33" s="62">
        <f t="shared" si="48"/>
        <v>272.85357736694834</v>
      </c>
      <c r="FL33" s="16">
        <f>IF(ISNA(VLOOKUP(A33,'Données projet'!$A$217:$I$237,3,0)),0,VLOOKUP(A33,'Données projet'!$A$217:$I$237,3,0))</f>
        <v>1</v>
      </c>
      <c r="FM33" s="16">
        <f>IF(ISNA(VLOOKUP(A33,'Données projet'!$A$217:$I$237,4,0)),0,VLOOKUP(A33,'Données projet'!$A$217:$I$237,4,0))</f>
        <v>17.307692307692307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93</v>
      </c>
      <c r="FX33" s="13">
        <f>VLOOKUP(A33,'Données projet'!$A$243:$I$263,9,0)</f>
        <v>7.4</v>
      </c>
      <c r="FY33" s="13">
        <f t="array" ref="FY33">INDEX(FX:FX,MIN(IF(ISNUMBER(FX33:FX229),ROW(FX33:FX229),"")))</f>
        <v>7.4</v>
      </c>
      <c r="FZ33" s="13">
        <f>IF('Données projet'!$A$244&gt;35,FZ32+FY33-GH32,IF(A33&lt;'Données projet'!$A$244,$FW$205^A33,IF(A33='Données projet'!$A$244,'Données projet'!$B$244,FZ32+FY33-GH32)))</f>
        <v>93.000000000000028</v>
      </c>
      <c r="GA33" s="18">
        <f>FZ33*VLOOKUP('Données projet'!$B$17,Paramètres!$A$1:$I$89,3,0)*VLOOKUP('Données projet'!$B$17,Paramètres!$A$1:$I$89,5,0)</f>
        <v>81.244800000000026</v>
      </c>
      <c r="GB33" s="14">
        <f t="shared" si="49"/>
        <v>22.441270156928962</v>
      </c>
      <c r="GC33" s="22">
        <f t="shared" si="25"/>
        <v>180.58657218998465</v>
      </c>
      <c r="GD33" s="62">
        <f t="shared" si="26"/>
        <v>391.49652475487505</v>
      </c>
      <c r="GE33" s="62">
        <f ca="1">AVERAGE(OFFSET($GD$3,0,0,'Données projet'!$E$17+1,1))-AVERAGE(OFFSET($H$3,0,0,'Données projet'!$E$17+1,1))</f>
        <v>248.82613595888964</v>
      </c>
      <c r="GF33" s="62">
        <f t="shared" si="50"/>
        <v>255.8298580882084</v>
      </c>
      <c r="GG33" s="16">
        <f>IF(ISNA(VLOOKUP(A33,'Données projet'!$A$243:$I$263,3,0)),0,VLOOKUP(A33,'Données projet'!$A$243:$I$263,3,0))</f>
        <v>1</v>
      </c>
      <c r="GH33" s="16">
        <f>IF(ISNA(VLOOKUP(A33,'Données projet'!$A$243:$I$263,4,0)),0,VLOOKUP(A33,'Données projet'!$A$243:$I$263,4,0))</f>
        <v>31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135.66666666666666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6.5333333333333341</v>
      </c>
      <c r="N34" s="14">
        <f>IF('Données projet'!$A$36&gt;35,N33+M34-V33,IF(A34&lt;'Données projet'!$A$36,$K$205^A34,IF(A34='Données projet'!$A$36,'Données projet'!$B$36,N33+M34-V33)))</f>
        <v>93.202564102564082</v>
      </c>
      <c r="O34" s="14">
        <f>N34*VLOOKUP('Données projet'!$B$9,Paramètres!$A$1:$I$89,3,0)*VLOOKUP('Données projet'!$B$9,Paramètres!$A$1:$I$89,5,0)</f>
        <v>54.523499999999991</v>
      </c>
      <c r="P34" s="14">
        <f t="shared" si="33"/>
        <v>15.776019906965951</v>
      </c>
      <c r="Q34" s="22">
        <f t="shared" si="2"/>
        <v>122.43833050463235</v>
      </c>
      <c r="R34" s="62">
        <f t="shared" si="0"/>
        <v>334.77814445478168</v>
      </c>
      <c r="S34" s="62">
        <f ca="1">AVERAGE(OFFSET($R$3,0,0,'Données projet'!$E$9+1,1))-AVERAGE(OFFSET($H$3,0,0,'Données projet'!$E$9+1,1))</f>
        <v>221.18884567967481</v>
      </c>
      <c r="T34" s="62">
        <f t="shared" si="34"/>
        <v>189.31596996710888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1.9254166666666663</v>
      </c>
      <c r="AI34" s="14">
        <f>IF('Données projet'!$A$62&gt;35,AI33+AH34-AQ33,IF(A34&lt;'Données projet'!$A$62,$AF$205^A34,IF(A34='Données projet'!$A$62,'Données projet'!$B$62,AI33+AH34-AQ33)))</f>
        <v>45.3379166666667</v>
      </c>
      <c r="AJ34" s="14">
        <f>AI34*VLOOKUP('Données projet'!$B$10,Paramètres!$A$1:$I$89,3,0)*VLOOKUP('Données projet'!$B$10,Paramètres!$A$1:$I$89,5,0)</f>
        <v>52.229280000000031</v>
      </c>
      <c r="AK34" s="14">
        <f t="shared" si="35"/>
        <v>15.188011234079523</v>
      </c>
      <c r="AL34" s="22">
        <f t="shared" si="4"/>
        <v>117.41844889935521</v>
      </c>
      <c r="AM34" s="62">
        <f t="shared" si="5"/>
        <v>329.75826284950449</v>
      </c>
      <c r="AN34" s="62">
        <f ca="1">AVERAGE(OFFSET($AM$3,0,0,'Données projet'!$E$10+1,1))-AVERAGE(OFFSET($H$3,0,0,'Données projet'!$E$10+1,1))</f>
        <v>314.72063458462026</v>
      </c>
      <c r="AO34" s="62">
        <f t="shared" si="36"/>
        <v>216.4380325968244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5.1282051282051295</v>
      </c>
      <c r="BD34" s="13">
        <f>IF('Données projet'!$A$88&gt;35,BD33+BC34-BL33,IF(A34&lt;'Données projet'!$A$88,$BA$205^A34,IF(A34='Données projet'!$A$88,'Données projet'!$B$88,BD33+BC34-BL33)))</f>
        <v>73.07692307692308</v>
      </c>
      <c r="BE34" s="14">
        <f>BD34*VLOOKUP('Données projet'!$B$11,Paramètres!$A$1:$I$89,3,0)*VLOOKUP('Données projet'!$B$11,Paramètres!$A$1:$I$89,5,0)</f>
        <v>78.66</v>
      </c>
      <c r="BF34" s="14">
        <f t="shared" si="37"/>
        <v>21.809225756799648</v>
      </c>
      <c r="BG34" s="22">
        <f t="shared" si="7"/>
        <v>174.98390152642602</v>
      </c>
      <c r="BH34" s="62">
        <f t="shared" si="8"/>
        <v>387.32371547657533</v>
      </c>
      <c r="BI34" s="62">
        <f ca="1">AVERAGE(OFFSET($BH$3,0,0,'Données projet'!$E$11+1,1))-AVERAGE(OFFSET($H$3,0,0,'Données projet'!$E$11+1,1))</f>
        <v>455.26558725507834</v>
      </c>
      <c r="BJ34" s="62">
        <f t="shared" si="38"/>
        <v>278.60310966788552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4.2199999999999989</v>
      </c>
      <c r="BY34" s="13">
        <f>IF('Données projet'!$A$114&gt;35,BY33+BX34-CG33,IF(A34&lt;'Données projet'!$A$114,$BV$205^A34,IF(A34='Données projet'!$A$114,'Données projet'!$B$114,BY33+BX34-CG33)))</f>
        <v>136.11999999999998</v>
      </c>
      <c r="BZ34" s="14">
        <f>BY34*VLOOKUP('Données projet'!$B$12,Paramètres!$A$1:$I$89,3,0)*VLOOKUP('Données projet'!$B$12,Paramètres!$A$1:$I$89,5,0)</f>
        <v>70.782399999999996</v>
      </c>
      <c r="CA34" s="14">
        <f t="shared" si="39"/>
        <v>19.867629196840106</v>
      </c>
      <c r="CB34" s="22">
        <f t="shared" si="10"/>
        <v>157.88213418449652</v>
      </c>
      <c r="CC34" s="62">
        <f t="shared" si="11"/>
        <v>370.2219481346458</v>
      </c>
      <c r="CD34" s="62">
        <f ca="1">AVERAGE(OFFSET($CC$3,0,0,'Données projet'!$E$12+1,1))-AVERAGE(OFFSET($H$3,0,0,'Données projet'!$E$12+1,1))</f>
        <v>300.72820267660154</v>
      </c>
      <c r="CE34" s="62">
        <f t="shared" si="40"/>
        <v>228.35388778608589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5.1282051282051295</v>
      </c>
      <c r="CT34" s="13">
        <f>IF('Données projet'!$A$140&gt;35,CT33+CS34-DB33,IF(A34&lt;'Données projet'!$A$140,$CQ$205^A34,IF(A34='Données projet'!$A$140,'Données projet'!$B$140,CT33+CS34-DB33)))</f>
        <v>73.07692307692308</v>
      </c>
      <c r="CU34" s="18">
        <f>CT34*VLOOKUP('Données projet'!$B$13,Paramètres!$A$1:$I$89,3,0)*VLOOKUP('Données projet'!$B$13,Paramètres!$A$1:$I$89,5,0)</f>
        <v>62.700000000000017</v>
      </c>
      <c r="CV34" s="14">
        <f t="shared" si="41"/>
        <v>17.849155124304353</v>
      </c>
      <c r="CW34" s="22">
        <f t="shared" si="13"/>
        <v>140.28977850816344</v>
      </c>
      <c r="CX34" s="62">
        <f t="shared" si="14"/>
        <v>352.62959245831274</v>
      </c>
      <c r="CY34" s="62">
        <f ca="1">AVERAGE(OFFSET($CX$3,0,0,'Données projet'!$E$13+1,1))-AVERAGE(OFFSET($H$3,0,0,'Données projet'!$E$13+1,1))</f>
        <v>384.3367849108829</v>
      </c>
      <c r="CZ34" s="62">
        <f t="shared" si="42"/>
        <v>238.2697272367603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8.9230769230769198</v>
      </c>
      <c r="DO34" s="13">
        <f>IF('Données projet'!$A$166&gt;35,DO33+DN34-DW33,IF(A34&lt;'Données projet'!$A$166,$DL$205^A34,IF(A34='Données projet'!$A$166,'Données projet'!$B$166,DO33+DN34-DW33)))</f>
        <v>112.19999999999999</v>
      </c>
      <c r="DP34" s="18">
        <f>DO34*VLOOKUP('Données projet'!$B$14,Paramètres!$A$1:$I$89,3,0)*VLOOKUP('Données projet'!$B$14,Paramètres!$A$1:$I$89,5,0)</f>
        <v>52.509599999999999</v>
      </c>
      <c r="DQ34" s="14">
        <f t="shared" si="43"/>
        <v>15.260016001659478</v>
      </c>
      <c r="DR34" s="22">
        <f t="shared" si="16"/>
        <v>118.03208120289025</v>
      </c>
      <c r="DS34" s="62">
        <f t="shared" si="17"/>
        <v>330.37189515303953</v>
      </c>
      <c r="DT34" s="62">
        <f ca="1">AVERAGE(OFFSET($DS$3,0,0,'Données projet'!$E$14+1,1))-AVERAGE(OFFSET($H$3,0,0,'Données projet'!$E$14+1,1))</f>
        <v>304.1100958939968</v>
      </c>
      <c r="DU34" s="62">
        <f t="shared" si="44"/>
        <v>184.1255966824568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5.1282051282051295</v>
      </c>
      <c r="EJ34" s="13">
        <f>IF('Données projet'!$A$192&gt;35,EJ33+EI34-ER33,IF(A34&lt;'Données projet'!$A$192,$EG$205^A34,IF(A34='Données projet'!$A$192,'Données projet'!$B$192,EJ33+EI34-ER33)))</f>
        <v>73.07692307692308</v>
      </c>
      <c r="EK34" s="18">
        <f>EJ34*VLOOKUP('Données projet'!$B$15,Paramètres!$A$1:$I$89,3,0)*VLOOKUP('Données projet'!$B$15,Paramètres!$A$1:$I$89,5,0)</f>
        <v>74.100000000000009</v>
      </c>
      <c r="EL34" s="14">
        <f t="shared" si="45"/>
        <v>20.688234651093438</v>
      </c>
      <c r="EM34" s="22">
        <f t="shared" si="19"/>
        <v>165.08950868398776</v>
      </c>
      <c r="EN34" s="62">
        <f t="shared" si="20"/>
        <v>377.42932263413707</v>
      </c>
      <c r="EO34" s="62">
        <f ca="1">AVERAGE(OFFSET($EN$3,0,0,'Données projet'!$E$15+1,1))-AVERAGE(OFFSET($H$3,0,0,'Données projet'!$E$15+1,1))</f>
        <v>435.03433721979218</v>
      </c>
      <c r="EP34" s="62">
        <f t="shared" si="46"/>
        <v>267.10015759286387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5.1282051282051295</v>
      </c>
      <c r="FE34" s="13">
        <f>IF('Données projet'!$A$218&gt;35,FE33+FD34-FM33,IF(A34&lt;'Données projet'!$A$218,$FB$205^A34,IF(A34='Données projet'!$A$218,'Données projet'!$B$218,FE33+FD34-FM33)))</f>
        <v>73.07692307692308</v>
      </c>
      <c r="FF34" s="18">
        <f>FE34*VLOOKUP('Données projet'!$B$16,Paramètres!$A$1:$I$89,3,0)*VLOOKUP('Données projet'!$B$16,Paramètres!$A$1:$I$89,5,0)</f>
        <v>76.38000000000001</v>
      </c>
      <c r="FG34" s="14">
        <f t="shared" si="47"/>
        <v>21.249704112506787</v>
      </c>
      <c r="FH34" s="22">
        <f t="shared" si="22"/>
        <v>170.03840132928266</v>
      </c>
      <c r="FI34" s="62">
        <f t="shared" si="23"/>
        <v>382.37821527943197</v>
      </c>
      <c r="FJ34" s="62">
        <f ca="1">AVERAGE(OFFSET($FI$3,0,0,'Données projet'!$E$16+1,1))-AVERAGE(OFFSET($H$3,0,0,'Données projet'!$E$16+1,1))</f>
        <v>445.15313998584293</v>
      </c>
      <c r="FK34" s="62">
        <f t="shared" si="48"/>
        <v>272.85357736694834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6.6</v>
      </c>
      <c r="FZ34" s="13">
        <f>IF('Données projet'!$A$244&gt;35,FZ33+FY34-GH33,IF(A34&lt;'Données projet'!$A$244,$FW$205^A34,IF(A34='Données projet'!$A$244,'Données projet'!$B$244,FZ33+FY34-GH33)))</f>
        <v>68.600000000000023</v>
      </c>
      <c r="GA34" s="18">
        <f>FZ34*VLOOKUP('Données projet'!$B$17,Paramètres!$A$1:$I$89,3,0)*VLOOKUP('Données projet'!$B$17,Paramètres!$A$1:$I$89,5,0)</f>
        <v>59.928960000000032</v>
      </c>
      <c r="GB34" s="14">
        <f t="shared" si="49"/>
        <v>17.150306633391647</v>
      </c>
      <c r="GC34" s="22">
        <f t="shared" si="25"/>
        <v>134.24638938649051</v>
      </c>
      <c r="GD34" s="62">
        <f t="shared" si="26"/>
        <v>346.58620333663981</v>
      </c>
      <c r="GE34" s="62">
        <f ca="1">AVERAGE(OFFSET($GD$3,0,0,'Données projet'!$E$17+1,1))-AVERAGE(OFFSET($H$3,0,0,'Données projet'!$E$17+1,1))</f>
        <v>248.82613595888964</v>
      </c>
      <c r="GF34" s="62">
        <f t="shared" si="50"/>
        <v>255.8298580882084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135.66666666666666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6.5333333333333341</v>
      </c>
      <c r="N35" s="14">
        <f>IF('Données projet'!$A$36&gt;35,N34+M35-V34,IF(A35&lt;'Données projet'!$A$36,$K$205^A35,IF(A35='Données projet'!$A$36,'Données projet'!$B$36,N34+M35-V34)))</f>
        <v>99.735897435897414</v>
      </c>
      <c r="O35" s="14">
        <f>N35*VLOOKUP('Données projet'!$B$9,Paramètres!$A$1:$I$89,3,0)*VLOOKUP('Données projet'!$B$9,Paramètres!$A$1:$I$89,5,0)</f>
        <v>58.345499999999987</v>
      </c>
      <c r="P35" s="14">
        <f t="shared" si="33"/>
        <v>16.749281181106795</v>
      </c>
      <c r="Q35" s="22">
        <f t="shared" ref="Q35:Q66" si="53">(O35+P35)*0.475*44/12</f>
        <v>130.79007722376096</v>
      </c>
      <c r="R35" s="62">
        <f t="shared" si="0"/>
        <v>344.53494766082611</v>
      </c>
      <c r="S35" s="62">
        <f ca="1">AVERAGE(OFFSET($R$3,0,0,'Données projet'!$E$9+1,1))-AVERAGE(OFFSET($H$3,0,0,'Données projet'!$E$9+1,1))</f>
        <v>221.18884567967481</v>
      </c>
      <c r="T35" s="62">
        <f t="shared" si="34"/>
        <v>189.31596996710888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1.9254166666666663</v>
      </c>
      <c r="AI35" s="14">
        <f>IF('Données projet'!$A$62&gt;35,AI34+AH35-AQ34,IF(A35&lt;'Données projet'!$A$62,$AF$205^A35,IF(A35='Données projet'!$A$62,'Données projet'!$B$62,AI34+AH35-AQ34)))</f>
        <v>47.263333333333364</v>
      </c>
      <c r="AJ35" s="14">
        <f>AI35*VLOOKUP('Données projet'!$B$10,Paramètres!$A$1:$I$89,3,0)*VLOOKUP('Données projet'!$B$10,Paramètres!$A$1:$I$89,5,0)</f>
        <v>54.447360000000032</v>
      </c>
      <c r="AK35" s="14">
        <f t="shared" si="35"/>
        <v>15.756552073943871</v>
      </c>
      <c r="AL35" s="22">
        <f t="shared" si="4"/>
        <v>122.27181352878561</v>
      </c>
      <c r="AM35" s="62">
        <f t="shared" si="5"/>
        <v>336.01668396585075</v>
      </c>
      <c r="AN35" s="62">
        <f ca="1">AVERAGE(OFFSET($AM$3,0,0,'Données projet'!$E$10+1,1))-AVERAGE(OFFSET($H$3,0,0,'Données projet'!$E$10+1,1))</f>
        <v>314.72063458462026</v>
      </c>
      <c r="AO35" s="62">
        <f t="shared" si="36"/>
        <v>216.4380325968244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5.1282051282051295</v>
      </c>
      <c r="BD35" s="13">
        <f>IF('Données projet'!$A$88&gt;35,BD34+BC35-BL34,IF(A35&lt;'Données projet'!$A$88,$BA$205^A35,IF(A35='Données projet'!$A$88,'Données projet'!$B$88,BD34+BC35-BL34)))</f>
        <v>78.205128205128204</v>
      </c>
      <c r="BE35" s="14">
        <f>BD35*VLOOKUP('Données projet'!$B$11,Paramètres!$A$1:$I$89,3,0)*VLOOKUP('Données projet'!$B$11,Paramètres!$A$1:$I$89,5,0)</f>
        <v>84.18</v>
      </c>
      <c r="BF35" s="14">
        <f t="shared" si="37"/>
        <v>23.156166724555288</v>
      </c>
      <c r="BG35" s="22">
        <f t="shared" si="7"/>
        <v>186.94382371193379</v>
      </c>
      <c r="BH35" s="62">
        <f t="shared" si="8"/>
        <v>400.68869414899893</v>
      </c>
      <c r="BI35" s="62">
        <f ca="1">AVERAGE(OFFSET($BH$3,0,0,'Données projet'!$E$11+1,1))-AVERAGE(OFFSET($H$3,0,0,'Données projet'!$E$11+1,1))</f>
        <v>455.26558725507834</v>
      </c>
      <c r="BJ35" s="62">
        <f t="shared" si="38"/>
        <v>278.60310966788552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4.2199999999999989</v>
      </c>
      <c r="BY35" s="13">
        <f>IF('Données projet'!$A$114&gt;35,BY34+BX35-CG34,IF(A35&lt;'Données projet'!$A$114,$BV$205^A35,IF(A35='Données projet'!$A$114,'Données projet'!$B$114,BY34+BX35-CG34)))</f>
        <v>140.33999999999997</v>
      </c>
      <c r="BZ35" s="14">
        <f>BY35*VLOOKUP('Données projet'!$B$12,Paramètres!$A$1:$I$89,3,0)*VLOOKUP('Données projet'!$B$12,Paramètres!$A$1:$I$89,5,0)</f>
        <v>72.976799999999997</v>
      </c>
      <c r="CA35" s="14">
        <f t="shared" si="39"/>
        <v>20.410900619331521</v>
      </c>
      <c r="CB35" s="22">
        <f t="shared" si="10"/>
        <v>162.65024524533573</v>
      </c>
      <c r="CC35" s="62">
        <f t="shared" si="11"/>
        <v>376.39511568240084</v>
      </c>
      <c r="CD35" s="62">
        <f ca="1">AVERAGE(OFFSET($CC$3,0,0,'Données projet'!$E$12+1,1))-AVERAGE(OFFSET($H$3,0,0,'Données projet'!$E$12+1,1))</f>
        <v>300.72820267660154</v>
      </c>
      <c r="CE35" s="62">
        <f t="shared" si="40"/>
        <v>228.35388778608589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5.1282051282051295</v>
      </c>
      <c r="CT35" s="13">
        <f>IF('Données projet'!$A$140&gt;35,CT34+CS35-DB34,IF(A35&lt;'Données projet'!$A$140,$CQ$205^A35,IF(A35='Données projet'!$A$140,'Données projet'!$B$140,CT34+CS35-DB34)))</f>
        <v>78.205128205128204</v>
      </c>
      <c r="CU35" s="18">
        <f>CT35*VLOOKUP('Données projet'!$B$13,Paramètres!$A$1:$I$89,3,0)*VLOOKUP('Données projet'!$B$13,Paramètres!$A$1:$I$89,5,0)</f>
        <v>67.100000000000009</v>
      </c>
      <c r="CV35" s="14">
        <f t="shared" si="41"/>
        <v>18.951521551469028</v>
      </c>
      <c r="CW35" s="22">
        <f t="shared" si="13"/>
        <v>149.87306670214187</v>
      </c>
      <c r="CX35" s="62">
        <f t="shared" si="14"/>
        <v>363.61793713920702</v>
      </c>
      <c r="CY35" s="62">
        <f ca="1">AVERAGE(OFFSET($CX$3,0,0,'Données projet'!$E$13+1,1))-AVERAGE(OFFSET($H$3,0,0,'Données projet'!$E$13+1,1))</f>
        <v>384.3367849108829</v>
      </c>
      <c r="CZ35" s="62">
        <f t="shared" si="42"/>
        <v>238.2697272367603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8.9230769230769198</v>
      </c>
      <c r="DO35" s="13">
        <f>IF('Données projet'!$A$166&gt;35,DO34+DN35-DW34,IF(A35&lt;'Données projet'!$A$166,$DL$205^A35,IF(A35='Données projet'!$A$166,'Données projet'!$B$166,DO34+DN35-DW34)))</f>
        <v>121.12307692307691</v>
      </c>
      <c r="DP35" s="18">
        <f>DO35*VLOOKUP('Données projet'!$B$14,Paramètres!$A$1:$I$89,3,0)*VLOOKUP('Données projet'!$B$14,Paramètres!$A$1:$I$89,5,0)</f>
        <v>56.685599999999994</v>
      </c>
      <c r="DQ35" s="14">
        <f t="shared" si="43"/>
        <v>16.327533552386551</v>
      </c>
      <c r="DR35" s="22">
        <f t="shared" si="16"/>
        <v>127.16454093707324</v>
      </c>
      <c r="DS35" s="62">
        <f t="shared" si="17"/>
        <v>340.90941137413836</v>
      </c>
      <c r="DT35" s="62">
        <f ca="1">AVERAGE(OFFSET($DS$3,0,0,'Données projet'!$E$14+1,1))-AVERAGE(OFFSET($H$3,0,0,'Données projet'!$E$14+1,1))</f>
        <v>304.1100958939968</v>
      </c>
      <c r="DU35" s="62">
        <f t="shared" si="44"/>
        <v>184.1255966824568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5.1282051282051295</v>
      </c>
      <c r="EJ35" s="13">
        <f>IF('Données projet'!$A$192&gt;35,EJ34+EI35-ER34,IF(A35&lt;'Données projet'!$A$192,$EG$205^A35,IF(A35='Données projet'!$A$192,'Données projet'!$B$192,EJ34+EI35-ER34)))</f>
        <v>78.205128205128204</v>
      </c>
      <c r="EK35" s="18">
        <f>EJ35*VLOOKUP('Données projet'!$B$15,Paramètres!$A$1:$I$89,3,0)*VLOOKUP('Données projet'!$B$15,Paramètres!$A$1:$I$89,5,0)</f>
        <v>79.300000000000011</v>
      </c>
      <c r="EL35" s="14">
        <f t="shared" si="45"/>
        <v>21.965943044451311</v>
      </c>
      <c r="EM35" s="22">
        <f t="shared" si="19"/>
        <v>176.37151746908603</v>
      </c>
      <c r="EN35" s="62">
        <f t="shared" si="20"/>
        <v>390.1163879061512</v>
      </c>
      <c r="EO35" s="62">
        <f ca="1">AVERAGE(OFFSET($EN$3,0,0,'Données projet'!$E$15+1,1))-AVERAGE(OFFSET($H$3,0,0,'Données projet'!$E$15+1,1))</f>
        <v>435.03433721979218</v>
      </c>
      <c r="EP35" s="62">
        <f t="shared" si="46"/>
        <v>267.10015759286387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5.1282051282051295</v>
      </c>
      <c r="FE35" s="13">
        <f>IF('Données projet'!$A$218&gt;35,FE34+FD35-FM34,IF(A35&lt;'Données projet'!$A$218,$FB$205^A35,IF(A35='Données projet'!$A$218,'Données projet'!$B$218,FE34+FD35-FM34)))</f>
        <v>78.205128205128204</v>
      </c>
      <c r="FF35" s="18">
        <f>FE35*VLOOKUP('Données projet'!$B$16,Paramètres!$A$1:$I$89,3,0)*VLOOKUP('Données projet'!$B$16,Paramètres!$A$1:$I$89,5,0)</f>
        <v>81.740000000000009</v>
      </c>
      <c r="FG35" s="14">
        <f t="shared" si="47"/>
        <v>22.56208894179845</v>
      </c>
      <c r="FH35" s="22">
        <f t="shared" si="22"/>
        <v>181.65947157363232</v>
      </c>
      <c r="FI35" s="62">
        <f t="shared" si="23"/>
        <v>395.40434201069746</v>
      </c>
      <c r="FJ35" s="62">
        <f ca="1">AVERAGE(OFFSET($FI$3,0,0,'Données projet'!$E$16+1,1))-AVERAGE(OFFSET($H$3,0,0,'Données projet'!$E$16+1,1))</f>
        <v>445.15313998584293</v>
      </c>
      <c r="FK35" s="62">
        <f t="shared" si="48"/>
        <v>272.85357736694834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6.6</v>
      </c>
      <c r="FZ35" s="13">
        <f>IF('Données projet'!$A$244&gt;35,FZ34+FY35-GH34,IF(A35&lt;'Données projet'!$A$244,$FW$205^A35,IF(A35='Données projet'!$A$244,'Données projet'!$B$244,FZ34+FY35-GH34)))</f>
        <v>75.200000000000017</v>
      </c>
      <c r="GA35" s="18">
        <f>FZ35*VLOOKUP('Données projet'!$B$17,Paramètres!$A$1:$I$89,3,0)*VLOOKUP('Données projet'!$B$17,Paramètres!$A$1:$I$89,5,0)</f>
        <v>65.694720000000032</v>
      </c>
      <c r="GB35" s="14">
        <f t="shared" si="49"/>
        <v>18.600387185619521</v>
      </c>
      <c r="GC35" s="22">
        <f t="shared" si="25"/>
        <v>146.81397834828738</v>
      </c>
      <c r="GD35" s="62">
        <f t="shared" si="26"/>
        <v>360.55884878535255</v>
      </c>
      <c r="GE35" s="62">
        <f ca="1">AVERAGE(OFFSET($GD$3,0,0,'Données projet'!$E$17+1,1))-AVERAGE(OFFSET($H$3,0,0,'Données projet'!$E$17+1,1))</f>
        <v>248.82613595888964</v>
      </c>
      <c r="GF35" s="62">
        <f t="shared" si="50"/>
        <v>255.8298580882084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135.66666666666666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6.5333333333333341</v>
      </c>
      <c r="N36" s="14">
        <f>IF('Données projet'!$A$36&gt;35,N35+M36-V35,IF(A36&lt;'Données projet'!$A$36,$K$205^A36,IF(A36='Données projet'!$A$36,'Données projet'!$B$36,N35+M36-V35)))</f>
        <v>106.26923076923075</v>
      </c>
      <c r="O36" s="14">
        <f>N36*VLOOKUP('Données projet'!$B$9,Paramètres!$A$1:$I$89,3,0)*VLOOKUP('Données projet'!$B$9,Paramètres!$A$1:$I$89,5,0)</f>
        <v>62.167499999999983</v>
      </c>
      <c r="P36" s="14">
        <f t="shared" si="33"/>
        <v>17.715144035839788</v>
      </c>
      <c r="Q36" s="22">
        <f t="shared" si="53"/>
        <v>139.12893836242094</v>
      </c>
      <c r="R36" s="62">
        <f t="shared" si="0"/>
        <v>354.25449069758963</v>
      </c>
      <c r="S36" s="62">
        <f ca="1">AVERAGE(OFFSET($R$3,0,0,'Données projet'!$E$9+1,1))-AVERAGE(OFFSET($H$3,0,0,'Données projet'!$E$9+1,1))</f>
        <v>221.18884567967481</v>
      </c>
      <c r="T36" s="62">
        <f t="shared" si="34"/>
        <v>189.31596996710888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1.9254166666666663</v>
      </c>
      <c r="AI36" s="14">
        <f>IF('Données projet'!$A$62&gt;35,AI35+AH36-AQ35,IF(A36&lt;'Données projet'!$A$62,$AF$205^A36,IF(A36='Données projet'!$A$62,'Données projet'!$B$62,AI35+AH36-AQ35)))</f>
        <v>49.188750000000027</v>
      </c>
      <c r="AJ36" s="14">
        <f>AI36*VLOOKUP('Données projet'!$B$10,Paramètres!$A$1:$I$89,3,0)*VLOOKUP('Données projet'!$B$10,Paramètres!$A$1:$I$89,5,0)</f>
        <v>56.665440000000025</v>
      </c>
      <c r="AK36" s="14">
        <f t="shared" si="35"/>
        <v>16.322402540008241</v>
      </c>
      <c r="AL36" s="22">
        <f t="shared" si="4"/>
        <v>127.12049242384775</v>
      </c>
      <c r="AM36" s="62">
        <f t="shared" si="5"/>
        <v>342.2460447590164</v>
      </c>
      <c r="AN36" s="62">
        <f ca="1">AVERAGE(OFFSET($AM$3,0,0,'Données projet'!$E$10+1,1))-AVERAGE(OFFSET($H$3,0,0,'Données projet'!$E$10+1,1))</f>
        <v>314.72063458462026</v>
      </c>
      <c r="AO36" s="62">
        <f t="shared" si="36"/>
        <v>216.4380325968244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5.1282051282051295</v>
      </c>
      <c r="BD36" s="13">
        <f>IF('Données projet'!$A$88&gt;35,BD35+BC36-BL35,IF(A36&lt;'Données projet'!$A$88,$BA$205^A36,IF(A36='Données projet'!$A$88,'Données projet'!$B$88,BD35+BC36-BL35)))</f>
        <v>83.333333333333329</v>
      </c>
      <c r="BE36" s="14">
        <f>BD36*VLOOKUP('Données projet'!$B$11,Paramètres!$A$1:$I$89,3,0)*VLOOKUP('Données projet'!$B$11,Paramètres!$A$1:$I$89,5,0)</f>
        <v>89.699999999999989</v>
      </c>
      <c r="BF36" s="14">
        <f t="shared" si="37"/>
        <v>24.492858164013299</v>
      </c>
      <c r="BG36" s="22">
        <f t="shared" si="7"/>
        <v>198.88589463565646</v>
      </c>
      <c r="BH36" s="62">
        <f t="shared" si="8"/>
        <v>414.01144697082509</v>
      </c>
      <c r="BI36" s="62">
        <f ca="1">AVERAGE(OFFSET($BH$3,0,0,'Données projet'!$E$11+1,1))-AVERAGE(OFFSET($H$3,0,0,'Données projet'!$E$11+1,1))</f>
        <v>455.26558725507834</v>
      </c>
      <c r="BJ36" s="62">
        <f t="shared" si="38"/>
        <v>278.60310966788552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4.2199999999999989</v>
      </c>
      <c r="BY36" s="13">
        <f>IF('Données projet'!$A$114&gt;35,BY35+BX36-CG35,IF(A36&lt;'Données projet'!$A$114,$BV$205^A36,IF(A36='Données projet'!$A$114,'Données projet'!$B$114,BY35+BX36-CG35)))</f>
        <v>144.55999999999997</v>
      </c>
      <c r="BZ36" s="14">
        <f>BY36*VLOOKUP('Données projet'!$B$12,Paramètres!$A$1:$I$89,3,0)*VLOOKUP('Données projet'!$B$12,Paramètres!$A$1:$I$89,5,0)</f>
        <v>75.171199999999985</v>
      </c>
      <c r="CA36" s="14">
        <f t="shared" si="39"/>
        <v>20.952273543776592</v>
      </c>
      <c r="CB36" s="22">
        <f t="shared" si="10"/>
        <v>167.41504975541088</v>
      </c>
      <c r="CC36" s="62">
        <f t="shared" si="11"/>
        <v>382.54060209057957</v>
      </c>
      <c r="CD36" s="62">
        <f ca="1">AVERAGE(OFFSET($CC$3,0,0,'Données projet'!$E$12+1,1))-AVERAGE(OFFSET($H$3,0,0,'Données projet'!$E$12+1,1))</f>
        <v>300.72820267660154</v>
      </c>
      <c r="CE36" s="62">
        <f t="shared" si="40"/>
        <v>228.35388778608589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5.1282051282051295</v>
      </c>
      <c r="CT36" s="13">
        <f>IF('Données projet'!$A$140&gt;35,CT35+CS36-DB35,IF(A36&lt;'Données projet'!$A$140,$CQ$205^A36,IF(A36='Données projet'!$A$140,'Données projet'!$B$140,CT35+CS36-DB35)))</f>
        <v>83.333333333333329</v>
      </c>
      <c r="CU36" s="18">
        <f>CT36*VLOOKUP('Données projet'!$B$13,Paramètres!$A$1:$I$89,3,0)*VLOOKUP('Données projet'!$B$13,Paramètres!$A$1:$I$89,5,0)</f>
        <v>71.5</v>
      </c>
      <c r="CV36" s="14">
        <f t="shared" si="41"/>
        <v>20.045499536853356</v>
      </c>
      <c r="CW36" s="22">
        <f t="shared" si="13"/>
        <v>159.44174502668625</v>
      </c>
      <c r="CX36" s="62">
        <f t="shared" si="14"/>
        <v>374.56729736185491</v>
      </c>
      <c r="CY36" s="62">
        <f ca="1">AVERAGE(OFFSET($CX$3,0,0,'Données projet'!$E$13+1,1))-AVERAGE(OFFSET($H$3,0,0,'Données projet'!$E$13+1,1))</f>
        <v>384.3367849108829</v>
      </c>
      <c r="CZ36" s="62">
        <f t="shared" si="42"/>
        <v>238.2697272367603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8.9230769230769198</v>
      </c>
      <c r="DO36" s="13">
        <f>IF('Données projet'!$A$166&gt;35,DO35+DN36-DW35,IF(A36&lt;'Données projet'!$A$166,$DL$205^A36,IF(A36='Données projet'!$A$166,'Données projet'!$B$166,DO35+DN36-DW35)))</f>
        <v>130.04615384615383</v>
      </c>
      <c r="DP36" s="18">
        <f>DO36*VLOOKUP('Données projet'!$B$14,Paramètres!$A$1:$I$89,3,0)*VLOOKUP('Données projet'!$B$14,Paramètres!$A$1:$I$89,5,0)</f>
        <v>60.861599999999989</v>
      </c>
      <c r="DQ36" s="14">
        <f t="shared" si="43"/>
        <v>17.385927430951966</v>
      </c>
      <c r="DR36" s="22">
        <f t="shared" si="16"/>
        <v>136.28111027557466</v>
      </c>
      <c r="DS36" s="62">
        <f t="shared" si="17"/>
        <v>351.4066626107433</v>
      </c>
      <c r="DT36" s="62">
        <f ca="1">AVERAGE(OFFSET($DS$3,0,0,'Données projet'!$E$14+1,1))-AVERAGE(OFFSET($H$3,0,0,'Données projet'!$E$14+1,1))</f>
        <v>304.1100958939968</v>
      </c>
      <c r="DU36" s="62">
        <f t="shared" si="44"/>
        <v>184.1255966824568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5.1282051282051295</v>
      </c>
      <c r="EJ36" s="13">
        <f>IF('Données projet'!$A$192&gt;35,EJ35+EI36-ER35,IF(A36&lt;'Données projet'!$A$192,$EG$205^A36,IF(A36='Données projet'!$A$192,'Données projet'!$B$192,EJ35+EI36-ER35)))</f>
        <v>83.333333333333329</v>
      </c>
      <c r="EK36" s="18">
        <f>EJ36*VLOOKUP('Données projet'!$B$15,Paramètres!$A$1:$I$89,3,0)*VLOOKUP('Données projet'!$B$15,Paramètres!$A$1:$I$89,5,0)</f>
        <v>84.5</v>
      </c>
      <c r="EL36" s="14">
        <f t="shared" si="45"/>
        <v>23.233928733810014</v>
      </c>
      <c r="EM36" s="22">
        <f t="shared" si="19"/>
        <v>187.63659254471909</v>
      </c>
      <c r="EN36" s="62">
        <f t="shared" si="20"/>
        <v>402.76214487988773</v>
      </c>
      <c r="EO36" s="62">
        <f ca="1">AVERAGE(OFFSET($EN$3,0,0,'Données projet'!$E$15+1,1))-AVERAGE(OFFSET($H$3,0,0,'Données projet'!$E$15+1,1))</f>
        <v>435.03433721979218</v>
      </c>
      <c r="EP36" s="62">
        <f t="shared" si="46"/>
        <v>267.10015759286387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5.1282051282051295</v>
      </c>
      <c r="FE36" s="13">
        <f>IF('Données projet'!$A$218&gt;35,FE35+FD36-FM35,IF(A36&lt;'Données projet'!$A$218,$FB$205^A36,IF(A36='Données projet'!$A$218,'Données projet'!$B$218,FE35+FD36-FM35)))</f>
        <v>83.333333333333329</v>
      </c>
      <c r="FF36" s="18">
        <f>FE36*VLOOKUP('Données projet'!$B$16,Paramètres!$A$1:$I$89,3,0)*VLOOKUP('Données projet'!$B$16,Paramètres!$A$1:$I$89,5,0)</f>
        <v>87.100000000000009</v>
      </c>
      <c r="FG36" s="14">
        <f t="shared" si="47"/>
        <v>23.864487197240759</v>
      </c>
      <c r="FH36" s="22">
        <f t="shared" si="22"/>
        <v>193.26314853519432</v>
      </c>
      <c r="FI36" s="62">
        <f t="shared" si="23"/>
        <v>408.38870087036298</v>
      </c>
      <c r="FJ36" s="62">
        <f ca="1">AVERAGE(OFFSET($FI$3,0,0,'Données projet'!$E$16+1,1))-AVERAGE(OFFSET($H$3,0,0,'Données projet'!$E$16+1,1))</f>
        <v>445.15313998584293</v>
      </c>
      <c r="FK36" s="62">
        <f t="shared" si="48"/>
        <v>272.85357736694834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6.6</v>
      </c>
      <c r="FZ36" s="13">
        <f>IF('Données projet'!$A$244&gt;35,FZ35+FY36-GH35,IF(A36&lt;'Données projet'!$A$244,$FW$205^A36,IF(A36='Données projet'!$A$244,'Données projet'!$B$244,FZ35+FY36-GH35)))</f>
        <v>81.800000000000011</v>
      </c>
      <c r="GA36" s="18">
        <f>FZ36*VLOOKUP('Données projet'!$B$17,Paramètres!$A$1:$I$89,3,0)*VLOOKUP('Données projet'!$B$17,Paramètres!$A$1:$I$89,5,0)</f>
        <v>71.460480000000018</v>
      </c>
      <c r="GB36" s="14">
        <f t="shared" si="49"/>
        <v>20.035709203981977</v>
      </c>
      <c r="GC36" s="22">
        <f t="shared" si="25"/>
        <v>159.35586286360197</v>
      </c>
      <c r="GD36" s="62">
        <f t="shared" si="26"/>
        <v>374.48141519877061</v>
      </c>
      <c r="GE36" s="62">
        <f ca="1">AVERAGE(OFFSET($GD$3,0,0,'Données projet'!$E$17+1,1))-AVERAGE(OFFSET($H$3,0,0,'Données projet'!$E$17+1,1))</f>
        <v>248.82613595888964</v>
      </c>
      <c r="GF36" s="62">
        <f t="shared" si="50"/>
        <v>255.8298580882084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135.66666666666666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6.5333333333333341</v>
      </c>
      <c r="N37" s="14">
        <f>IF('Données projet'!$A$36&gt;35,N36+M37-V36,IF(A37&lt;'Données projet'!$A$36,$K$205^A37,IF(A37='Données projet'!$A$36,'Données projet'!$B$36,N36+M37-V36)))</f>
        <v>112.80256410256408</v>
      </c>
      <c r="O37" s="14">
        <f>N37*VLOOKUP('Données projet'!$B$9,Paramètres!$A$1:$I$89,3,0)*VLOOKUP('Données projet'!$B$9,Paramètres!$A$1:$I$89,5,0)</f>
        <v>65.989499999999992</v>
      </c>
      <c r="P37" s="14">
        <f t="shared" si="33"/>
        <v>18.674115108430158</v>
      </c>
      <c r="Q37" s="22">
        <f t="shared" si="53"/>
        <v>147.45579631384916</v>
      </c>
      <c r="R37" s="62">
        <f t="shared" si="0"/>
        <v>363.93807880293156</v>
      </c>
      <c r="S37" s="62">
        <f ca="1">AVERAGE(OFFSET($R$3,0,0,'Données projet'!$E$9+1,1))-AVERAGE(OFFSET($H$3,0,0,'Données projet'!$E$9+1,1))</f>
        <v>221.18884567967481</v>
      </c>
      <c r="T37" s="62">
        <f t="shared" si="34"/>
        <v>189.31596996710888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1.9254166666666663</v>
      </c>
      <c r="AI37" s="14">
        <f>IF('Données projet'!$A$62&gt;35,AI36+AH37-AQ36,IF(A37&lt;'Données projet'!$A$62,$AF$205^A37,IF(A37='Données projet'!$A$62,'Données projet'!$B$62,AI36+AH37-AQ36)))</f>
        <v>51.114166666666691</v>
      </c>
      <c r="AJ37" s="14">
        <f>AI37*VLOOKUP('Données projet'!$B$10,Paramètres!$A$1:$I$89,3,0)*VLOOKUP('Données projet'!$B$10,Paramètres!$A$1:$I$89,5,0)</f>
        <v>58.883520000000026</v>
      </c>
      <c r="AK37" s="14">
        <f t="shared" si="35"/>
        <v>16.885679994502389</v>
      </c>
      <c r="AL37" s="22">
        <f t="shared" si="4"/>
        <v>131.96468999042506</v>
      </c>
      <c r="AM37" s="62">
        <f t="shared" si="5"/>
        <v>348.44697247950745</v>
      </c>
      <c r="AN37" s="62">
        <f ca="1">AVERAGE(OFFSET($AM$3,0,0,'Données projet'!$E$10+1,1))-AVERAGE(OFFSET($H$3,0,0,'Données projet'!$E$10+1,1))</f>
        <v>314.72063458462026</v>
      </c>
      <c r="AO37" s="62">
        <f t="shared" si="36"/>
        <v>216.4380325968244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5.1282051282051295</v>
      </c>
      <c r="BD37" s="13">
        <f>IF('Données projet'!$A$88&gt;35,BD36+BC37-BL36,IF(A37&lt;'Données projet'!$A$88,$BA$205^A37,IF(A37='Données projet'!$A$88,'Données projet'!$B$88,BD36+BC37-BL36)))</f>
        <v>88.461538461538453</v>
      </c>
      <c r="BE37" s="14">
        <f>BD37*VLOOKUP('Données projet'!$B$11,Paramètres!$A$1:$I$89,3,0)*VLOOKUP('Données projet'!$B$11,Paramètres!$A$1:$I$89,5,0)</f>
        <v>95.219999999999985</v>
      </c>
      <c r="BF37" s="14">
        <f t="shared" si="37"/>
        <v>25.820002631302668</v>
      </c>
      <c r="BG37" s="22">
        <f t="shared" si="7"/>
        <v>210.81133791618547</v>
      </c>
      <c r="BH37" s="62">
        <f t="shared" si="8"/>
        <v>427.29362040526786</v>
      </c>
      <c r="BI37" s="62">
        <f ca="1">AVERAGE(OFFSET($BH$3,0,0,'Données projet'!$E$11+1,1))-AVERAGE(OFFSET($H$3,0,0,'Données projet'!$E$11+1,1))</f>
        <v>455.26558725507834</v>
      </c>
      <c r="BJ37" s="62">
        <f t="shared" si="38"/>
        <v>278.60310966788552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4.2199999999999989</v>
      </c>
      <c r="BY37" s="13">
        <f>IF('Données projet'!$A$114&gt;35,BY36+BX37-CG36,IF(A37&lt;'Données projet'!$A$114,$BV$205^A37,IF(A37='Données projet'!$A$114,'Données projet'!$B$114,BY36+BX37-CG36)))</f>
        <v>148.77999999999997</v>
      </c>
      <c r="BZ37" s="14">
        <f>BY37*VLOOKUP('Données projet'!$B$12,Paramètres!$A$1:$I$89,3,0)*VLOOKUP('Données projet'!$B$12,Paramètres!$A$1:$I$89,5,0)</f>
        <v>77.365600000000001</v>
      </c>
      <c r="CA37" s="14">
        <f t="shared" si="39"/>
        <v>21.491809754983127</v>
      </c>
      <c r="CB37" s="22">
        <f t="shared" si="10"/>
        <v>172.17665532326225</v>
      </c>
      <c r="CC37" s="62">
        <f t="shared" si="11"/>
        <v>388.65893781234467</v>
      </c>
      <c r="CD37" s="62">
        <f ca="1">AVERAGE(OFFSET($CC$3,0,0,'Données projet'!$E$12+1,1))-AVERAGE(OFFSET($H$3,0,0,'Données projet'!$E$12+1,1))</f>
        <v>300.72820267660154</v>
      </c>
      <c r="CE37" s="62">
        <f t="shared" si="40"/>
        <v>228.35388778608589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5.1282051282051295</v>
      </c>
      <c r="CT37" s="13">
        <f>IF('Données projet'!$A$140&gt;35,CT36+CS37-DB36,IF(A37&lt;'Données projet'!$A$140,$CQ$205^A37,IF(A37='Données projet'!$A$140,'Données projet'!$B$140,CT36+CS37-DB36)))</f>
        <v>88.461538461538453</v>
      </c>
      <c r="CU37" s="18">
        <f>CT37*VLOOKUP('Données projet'!$B$13,Paramètres!$A$1:$I$89,3,0)*VLOOKUP('Données projet'!$B$13,Paramètres!$A$1:$I$89,5,0)</f>
        <v>75.900000000000006</v>
      </c>
      <c r="CV37" s="14">
        <f t="shared" si="41"/>
        <v>21.131664068009382</v>
      </c>
      <c r="CW37" s="22">
        <f t="shared" si="13"/>
        <v>168.99681491844967</v>
      </c>
      <c r="CX37" s="62">
        <f t="shared" si="14"/>
        <v>385.47909740753209</v>
      </c>
      <c r="CY37" s="62">
        <f ca="1">AVERAGE(OFFSET($CX$3,0,0,'Données projet'!$E$13+1,1))-AVERAGE(OFFSET($H$3,0,0,'Données projet'!$E$13+1,1))</f>
        <v>384.3367849108829</v>
      </c>
      <c r="CZ37" s="62">
        <f t="shared" si="42"/>
        <v>238.2697272367603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8.9230769230769198</v>
      </c>
      <c r="DO37" s="13">
        <f>IF('Données projet'!$A$166&gt;35,DO36+DN37-DW36,IF(A37&lt;'Données projet'!$A$166,$DL$205^A37,IF(A37='Données projet'!$A$166,'Données projet'!$B$166,DO36+DN37-DW36)))</f>
        <v>138.96923076923076</v>
      </c>
      <c r="DP37" s="18">
        <f>DO37*VLOOKUP('Données projet'!$B$14,Paramètres!$A$1:$I$89,3,0)*VLOOKUP('Données projet'!$B$14,Paramètres!$A$1:$I$89,5,0)</f>
        <v>65.037599999999998</v>
      </c>
      <c r="DQ37" s="14">
        <f t="shared" si="43"/>
        <v>18.435894871955274</v>
      </c>
      <c r="DR37" s="22">
        <f t="shared" si="16"/>
        <v>145.38300356865543</v>
      </c>
      <c r="DS37" s="62">
        <f t="shared" si="17"/>
        <v>361.86528605773782</v>
      </c>
      <c r="DT37" s="62">
        <f ca="1">AVERAGE(OFFSET($DS$3,0,0,'Données projet'!$E$14+1,1))-AVERAGE(OFFSET($H$3,0,0,'Données projet'!$E$14+1,1))</f>
        <v>304.1100958939968</v>
      </c>
      <c r="DU37" s="62">
        <f t="shared" si="44"/>
        <v>184.1255966824568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5.1282051282051295</v>
      </c>
      <c r="EJ37" s="13">
        <f>IF('Données projet'!$A$192&gt;35,EJ36+EI37-ER36,IF(A37&lt;'Données projet'!$A$192,$EG$205^A37,IF(A37='Données projet'!$A$192,'Données projet'!$B$192,EJ36+EI37-ER36)))</f>
        <v>88.461538461538453</v>
      </c>
      <c r="EK37" s="18">
        <f>EJ37*VLOOKUP('Données projet'!$B$15,Paramètres!$A$1:$I$89,3,0)*VLOOKUP('Données projet'!$B$15,Paramètres!$A$1:$I$89,5,0)</f>
        <v>89.699999999999989</v>
      </c>
      <c r="EL37" s="14">
        <f t="shared" si="45"/>
        <v>24.492858164013299</v>
      </c>
      <c r="EM37" s="22">
        <f t="shared" si="19"/>
        <v>198.88589463565646</v>
      </c>
      <c r="EN37" s="62">
        <f t="shared" si="20"/>
        <v>415.36817712473885</v>
      </c>
      <c r="EO37" s="62">
        <f ca="1">AVERAGE(OFFSET($EN$3,0,0,'Données projet'!$E$15+1,1))-AVERAGE(OFFSET($H$3,0,0,'Données projet'!$E$15+1,1))</f>
        <v>435.03433721979218</v>
      </c>
      <c r="EP37" s="62">
        <f t="shared" si="46"/>
        <v>267.10015759286387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5.1282051282051295</v>
      </c>
      <c r="FE37" s="13">
        <f>IF('Données projet'!$A$218&gt;35,FE36+FD37-FM36,IF(A37&lt;'Données projet'!$A$218,$FB$205^A37,IF(A37='Données projet'!$A$218,'Données projet'!$B$218,FE36+FD37-FM36)))</f>
        <v>88.461538461538453</v>
      </c>
      <c r="FF37" s="18">
        <f>FE37*VLOOKUP('Données projet'!$B$16,Paramètres!$A$1:$I$89,3,0)*VLOOKUP('Données projet'!$B$16,Paramètres!$A$1:$I$89,5,0)</f>
        <v>92.46</v>
      </c>
      <c r="FG37" s="14">
        <f t="shared" si="47"/>
        <v>25.157583410693299</v>
      </c>
      <c r="FH37" s="22">
        <f t="shared" si="22"/>
        <v>204.85062444029083</v>
      </c>
      <c r="FI37" s="62">
        <f t="shared" si="23"/>
        <v>421.33290692937322</v>
      </c>
      <c r="FJ37" s="62">
        <f ca="1">AVERAGE(OFFSET($FI$3,0,0,'Données projet'!$E$16+1,1))-AVERAGE(OFFSET($H$3,0,0,'Données projet'!$E$16+1,1))</f>
        <v>445.15313998584293</v>
      </c>
      <c r="FK37" s="62">
        <f t="shared" si="48"/>
        <v>272.85357736694834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6.6</v>
      </c>
      <c r="FZ37" s="13">
        <f>IF('Données projet'!$A$244&gt;35,FZ36+FY37-GH36,IF(A37&lt;'Données projet'!$A$244,$FW$205^A37,IF(A37='Données projet'!$A$244,'Données projet'!$B$244,FZ36+FY37-GH36)))</f>
        <v>88.4</v>
      </c>
      <c r="GA37" s="18">
        <f>FZ37*VLOOKUP('Données projet'!$B$17,Paramètres!$A$1:$I$89,3,0)*VLOOKUP('Données projet'!$B$17,Paramètres!$A$1:$I$89,5,0)</f>
        <v>77.226240000000004</v>
      </c>
      <c r="GB37" s="14">
        <f t="shared" si="49"/>
        <v>21.457598855530147</v>
      </c>
      <c r="GC37" s="22">
        <f t="shared" si="25"/>
        <v>171.87435267338171</v>
      </c>
      <c r="GD37" s="62">
        <f t="shared" si="26"/>
        <v>388.3566351624641</v>
      </c>
      <c r="GE37" s="62">
        <f ca="1">AVERAGE(OFFSET($GD$3,0,0,'Données projet'!$E$17+1,1))-AVERAGE(OFFSET($H$3,0,0,'Données projet'!$E$17+1,1))</f>
        <v>248.82613595888964</v>
      </c>
      <c r="GF37" s="62">
        <f t="shared" si="50"/>
        <v>255.8298580882084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135.66666666666666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6.5333333333333341</v>
      </c>
      <c r="N38" s="14">
        <f>IF('Données projet'!$A$36&gt;35,N37+M38-V37,IF(A38&lt;'Données projet'!$A$36,$K$205^A38,IF(A38='Données projet'!$A$36,'Données projet'!$B$36,N37+M38-V37)))</f>
        <v>119.33589743589741</v>
      </c>
      <c r="O38" s="14">
        <f>N38*VLOOKUP('Données projet'!$B$9,Paramètres!$A$1:$I$89,3,0)*VLOOKUP('Données projet'!$B$9,Paramètres!$A$1:$I$89,5,0)</f>
        <v>69.811499999999995</v>
      </c>
      <c r="P38" s="14">
        <f t="shared" si="33"/>
        <v>19.626639033990816</v>
      </c>
      <c r="Q38" s="22">
        <f t="shared" si="53"/>
        <v>155.77142548420065</v>
      </c>
      <c r="R38" s="62">
        <f t="shared" si="0"/>
        <v>373.58690189222057</v>
      </c>
      <c r="S38" s="62">
        <f ca="1">AVERAGE(OFFSET($R$3,0,0,'Données projet'!$E$9+1,1))-AVERAGE(OFFSET($H$3,0,0,'Données projet'!$E$9+1,1))</f>
        <v>221.18884567967481</v>
      </c>
      <c r="T38" s="62">
        <f t="shared" si="34"/>
        <v>189.31596996710888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1.9254166666666663</v>
      </c>
      <c r="AI38" s="14">
        <f>IF('Données projet'!$A$62&gt;35,AI37+AH38-AQ37,IF(A38&lt;'Données projet'!$A$62,$AF$205^A38,IF(A38='Données projet'!$A$62,'Données projet'!$B$62,AI37+AH38-AQ37)))</f>
        <v>53.039583333333354</v>
      </c>
      <c r="AJ38" s="14">
        <f>AI38*VLOOKUP('Données projet'!$B$10,Paramètres!$A$1:$I$89,3,0)*VLOOKUP('Données projet'!$B$10,Paramètres!$A$1:$I$89,5,0)</f>
        <v>61.101600000000019</v>
      </c>
      <c r="AK38" s="14">
        <f t="shared" si="35"/>
        <v>17.446492456972504</v>
      </c>
      <c r="AL38" s="22">
        <f t="shared" si="4"/>
        <v>136.80459436256049</v>
      </c>
      <c r="AM38" s="62">
        <f t="shared" si="5"/>
        <v>354.62007077058041</v>
      </c>
      <c r="AN38" s="62">
        <f ca="1">AVERAGE(OFFSET($AM$3,0,0,'Données projet'!$E$10+1,1))-AVERAGE(OFFSET($H$3,0,0,'Données projet'!$E$10+1,1))</f>
        <v>314.72063458462026</v>
      </c>
      <c r="AO38" s="62">
        <f t="shared" si="36"/>
        <v>216.4380325968244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93.589743589743591</v>
      </c>
      <c r="BB38" s="13">
        <f>VLOOKUP(A38,'Données projet'!$A$87:$I$107,9,0)</f>
        <v>5.1282051282051295</v>
      </c>
      <c r="BC38" s="13">
        <f t="array" ref="BC38">INDEX(BB:BB,MIN(IF(ISNUMBER(BB38:BB234),ROW(BB38:BB234),"")))</f>
        <v>5.1282051282051295</v>
      </c>
      <c r="BD38" s="13">
        <f>IF('Données projet'!$A$88&gt;35,BD37+BC38-BL37,IF(A38&lt;'Données projet'!$A$88,$BA$205^A38,IF(A38='Données projet'!$A$88,'Données projet'!$B$88,BD37+BC38-BL37)))</f>
        <v>93.589743589743577</v>
      </c>
      <c r="BE38" s="14">
        <f>BD38*VLOOKUP('Données projet'!$B$11,Paramètres!$A$1:$I$89,3,0)*VLOOKUP('Données projet'!$B$11,Paramètres!$A$1:$I$89,5,0)</f>
        <v>100.73999999999998</v>
      </c>
      <c r="BF38" s="14">
        <f t="shared" si="37"/>
        <v>27.138216625628822</v>
      </c>
      <c r="BG38" s="22">
        <f t="shared" si="7"/>
        <v>222.7212272896368</v>
      </c>
      <c r="BH38" s="62">
        <f t="shared" si="8"/>
        <v>440.53670369765672</v>
      </c>
      <c r="BI38" s="62">
        <f ca="1">AVERAGE(OFFSET($BH$3,0,0,'Données projet'!$E$11+1,1))-AVERAGE(OFFSET($H$3,0,0,'Données projet'!$E$11+1,1))</f>
        <v>455.26558725507834</v>
      </c>
      <c r="BJ38" s="62">
        <f t="shared" si="38"/>
        <v>278.60310966788552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153</v>
      </c>
      <c r="BW38" s="13">
        <f>VLOOKUP(A38,'Données projet'!$A$113:$I$133,9,0)</f>
        <v>4.2199999999999989</v>
      </c>
      <c r="BX38" s="13">
        <f t="array" ref="BX38">INDEX(BW:BW,MIN(IF(ISNUMBER(BW38:BW234),ROW(BW38:BW234),"")))</f>
        <v>4.2199999999999989</v>
      </c>
      <c r="BY38" s="13">
        <f>IF('Données projet'!$A$114&gt;35,BY37+BX38-CG37,IF(A38&lt;'Données projet'!$A$114,$BV$205^A38,IF(A38='Données projet'!$A$114,'Données projet'!$B$114,BY37+BX38-CG37)))</f>
        <v>152.99999999999997</v>
      </c>
      <c r="BZ38" s="14">
        <f>BY38*VLOOKUP('Données projet'!$B$12,Paramètres!$A$1:$I$89,3,0)*VLOOKUP('Données projet'!$B$12,Paramètres!$A$1:$I$89,5,0)</f>
        <v>79.559999999999988</v>
      </c>
      <c r="CA38" s="14">
        <f t="shared" si="39"/>
        <v>22.029567333453311</v>
      </c>
      <c r="CB38" s="22">
        <f t="shared" si="10"/>
        <v>176.93516310576447</v>
      </c>
      <c r="CC38" s="62">
        <f t="shared" si="11"/>
        <v>394.75063951378439</v>
      </c>
      <c r="CD38" s="62">
        <f ca="1">AVERAGE(OFFSET($CC$3,0,0,'Données projet'!$E$12+1,1))-AVERAGE(OFFSET($H$3,0,0,'Données projet'!$E$12+1,1))</f>
        <v>300.72820267660154</v>
      </c>
      <c r="CE38" s="62">
        <f t="shared" si="40"/>
        <v>228.35388778608589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93.589743589743591</v>
      </c>
      <c r="CR38" s="13">
        <f>VLOOKUP(A38,'Données projet'!$A$139:$I$159,9,0)</f>
        <v>5.1282051282051295</v>
      </c>
      <c r="CS38" s="13">
        <f t="array" ref="CS38">INDEX(CR:CR,MIN(IF(ISNUMBER(CR38:CR234),ROW(CR38:CR234),"")))</f>
        <v>5.1282051282051295</v>
      </c>
      <c r="CT38" s="13">
        <f>IF('Données projet'!$A$140&gt;35,CT37+CS38-DB37,IF(A38&lt;'Données projet'!$A$140,$CQ$205^A38,IF(A38='Données projet'!$A$140,'Données projet'!$B$140,CT37+CS38-DB37)))</f>
        <v>93.589743589743577</v>
      </c>
      <c r="CU38" s="18">
        <f>CT38*VLOOKUP('Données projet'!$B$13,Paramètres!$A$1:$I$89,3,0)*VLOOKUP('Données projet'!$B$13,Paramètres!$A$1:$I$89,5,0)</f>
        <v>80.3</v>
      </c>
      <c r="CV38" s="14">
        <f t="shared" si="41"/>
        <v>22.21051970159008</v>
      </c>
      <c r="CW38" s="22">
        <f t="shared" si="13"/>
        <v>178.53915514693605</v>
      </c>
      <c r="CX38" s="62">
        <f t="shared" si="14"/>
        <v>396.35463155495597</v>
      </c>
      <c r="CY38" s="62">
        <f ca="1">AVERAGE(OFFSET($CX$3,0,0,'Données projet'!$E$13+1,1))-AVERAGE(OFFSET($H$3,0,0,'Données projet'!$E$13+1,1))</f>
        <v>384.3367849108829</v>
      </c>
      <c r="CZ38" s="62">
        <f t="shared" si="42"/>
        <v>238.2697272367603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147.89230769230767</v>
      </c>
      <c r="DM38" s="13">
        <f>VLOOKUP(A38,'Données projet'!$A$165:$I$185,9,0)</f>
        <v>8.9230769230769198</v>
      </c>
      <c r="DN38" s="13">
        <f t="array" ref="DN38">INDEX(DM:DM,MIN(IF(ISNUMBER(DM38:DM234),ROW(DM38:DM234),"")))</f>
        <v>8.9230769230769198</v>
      </c>
      <c r="DO38" s="13">
        <f>IF('Données projet'!$A$166&gt;35,DO37+DN38-DW37,IF(A38&lt;'Données projet'!$A$166,$DL$205^A38,IF(A38='Données projet'!$A$166,'Données projet'!$B$166,DO37+DN38-DW37)))</f>
        <v>147.89230769230767</v>
      </c>
      <c r="DP38" s="18">
        <f>DO38*VLOOKUP('Données projet'!$B$14,Paramètres!$A$1:$I$89,3,0)*VLOOKUP('Données projet'!$B$14,Paramètres!$A$1:$I$89,5,0)</f>
        <v>69.213599999999985</v>
      </c>
      <c r="DQ38" s="14">
        <f t="shared" si="43"/>
        <v>19.478038510077166</v>
      </c>
      <c r="DR38" s="22">
        <f t="shared" si="16"/>
        <v>154.47127040505103</v>
      </c>
      <c r="DS38" s="62">
        <f t="shared" si="17"/>
        <v>372.28674681307098</v>
      </c>
      <c r="DT38" s="62">
        <f ca="1">AVERAGE(OFFSET($DS$3,0,0,'Données projet'!$E$14+1,1))-AVERAGE(OFFSET($H$3,0,0,'Données projet'!$E$14+1,1))</f>
        <v>304.1100958939968</v>
      </c>
      <c r="DU38" s="62">
        <f t="shared" si="44"/>
        <v>184.1255966824568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93.589743589743591</v>
      </c>
      <c r="EH38" s="13">
        <f>VLOOKUP(A38,'Données projet'!$A$191:$I$211,9,0)</f>
        <v>5.1282051282051295</v>
      </c>
      <c r="EI38" s="13">
        <f t="array" ref="EI38">INDEX(EH:EH,MIN(IF(ISNUMBER(EH38:EH234),ROW(EH38:EH234),"")))</f>
        <v>5.1282051282051295</v>
      </c>
      <c r="EJ38" s="13">
        <f>IF('Données projet'!$A$192&gt;35,EJ37+EI38-ER37,IF(A38&lt;'Données projet'!$A$192,$EG$205^A38,IF(A38='Données projet'!$A$192,'Données projet'!$B$192,EJ37+EI38-ER37)))</f>
        <v>93.589743589743577</v>
      </c>
      <c r="EK38" s="18">
        <f>EJ38*VLOOKUP('Données projet'!$B$15,Paramètres!$A$1:$I$89,3,0)*VLOOKUP('Données projet'!$B$15,Paramètres!$A$1:$I$89,5,0)</f>
        <v>94.899999999999991</v>
      </c>
      <c r="EL38" s="14">
        <f t="shared" si="45"/>
        <v>25.743316146295072</v>
      </c>
      <c r="EM38" s="22">
        <f t="shared" si="19"/>
        <v>210.12044228813056</v>
      </c>
      <c r="EN38" s="62">
        <f t="shared" si="20"/>
        <v>427.93591869615045</v>
      </c>
      <c r="EO38" s="62">
        <f ca="1">AVERAGE(OFFSET($EN$3,0,0,'Données projet'!$E$15+1,1))-AVERAGE(OFFSET($H$3,0,0,'Données projet'!$E$15+1,1))</f>
        <v>435.03433721979218</v>
      </c>
      <c r="EP38" s="62">
        <f t="shared" si="46"/>
        <v>267.10015759286387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93.589743589743591</v>
      </c>
      <c r="FC38" s="13">
        <f>VLOOKUP(A38,'Données projet'!$A$217:$I$237,9,0)</f>
        <v>5.1282051282051295</v>
      </c>
      <c r="FD38" s="13">
        <f t="array" ref="FD38">INDEX(FC:FC,MIN(IF(ISNUMBER(FC38:FC234),ROW(FC38:FC234),"")))</f>
        <v>5.1282051282051295</v>
      </c>
      <c r="FE38" s="13">
        <f>IF('Données projet'!$A$218&gt;35,FE37+FD38-FM37,IF(A38&lt;'Données projet'!$A$218,$FB$205^A38,IF(A38='Données projet'!$A$218,'Données projet'!$B$218,FE37+FD38-FM37)))</f>
        <v>93.589743589743577</v>
      </c>
      <c r="FF38" s="18">
        <f>FE38*VLOOKUP('Données projet'!$B$16,Paramètres!$A$1:$I$89,3,0)*VLOOKUP('Données projet'!$B$16,Paramètres!$A$1:$I$89,5,0)</f>
        <v>97.82</v>
      </c>
      <c r="FG38" s="14">
        <f t="shared" si="47"/>
        <v>26.44197826490603</v>
      </c>
      <c r="FH38" s="22">
        <f t="shared" si="22"/>
        <v>216.42294547804465</v>
      </c>
      <c r="FI38" s="62">
        <f t="shared" si="23"/>
        <v>434.23842188606454</v>
      </c>
      <c r="FJ38" s="62">
        <f ca="1">AVERAGE(OFFSET($FI$3,0,0,'Données projet'!$E$16+1,1))-AVERAGE(OFFSET($H$3,0,0,'Données projet'!$E$16+1,1))</f>
        <v>445.15313998584293</v>
      </c>
      <c r="FK38" s="62">
        <f t="shared" si="48"/>
        <v>272.85357736694834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95</v>
      </c>
      <c r="FX38" s="13">
        <f>VLOOKUP(A38,'Données projet'!$A$243:$I$263,9,0)</f>
        <v>6.6</v>
      </c>
      <c r="FY38" s="13">
        <f t="array" ref="FY38">INDEX(FX:FX,MIN(IF(ISNUMBER(FX38:FX234),ROW(FX38:FX234),"")))</f>
        <v>6.6</v>
      </c>
      <c r="FZ38" s="13">
        <f>IF('Données projet'!$A$244&gt;35,FZ37+FY38-GH37,IF(A38&lt;'Données projet'!$A$244,$FW$205^A38,IF(A38='Données projet'!$A$244,'Données projet'!$B$244,FZ37+FY38-GH37)))</f>
        <v>95</v>
      </c>
      <c r="GA38" s="18">
        <f>FZ38*VLOOKUP('Données projet'!$B$17,Paramètres!$A$1:$I$89,3,0)*VLOOKUP('Données projet'!$B$17,Paramètres!$A$1:$I$89,5,0)</f>
        <v>82.992000000000004</v>
      </c>
      <c r="GB38" s="14">
        <f t="shared" si="49"/>
        <v>22.867173045817324</v>
      </c>
      <c r="GC38" s="22">
        <f t="shared" si="25"/>
        <v>184.37139305479852</v>
      </c>
      <c r="GD38" s="62">
        <f t="shared" si="26"/>
        <v>402.18686946281844</v>
      </c>
      <c r="GE38" s="62">
        <f ca="1">AVERAGE(OFFSET($GD$3,0,0,'Données projet'!$E$17+1,1))-AVERAGE(OFFSET($H$3,0,0,'Données projet'!$E$17+1,1))</f>
        <v>248.82613595888964</v>
      </c>
      <c r="GF38" s="62">
        <f t="shared" si="50"/>
        <v>255.8298580882084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135.66666666666666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125.86923076923077</v>
      </c>
      <c r="L39" s="13">
        <f>VLOOKUP(A39,'Données projet'!$A$35:$I$55,9,0)</f>
        <v>6.5333333333333341</v>
      </c>
      <c r="M39" s="13">
        <f t="array" ref="M39">INDEX(L:L,MIN(IF(ISNUMBER(L39:L235),ROW(L39:L235),"")))</f>
        <v>6.5333333333333341</v>
      </c>
      <c r="N39" s="14">
        <f>IF('Données projet'!$A$36&gt;35,N38+M39-V38,IF(A39&lt;'Données projet'!$A$36,$K$205^A39,IF(A39='Données projet'!$A$36,'Données projet'!$B$36,N38+M39-V38)))</f>
        <v>125.86923076923074</v>
      </c>
      <c r="O39" s="14">
        <f>N39*VLOOKUP('Données projet'!$B$9,Paramètres!$A$1:$I$89,3,0)*VLOOKUP('Données projet'!$B$9,Paramètres!$A$1:$I$89,5,0)</f>
        <v>73.633499999999984</v>
      </c>
      <c r="P39" s="14">
        <f t="shared" si="33"/>
        <v>20.57310901272707</v>
      </c>
      <c r="Q39" s="22">
        <f t="shared" si="53"/>
        <v>164.07651069716627</v>
      </c>
      <c r="R39" s="62">
        <f t="shared" si="0"/>
        <v>383.20205309020525</v>
      </c>
      <c r="S39" s="62">
        <f ca="1">AVERAGE(OFFSET($R$3,0,0,'Données projet'!$E$9+1,1))-AVERAGE(OFFSET($H$3,0,0,'Données projet'!$E$9+1,1))</f>
        <v>221.18884567967481</v>
      </c>
      <c r="T39" s="62">
        <f t="shared" si="34"/>
        <v>189.31596996710888</v>
      </c>
      <c r="U39" s="16">
        <f>IF(ISNA(VLOOKUP(A39,'Données projet'!$A$35:$I$55,3,0)),0,VLOOKUP(A39,'Données projet'!$A$35:$I$55,3,0))</f>
        <v>1</v>
      </c>
      <c r="V39" s="16">
        <f>IF(ISNA(VLOOKUP(A39,'Données projet'!$A$35:$I$55,4,0)),0,VLOOKUP(A39,'Données projet'!$A$35:$I$55,4,0))</f>
        <v>34.892307692307689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1.9254166666666663</v>
      </c>
      <c r="AI39" s="14">
        <f>IF('Données projet'!$A$62&gt;35,AI38+AH39-AQ38,IF(A39&lt;'Données projet'!$A$62,$AF$205^A39,IF(A39='Données projet'!$A$62,'Données projet'!$B$62,AI38+AH39-AQ38)))</f>
        <v>54.965000000000018</v>
      </c>
      <c r="AJ39" s="14">
        <f>AI39*VLOOKUP('Données projet'!$B$10,Paramètres!$A$1:$I$89,3,0)*VLOOKUP('Données projet'!$B$10,Paramètres!$A$1:$I$89,5,0)</f>
        <v>63.319680000000012</v>
      </c>
      <c r="AK39" s="14">
        <f t="shared" si="35"/>
        <v>18.004939659941751</v>
      </c>
      <c r="AL39" s="22">
        <f t="shared" si="4"/>
        <v>141.64037924106523</v>
      </c>
      <c r="AM39" s="62">
        <f t="shared" si="5"/>
        <v>360.76592163410419</v>
      </c>
      <c r="AN39" s="62">
        <f ca="1">AVERAGE(OFFSET($AM$3,0,0,'Données projet'!$E$10+1,1))-AVERAGE(OFFSET($H$3,0,0,'Données projet'!$E$10+1,1))</f>
        <v>314.72063458462026</v>
      </c>
      <c r="AO39" s="62">
        <f t="shared" si="36"/>
        <v>216.4380325968244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5.1282051282051269</v>
      </c>
      <c r="BD39" s="13">
        <f>IF('Données projet'!$A$88&gt;35,BD38+BC39-BL38,IF(A39&lt;'Données projet'!$A$88,$BA$205^A39,IF(A39='Données projet'!$A$88,'Données projet'!$B$88,BD38+BC39-BL38)))</f>
        <v>98.717948717948701</v>
      </c>
      <c r="BE39" s="14">
        <f>BD39*VLOOKUP('Données projet'!$B$11,Paramètres!$A$1:$I$89,3,0)*VLOOKUP('Données projet'!$B$11,Paramètres!$A$1:$I$89,5,0)</f>
        <v>106.25999999999998</v>
      </c>
      <c r="BF39" s="14">
        <f t="shared" si="37"/>
        <v>28.448045268890336</v>
      </c>
      <c r="BG39" s="22">
        <f t="shared" si="7"/>
        <v>234.61651217665062</v>
      </c>
      <c r="BH39" s="62">
        <f t="shared" si="8"/>
        <v>453.74205456968957</v>
      </c>
      <c r="BI39" s="62">
        <f ca="1">AVERAGE(OFFSET($BH$3,0,0,'Données projet'!$E$11+1,1))-AVERAGE(OFFSET($H$3,0,0,'Données projet'!$E$11+1,1))</f>
        <v>455.26558725507834</v>
      </c>
      <c r="BJ39" s="62">
        <f t="shared" si="38"/>
        <v>278.60310966788552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4</v>
      </c>
      <c r="BY39" s="13">
        <f>IF('Données projet'!$A$114&gt;35,BY38+BX39-CG38,IF(A39&lt;'Données projet'!$A$114,$BV$205^A39,IF(A39='Données projet'!$A$114,'Données projet'!$B$114,BY38+BX39-CG38)))</f>
        <v>156.99999999999997</v>
      </c>
      <c r="BZ39" s="14">
        <f>BY39*VLOOKUP('Données projet'!$B$12,Paramètres!$A$1:$I$89,3,0)*VLOOKUP('Données projet'!$B$12,Paramètres!$A$1:$I$89,5,0)</f>
        <v>81.639999999999986</v>
      </c>
      <c r="CA39" s="14">
        <f t="shared" si="39"/>
        <v>22.537697845766751</v>
      </c>
      <c r="CB39" s="22">
        <f t="shared" si="10"/>
        <v>181.44282374804376</v>
      </c>
      <c r="CC39" s="62">
        <f t="shared" si="11"/>
        <v>400.56836614108272</v>
      </c>
      <c r="CD39" s="62">
        <f ca="1">AVERAGE(OFFSET($CC$3,0,0,'Données projet'!$E$12+1,1))-AVERAGE(OFFSET($H$3,0,0,'Données projet'!$E$12+1,1))</f>
        <v>300.72820267660154</v>
      </c>
      <c r="CE39" s="62">
        <f t="shared" si="40"/>
        <v>228.35388778608589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5.1282051282051269</v>
      </c>
      <c r="CT39" s="13">
        <f>IF('Données projet'!$A$140&gt;35,CT38+CS39-DB38,IF(A39&lt;'Données projet'!$A$140,$CQ$205^A39,IF(A39='Données projet'!$A$140,'Données projet'!$B$140,CT38+CS39-DB38)))</f>
        <v>98.717948717948701</v>
      </c>
      <c r="CU39" s="18">
        <f>CT39*VLOOKUP('Données projet'!$B$13,Paramètres!$A$1:$I$89,3,0)*VLOOKUP('Données projet'!$B$13,Paramètres!$A$1:$I$89,5,0)</f>
        <v>84.699999999999989</v>
      </c>
      <c r="CV39" s="14">
        <f t="shared" si="41"/>
        <v>23.282512577473938</v>
      </c>
      <c r="CW39" s="22">
        <f t="shared" si="13"/>
        <v>188.0695427391004</v>
      </c>
      <c r="CX39" s="62">
        <f t="shared" si="14"/>
        <v>407.19508513213935</v>
      </c>
      <c r="CY39" s="62">
        <f ca="1">AVERAGE(OFFSET($CX$3,0,0,'Données projet'!$E$13+1,1))-AVERAGE(OFFSET($H$3,0,0,'Données projet'!$E$13+1,1))</f>
        <v>384.3367849108829</v>
      </c>
      <c r="CZ39" s="62">
        <f t="shared" si="42"/>
        <v>238.2697272367603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9.981538461538463</v>
      </c>
      <c r="DO39" s="13">
        <f>IF('Données projet'!$A$166&gt;35,DO38+DN39-DW38,IF(A39&lt;'Données projet'!$A$166,$DL$205^A39,IF(A39='Données projet'!$A$166,'Données projet'!$B$166,DO38+DN39-DW38)))</f>
        <v>157.87384615384613</v>
      </c>
      <c r="DP39" s="18">
        <f>DO39*VLOOKUP('Données projet'!$B$14,Paramètres!$A$1:$I$89,3,0)*VLOOKUP('Données projet'!$B$14,Paramètres!$A$1:$I$89,5,0)</f>
        <v>73.884959999999992</v>
      </c>
      <c r="DQ39" s="14">
        <f t="shared" si="43"/>
        <v>20.635176317181511</v>
      </c>
      <c r="DR39" s="22">
        <f t="shared" si="16"/>
        <v>164.62257075242445</v>
      </c>
      <c r="DS39" s="62">
        <f t="shared" si="17"/>
        <v>383.74811314546344</v>
      </c>
      <c r="DT39" s="62">
        <f ca="1">AVERAGE(OFFSET($DS$3,0,0,'Données projet'!$E$14+1,1))-AVERAGE(OFFSET($H$3,0,0,'Données projet'!$E$14+1,1))</f>
        <v>304.1100958939968</v>
      </c>
      <c r="DU39" s="62">
        <f t="shared" si="44"/>
        <v>184.1255966824568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5.1282051282051269</v>
      </c>
      <c r="EJ39" s="13">
        <f>IF('Données projet'!$A$192&gt;35,EJ38+EI39-ER38,IF(A39&lt;'Données projet'!$A$192,$EG$205^A39,IF(A39='Données projet'!$A$192,'Données projet'!$B$192,EJ38+EI39-ER38)))</f>
        <v>98.717948717948701</v>
      </c>
      <c r="EK39" s="18">
        <f>EJ39*VLOOKUP('Données projet'!$B$15,Paramètres!$A$1:$I$89,3,0)*VLOOKUP('Données projet'!$B$15,Paramètres!$A$1:$I$89,5,0)</f>
        <v>100.1</v>
      </c>
      <c r="EL39" s="14">
        <f t="shared" si="45"/>
        <v>26.98581978336566</v>
      </c>
      <c r="EM39" s="22">
        <f t="shared" si="19"/>
        <v>221.34113612269516</v>
      </c>
      <c r="EN39" s="62">
        <f t="shared" si="20"/>
        <v>440.46667851573409</v>
      </c>
      <c r="EO39" s="62">
        <f ca="1">AVERAGE(OFFSET($EN$3,0,0,'Données projet'!$E$15+1,1))-AVERAGE(OFFSET($H$3,0,0,'Données projet'!$E$15+1,1))</f>
        <v>435.03433721979218</v>
      </c>
      <c r="EP39" s="62">
        <f t="shared" si="46"/>
        <v>267.10015759286387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5.1282051282051269</v>
      </c>
      <c r="FE39" s="13">
        <f>IF('Données projet'!$A$218&gt;35,FE38+FD39-FM38,IF(A39&lt;'Données projet'!$A$218,$FB$205^A39,IF(A39='Données projet'!$A$218,'Données projet'!$B$218,FE38+FD39-FM38)))</f>
        <v>98.717948717948701</v>
      </c>
      <c r="FF39" s="18">
        <f>FE39*VLOOKUP('Données projet'!$B$16,Paramètres!$A$1:$I$89,3,0)*VLOOKUP('Données projet'!$B$16,Paramètres!$A$1:$I$89,5,0)</f>
        <v>103.17999999999999</v>
      </c>
      <c r="FG39" s="14">
        <f t="shared" si="47"/>
        <v>27.718202896526208</v>
      </c>
      <c r="FH39" s="22">
        <f t="shared" si="22"/>
        <v>227.98103671144975</v>
      </c>
      <c r="FI39" s="62">
        <f t="shared" si="23"/>
        <v>447.10657910448867</v>
      </c>
      <c r="FJ39" s="62">
        <f ca="1">AVERAGE(OFFSET($FI$3,0,0,'Données projet'!$E$16+1,1))-AVERAGE(OFFSET($H$3,0,0,'Données projet'!$E$16+1,1))</f>
        <v>445.15313998584293</v>
      </c>
      <c r="FK39" s="62">
        <f t="shared" si="48"/>
        <v>272.85357736694834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5.6</v>
      </c>
      <c r="FZ39" s="13">
        <f>IF('Données projet'!$A$244&gt;35,FZ38+FY39-GH38,IF(A39&lt;'Données projet'!$A$244,$FW$205^A39,IF(A39='Données projet'!$A$244,'Données projet'!$B$244,FZ38+FY39-GH38)))</f>
        <v>100.6</v>
      </c>
      <c r="GA39" s="18">
        <f>FZ39*VLOOKUP('Données projet'!$B$17,Paramètres!$A$1:$I$89,3,0)*VLOOKUP('Données projet'!$B$17,Paramètres!$A$1:$I$89,5,0)</f>
        <v>87.884160000000008</v>
      </c>
      <c r="GB39" s="14">
        <f t="shared" si="49"/>
        <v>24.054230949481131</v>
      </c>
      <c r="GC39" s="22">
        <f t="shared" si="25"/>
        <v>194.95936423701301</v>
      </c>
      <c r="GD39" s="62">
        <f t="shared" si="26"/>
        <v>414.08490663005193</v>
      </c>
      <c r="GE39" s="62">
        <f ca="1">AVERAGE(OFFSET($GD$3,0,0,'Données projet'!$E$17+1,1))-AVERAGE(OFFSET($H$3,0,0,'Données projet'!$E$17+1,1))</f>
        <v>248.82613595888964</v>
      </c>
      <c r="GF39" s="62">
        <f t="shared" si="50"/>
        <v>255.8298580882084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135.66666666666666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5.9557692307692314</v>
      </c>
      <c r="N40" s="14">
        <f>IF('Données projet'!$A$36&gt;35,N39+M40-V39,IF(A40&lt;'Données projet'!$A$36,$K$205^A40,IF(A40='Données projet'!$A$36,'Données projet'!$B$36,N39+M40-V39)))</f>
        <v>96.932692307692264</v>
      </c>
      <c r="O40" s="14">
        <f>N40*VLOOKUP('Données projet'!$B$9,Paramètres!$A$1:$I$89,3,0)*VLOOKUP('Données projet'!$B$9,Paramètres!$A$1:$I$89,5,0)</f>
        <v>56.705624999999984</v>
      </c>
      <c r="P40" s="14">
        <f t="shared" si="33"/>
        <v>16.332629995030498</v>
      </c>
      <c r="Q40" s="22">
        <f t="shared" si="53"/>
        <v>127.20829411634475</v>
      </c>
      <c r="R40" s="62">
        <f t="shared" si="0"/>
        <v>347.62117577843151</v>
      </c>
      <c r="S40" s="62">
        <f ca="1">AVERAGE(OFFSET($R$3,0,0,'Données projet'!$E$9+1,1))-AVERAGE(OFFSET($H$3,0,0,'Données projet'!$E$9+1,1))</f>
        <v>221.18884567967481</v>
      </c>
      <c r="T40" s="62">
        <f t="shared" si="34"/>
        <v>189.31596996710888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1.9254166666666663</v>
      </c>
      <c r="AI40" s="14">
        <f>IF('Données projet'!$A$62&gt;35,AI39+AH40-AQ39,IF(A40&lt;'Données projet'!$A$62,$AF$205^A40,IF(A40='Données projet'!$A$62,'Données projet'!$B$62,AI39+AH40-AQ39)))</f>
        <v>56.890416666666681</v>
      </c>
      <c r="AJ40" s="14">
        <f>AI40*VLOOKUP('Données projet'!$B$10,Paramètres!$A$1:$I$89,3,0)*VLOOKUP('Données projet'!$B$10,Paramètres!$A$1:$I$89,5,0)</f>
        <v>65.537760000000006</v>
      </c>
      <c r="AK40" s="14">
        <f t="shared" si="35"/>
        <v>18.561113952495973</v>
      </c>
      <c r="AL40" s="22">
        <f t="shared" si="4"/>
        <v>146.47220546726382</v>
      </c>
      <c r="AM40" s="62">
        <f t="shared" si="5"/>
        <v>366.88508712935061</v>
      </c>
      <c r="AN40" s="62">
        <f ca="1">AVERAGE(OFFSET($AM$3,0,0,'Données projet'!$E$10+1,1))-AVERAGE(OFFSET($H$3,0,0,'Données projet'!$E$10+1,1))</f>
        <v>314.72063458462026</v>
      </c>
      <c r="AO40" s="62">
        <f t="shared" si="36"/>
        <v>216.4380325968244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5.1282051282051269</v>
      </c>
      <c r="BD40" s="13">
        <f>IF('Données projet'!$A$88&gt;35,BD39+BC40-BL39,IF(A40&lt;'Données projet'!$A$88,$BA$205^A40,IF(A40='Données projet'!$A$88,'Données projet'!$B$88,BD39+BC40-BL39)))</f>
        <v>103.84615384615383</v>
      </c>
      <c r="BE40" s="14">
        <f>BD40*VLOOKUP('Données projet'!$B$11,Paramètres!$A$1:$I$89,3,0)*VLOOKUP('Données projet'!$B$11,Paramètres!$A$1:$I$89,5,0)</f>
        <v>111.77999999999997</v>
      </c>
      <c r="BF40" s="14">
        <f t="shared" si="37"/>
        <v>29.749973848058492</v>
      </c>
      <c r="BG40" s="22">
        <f t="shared" si="7"/>
        <v>246.49803778536844</v>
      </c>
      <c r="BH40" s="62">
        <f t="shared" si="8"/>
        <v>466.91091944745517</v>
      </c>
      <c r="BI40" s="62">
        <f ca="1">AVERAGE(OFFSET($BH$3,0,0,'Données projet'!$E$11+1,1))-AVERAGE(OFFSET($H$3,0,0,'Données projet'!$E$11+1,1))</f>
        <v>455.26558725507834</v>
      </c>
      <c r="BJ40" s="62">
        <f t="shared" si="38"/>
        <v>278.60310966788552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4</v>
      </c>
      <c r="BY40" s="13">
        <f>IF('Données projet'!$A$114&gt;35,BY39+BX40-CG39,IF(A40&lt;'Données projet'!$A$114,$BV$205^A40,IF(A40='Données projet'!$A$114,'Données projet'!$B$114,BY39+BX40-CG39)))</f>
        <v>160.99999999999997</v>
      </c>
      <c r="BZ40" s="14">
        <f>BY40*VLOOKUP('Données projet'!$B$12,Paramètres!$A$1:$I$89,3,0)*VLOOKUP('Données projet'!$B$12,Paramètres!$A$1:$I$89,5,0)</f>
        <v>83.72</v>
      </c>
      <c r="CA40" s="14">
        <f t="shared" si="39"/>
        <v>23.044323503842598</v>
      </c>
      <c r="CB40" s="22">
        <f t="shared" si="10"/>
        <v>185.9478634358592</v>
      </c>
      <c r="CC40" s="62">
        <f t="shared" si="11"/>
        <v>406.36074509794594</v>
      </c>
      <c r="CD40" s="62">
        <f ca="1">AVERAGE(OFFSET($CC$3,0,0,'Données projet'!$E$12+1,1))-AVERAGE(OFFSET($H$3,0,0,'Données projet'!$E$12+1,1))</f>
        <v>300.72820267660154</v>
      </c>
      <c r="CE40" s="62">
        <f t="shared" si="40"/>
        <v>228.35388778608589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5.1282051282051269</v>
      </c>
      <c r="CT40" s="13">
        <f>IF('Données projet'!$A$140&gt;35,CT39+CS40-DB39,IF(A40&lt;'Données projet'!$A$140,$CQ$205^A40,IF(A40='Données projet'!$A$140,'Données projet'!$B$140,CT39+CS40-DB39)))</f>
        <v>103.84615384615383</v>
      </c>
      <c r="CU40" s="18">
        <f>CT40*VLOOKUP('Données projet'!$B$13,Paramètres!$A$1:$I$89,3,0)*VLOOKUP('Données projet'!$B$13,Paramètres!$A$1:$I$89,5,0)</f>
        <v>89.1</v>
      </c>
      <c r="CV40" s="14">
        <f t="shared" si="41"/>
        <v>24.348039865304987</v>
      </c>
      <c r="CW40" s="22">
        <f t="shared" si="13"/>
        <v>197.58866943207283</v>
      </c>
      <c r="CX40" s="62">
        <f t="shared" si="14"/>
        <v>418.00155109415959</v>
      </c>
      <c r="CY40" s="62">
        <f ca="1">AVERAGE(OFFSET($CX$3,0,0,'Données projet'!$E$13+1,1))-AVERAGE(OFFSET($H$3,0,0,'Données projet'!$E$13+1,1))</f>
        <v>384.3367849108829</v>
      </c>
      <c r="CZ40" s="62">
        <f t="shared" si="42"/>
        <v>238.2697272367603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9.981538461538463</v>
      </c>
      <c r="DO40" s="13">
        <f>IF('Données projet'!$A$166&gt;35,DO39+DN40-DW39,IF(A40&lt;'Données projet'!$A$166,$DL$205^A40,IF(A40='Données projet'!$A$166,'Données projet'!$B$166,DO39+DN40-DW39)))</f>
        <v>167.85538461538459</v>
      </c>
      <c r="DP40" s="18">
        <f>DO40*VLOOKUP('Données projet'!$B$14,Paramètres!$A$1:$I$89,3,0)*VLOOKUP('Données projet'!$B$14,Paramètres!$A$1:$I$89,5,0)</f>
        <v>78.556319999999985</v>
      </c>
      <c r="DQ40" s="14">
        <f t="shared" si="43"/>
        <v>21.783823615207403</v>
      </c>
      <c r="DR40" s="22">
        <f t="shared" si="16"/>
        <v>174.75908346315285</v>
      </c>
      <c r="DS40" s="62">
        <f t="shared" si="17"/>
        <v>395.17196512523958</v>
      </c>
      <c r="DT40" s="62">
        <f ca="1">AVERAGE(OFFSET($DS$3,0,0,'Données projet'!$E$14+1,1))-AVERAGE(OFFSET($H$3,0,0,'Données projet'!$E$14+1,1))</f>
        <v>304.1100958939968</v>
      </c>
      <c r="DU40" s="62">
        <f t="shared" si="44"/>
        <v>184.1255966824568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5.1282051282051269</v>
      </c>
      <c r="EJ40" s="13">
        <f>IF('Données projet'!$A$192&gt;35,EJ39+EI40-ER39,IF(A40&lt;'Données projet'!$A$192,$EG$205^A40,IF(A40='Données projet'!$A$192,'Données projet'!$B$192,EJ39+EI40-ER39)))</f>
        <v>103.84615384615383</v>
      </c>
      <c r="EK40" s="18">
        <f>EJ40*VLOOKUP('Données projet'!$B$15,Paramètres!$A$1:$I$89,3,0)*VLOOKUP('Données projet'!$B$15,Paramètres!$A$1:$I$89,5,0)</f>
        <v>105.29999999999998</v>
      </c>
      <c r="EL40" s="14">
        <f t="shared" si="45"/>
        <v>28.220829418515034</v>
      </c>
      <c r="EM40" s="22">
        <f t="shared" si="19"/>
        <v>232.54877790391365</v>
      </c>
      <c r="EN40" s="62">
        <f t="shared" si="20"/>
        <v>452.96165956600044</v>
      </c>
      <c r="EO40" s="62">
        <f ca="1">AVERAGE(OFFSET($EN$3,0,0,'Données projet'!$E$15+1,1))-AVERAGE(OFFSET($H$3,0,0,'Données projet'!$E$15+1,1))</f>
        <v>435.03433721979218</v>
      </c>
      <c r="EP40" s="62">
        <f t="shared" si="46"/>
        <v>267.10015759286387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5.1282051282051269</v>
      </c>
      <c r="FE40" s="13">
        <f>IF('Données projet'!$A$218&gt;35,FE39+FD40-FM39,IF(A40&lt;'Données projet'!$A$218,$FB$205^A40,IF(A40='Données projet'!$A$218,'Données projet'!$B$218,FE39+FD40-FM39)))</f>
        <v>103.84615384615383</v>
      </c>
      <c r="FF40" s="18">
        <f>FE40*VLOOKUP('Données projet'!$B$16,Paramètres!$A$1:$I$89,3,0)*VLOOKUP('Données projet'!$B$16,Paramètres!$A$1:$I$89,5,0)</f>
        <v>108.53999999999999</v>
      </c>
      <c r="FG40" s="14">
        <f t="shared" si="47"/>
        <v>28.986730142355373</v>
      </c>
      <c r="FH40" s="22">
        <f t="shared" si="22"/>
        <v>239.52572166460229</v>
      </c>
      <c r="FI40" s="62">
        <f t="shared" si="23"/>
        <v>459.93860332668908</v>
      </c>
      <c r="FJ40" s="62">
        <f ca="1">AVERAGE(OFFSET($FI$3,0,0,'Données projet'!$E$16+1,1))-AVERAGE(OFFSET($H$3,0,0,'Données projet'!$E$16+1,1))</f>
        <v>445.15313998584293</v>
      </c>
      <c r="FK40" s="62">
        <f t="shared" si="48"/>
        <v>272.85357736694834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5.6</v>
      </c>
      <c r="FZ40" s="13">
        <f>IF('Données projet'!$A$244&gt;35,FZ39+FY40-GH39,IF(A40&lt;'Données projet'!$A$244,$FW$205^A40,IF(A40='Données projet'!$A$244,'Données projet'!$B$244,FZ39+FY40-GH39)))</f>
        <v>106.19999999999999</v>
      </c>
      <c r="GA40" s="18">
        <f>FZ40*VLOOKUP('Données projet'!$B$17,Paramètres!$A$1:$I$89,3,0)*VLOOKUP('Données projet'!$B$17,Paramètres!$A$1:$I$89,5,0)</f>
        <v>92.776319999999998</v>
      </c>
      <c r="GB40" s="14">
        <f t="shared" si="49"/>
        <v>25.233617967655977</v>
      </c>
      <c r="GC40" s="22">
        <f t="shared" si="25"/>
        <v>205.53397529366748</v>
      </c>
      <c r="GD40" s="62">
        <f t="shared" si="26"/>
        <v>425.94685695575424</v>
      </c>
      <c r="GE40" s="62">
        <f ca="1">AVERAGE(OFFSET($GD$3,0,0,'Données projet'!$E$17+1,1))-AVERAGE(OFFSET($H$3,0,0,'Données projet'!$E$17+1,1))</f>
        <v>248.82613595888964</v>
      </c>
      <c r="GF40" s="62">
        <f t="shared" si="50"/>
        <v>255.8298580882084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135.66666666666666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5.9557692307692314</v>
      </c>
      <c r="N41" s="14">
        <f>IF('Données projet'!$A$36&gt;35,N40+M41-V40,IF(A41&lt;'Données projet'!$A$36,$K$205^A41,IF(A41='Données projet'!$A$36,'Données projet'!$B$36,N40+M41-V40)))</f>
        <v>102.8884615384615</v>
      </c>
      <c r="O41" s="14">
        <f>N41*VLOOKUP('Données projet'!$B$9,Paramètres!$A$1:$I$89,3,0)*VLOOKUP('Données projet'!$B$9,Paramètres!$A$1:$I$89,5,0)</f>
        <v>60.189749999999975</v>
      </c>
      <c r="P41" s="14">
        <f t="shared" si="33"/>
        <v>17.216234946163169</v>
      </c>
      <c r="Q41" s="22">
        <f t="shared" si="53"/>
        <v>134.81542378123416</v>
      </c>
      <c r="R41" s="62">
        <f t="shared" si="0"/>
        <v>356.49331225411009</v>
      </c>
      <c r="S41" s="62">
        <f ca="1">AVERAGE(OFFSET($R$3,0,0,'Données projet'!$E$9+1,1))-AVERAGE(OFFSET($H$3,0,0,'Données projet'!$E$9+1,1))</f>
        <v>221.18884567967481</v>
      </c>
      <c r="T41" s="62">
        <f t="shared" si="34"/>
        <v>189.31596996710888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1.9254166666666663</v>
      </c>
      <c r="AI41" s="14">
        <f>IF('Données projet'!$A$62&gt;35,AI40+AH41-AQ40,IF(A41&lt;'Données projet'!$A$62,$AF$205^A41,IF(A41='Données projet'!$A$62,'Données projet'!$B$62,AI40+AH41-AQ40)))</f>
        <v>58.815833333333345</v>
      </c>
      <c r="AJ41" s="14">
        <f>AI41*VLOOKUP('Données projet'!$B$10,Paramètres!$A$1:$I$89,3,0)*VLOOKUP('Données projet'!$B$10,Paramètres!$A$1:$I$89,5,0)</f>
        <v>67.755840000000006</v>
      </c>
      <c r="AK41" s="14">
        <f t="shared" si="35"/>
        <v>19.115101078108083</v>
      </c>
      <c r="AL41" s="22">
        <f t="shared" si="4"/>
        <v>151.3002223777049</v>
      </c>
      <c r="AM41" s="62">
        <f t="shared" si="5"/>
        <v>372.97811085058083</v>
      </c>
      <c r="AN41" s="62">
        <f ca="1">AVERAGE(OFFSET($AM$3,0,0,'Données projet'!$E$10+1,1))-AVERAGE(OFFSET($H$3,0,0,'Données projet'!$E$10+1,1))</f>
        <v>314.72063458462026</v>
      </c>
      <c r="AO41" s="62">
        <f t="shared" si="36"/>
        <v>216.4380325968244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5.1282051282051269</v>
      </c>
      <c r="BD41" s="13">
        <f>IF('Données projet'!$A$88&gt;35,BD40+BC41-BL40,IF(A41&lt;'Données projet'!$A$88,$BA$205^A41,IF(A41='Données projet'!$A$88,'Données projet'!$B$88,BD40+BC41-BL40)))</f>
        <v>108.97435897435895</v>
      </c>
      <c r="BE41" s="14">
        <f>BD41*VLOOKUP('Données projet'!$B$11,Paramètres!$A$1:$I$89,3,0)*VLOOKUP('Données projet'!$B$11,Paramètres!$A$1:$I$89,5,0)</f>
        <v>117.29999999999995</v>
      </c>
      <c r="BF41" s="14">
        <f t="shared" si="37"/>
        <v>31.044437012840874</v>
      </c>
      <c r="BG41" s="22">
        <f t="shared" si="7"/>
        <v>258.36656113069779</v>
      </c>
      <c r="BH41" s="62">
        <f t="shared" si="8"/>
        <v>480.04444960357375</v>
      </c>
      <c r="BI41" s="62">
        <f ca="1">AVERAGE(OFFSET($BH$3,0,0,'Données projet'!$E$11+1,1))-AVERAGE(OFFSET($H$3,0,0,'Données projet'!$E$11+1,1))</f>
        <v>455.26558725507834</v>
      </c>
      <c r="BJ41" s="62">
        <f t="shared" si="38"/>
        <v>278.60310966788552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4</v>
      </c>
      <c r="BY41" s="13">
        <f>IF('Données projet'!$A$114&gt;35,BY40+BX41-CG40,IF(A41&lt;'Données projet'!$A$114,$BV$205^A41,IF(A41='Données projet'!$A$114,'Données projet'!$B$114,BY40+BX41-CG40)))</f>
        <v>164.99999999999997</v>
      </c>
      <c r="BZ41" s="14">
        <f>BY41*VLOOKUP('Données projet'!$B$12,Paramètres!$A$1:$I$89,3,0)*VLOOKUP('Données projet'!$B$12,Paramètres!$A$1:$I$89,5,0)</f>
        <v>85.799999999999983</v>
      </c>
      <c r="CA41" s="14">
        <f t="shared" si="39"/>
        <v>23.549485995669766</v>
      </c>
      <c r="CB41" s="22">
        <f t="shared" si="10"/>
        <v>190.45035477579145</v>
      </c>
      <c r="CC41" s="62">
        <f t="shared" si="11"/>
        <v>412.12824324866739</v>
      </c>
      <c r="CD41" s="62">
        <f ca="1">AVERAGE(OFFSET($CC$3,0,0,'Données projet'!$E$12+1,1))-AVERAGE(OFFSET($H$3,0,0,'Données projet'!$E$12+1,1))</f>
        <v>300.72820267660154</v>
      </c>
      <c r="CE41" s="62">
        <f t="shared" si="40"/>
        <v>228.35388778608589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5.1282051282051269</v>
      </c>
      <c r="CT41" s="13">
        <f>IF('Données projet'!$A$140&gt;35,CT40+CS41-DB40,IF(A41&lt;'Données projet'!$A$140,$CQ$205^A41,IF(A41='Données projet'!$A$140,'Données projet'!$B$140,CT40+CS41-DB40)))</f>
        <v>108.97435897435895</v>
      </c>
      <c r="CU41" s="18">
        <f>CT41*VLOOKUP('Données projet'!$B$13,Paramètres!$A$1:$I$89,3,0)*VLOOKUP('Données projet'!$B$13,Paramètres!$A$1:$I$89,5,0)</f>
        <v>93.499999999999986</v>
      </c>
      <c r="CV41" s="14">
        <f t="shared" si="41"/>
        <v>25.407457292065082</v>
      </c>
      <c r="CW41" s="22">
        <f t="shared" si="13"/>
        <v>207.09715478368</v>
      </c>
      <c r="CX41" s="62">
        <f t="shared" si="14"/>
        <v>428.77504325655593</v>
      </c>
      <c r="CY41" s="62">
        <f ca="1">AVERAGE(OFFSET($CX$3,0,0,'Données projet'!$E$13+1,1))-AVERAGE(OFFSET($H$3,0,0,'Données projet'!$E$13+1,1))</f>
        <v>384.3367849108829</v>
      </c>
      <c r="CZ41" s="62">
        <f t="shared" si="42"/>
        <v>238.2697272367603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9.981538461538463</v>
      </c>
      <c r="DO41" s="13">
        <f>IF('Données projet'!$A$166&gt;35,DO40+DN41-DW40,IF(A41&lt;'Données projet'!$A$166,$DL$205^A41,IF(A41='Données projet'!$A$166,'Données projet'!$B$166,DO40+DN41-DW40)))</f>
        <v>177.83692307692306</v>
      </c>
      <c r="DP41" s="18">
        <f>DO41*VLOOKUP('Données projet'!$B$14,Paramètres!$A$1:$I$89,3,0)*VLOOKUP('Données projet'!$B$14,Paramètres!$A$1:$I$89,5,0)</f>
        <v>83.227679999999978</v>
      </c>
      <c r="DQ41" s="14">
        <f t="shared" si="43"/>
        <v>22.924542798244513</v>
      </c>
      <c r="DR41" s="22">
        <f t="shared" si="16"/>
        <v>184.88178804027584</v>
      </c>
      <c r="DS41" s="62">
        <f t="shared" si="17"/>
        <v>406.55967651315177</v>
      </c>
      <c r="DT41" s="62">
        <f ca="1">AVERAGE(OFFSET($DS$3,0,0,'Données projet'!$E$14+1,1))-AVERAGE(OFFSET($H$3,0,0,'Données projet'!$E$14+1,1))</f>
        <v>304.1100958939968</v>
      </c>
      <c r="DU41" s="62">
        <f t="shared" si="44"/>
        <v>184.1255966824568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5.1282051282051269</v>
      </c>
      <c r="EJ41" s="13">
        <f>IF('Données projet'!$A$192&gt;35,EJ40+EI41-ER40,IF(A41&lt;'Données projet'!$A$192,$EG$205^A41,IF(A41='Données projet'!$A$192,'Données projet'!$B$192,EJ40+EI41-ER40)))</f>
        <v>108.97435897435895</v>
      </c>
      <c r="EK41" s="18">
        <f>EJ41*VLOOKUP('Données projet'!$B$15,Paramètres!$A$1:$I$89,3,0)*VLOOKUP('Données projet'!$B$15,Paramètres!$A$1:$I$89,5,0)</f>
        <v>110.49999999999997</v>
      </c>
      <c r="EL41" s="14">
        <f t="shared" si="45"/>
        <v>29.448757360517536</v>
      </c>
      <c r="EM41" s="22">
        <f t="shared" si="19"/>
        <v>243.74408573623464</v>
      </c>
      <c r="EN41" s="62">
        <f t="shared" si="20"/>
        <v>465.42197420911054</v>
      </c>
      <c r="EO41" s="62">
        <f ca="1">AVERAGE(OFFSET($EN$3,0,0,'Données projet'!$E$15+1,1))-AVERAGE(OFFSET($H$3,0,0,'Données projet'!$E$15+1,1))</f>
        <v>435.03433721979218</v>
      </c>
      <c r="EP41" s="62">
        <f t="shared" si="46"/>
        <v>267.10015759286387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5.1282051282051269</v>
      </c>
      <c r="FE41" s="13">
        <f>IF('Données projet'!$A$218&gt;35,FE40+FD41-FM40,IF(A41&lt;'Données projet'!$A$218,$FB$205^A41,IF(A41='Données projet'!$A$218,'Données projet'!$B$218,FE40+FD41-FM40)))</f>
        <v>108.97435897435895</v>
      </c>
      <c r="FF41" s="18">
        <f>FE41*VLOOKUP('Données projet'!$B$16,Paramètres!$A$1:$I$89,3,0)*VLOOKUP('Données projet'!$B$16,Paramètres!$A$1:$I$89,5,0)</f>
        <v>113.89999999999998</v>
      </c>
      <c r="FG41" s="14">
        <f t="shared" si="47"/>
        <v>30.247983501044125</v>
      </c>
      <c r="FH41" s="22">
        <f t="shared" si="22"/>
        <v>251.05773793098513</v>
      </c>
      <c r="FI41" s="62">
        <f t="shared" si="23"/>
        <v>472.73562640386103</v>
      </c>
      <c r="FJ41" s="62">
        <f ca="1">AVERAGE(OFFSET($FI$3,0,0,'Données projet'!$E$16+1,1))-AVERAGE(OFFSET($H$3,0,0,'Données projet'!$E$16+1,1))</f>
        <v>445.15313998584293</v>
      </c>
      <c r="FK41" s="62">
        <f t="shared" si="48"/>
        <v>272.85357736694834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5.6</v>
      </c>
      <c r="FZ41" s="13">
        <f>IF('Données projet'!$A$244&gt;35,FZ40+FY41-GH40,IF(A41&lt;'Données projet'!$A$244,$FW$205^A41,IF(A41='Données projet'!$A$244,'Données projet'!$B$244,FZ40+FY41-GH40)))</f>
        <v>111.79999999999998</v>
      </c>
      <c r="GA41" s="18">
        <f>FZ41*VLOOKUP('Données projet'!$B$17,Paramètres!$A$1:$I$89,3,0)*VLOOKUP('Données projet'!$B$17,Paramètres!$A$1:$I$89,5,0)</f>
        <v>97.668480000000002</v>
      </c>
      <c r="GB41" s="14">
        <f t="shared" si="49"/>
        <v>26.405784719550642</v>
      </c>
      <c r="GC41" s="22">
        <f t="shared" si="25"/>
        <v>216.09601105321735</v>
      </c>
      <c r="GD41" s="62">
        <f t="shared" si="26"/>
        <v>437.77389952609326</v>
      </c>
      <c r="GE41" s="62">
        <f ca="1">AVERAGE(OFFSET($GD$3,0,0,'Données projet'!$E$17+1,1))-AVERAGE(OFFSET($H$3,0,0,'Données projet'!$E$17+1,1))</f>
        <v>248.82613595888964</v>
      </c>
      <c r="GF41" s="62">
        <f t="shared" si="50"/>
        <v>255.8298580882084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135.66666666666666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5.9557692307692314</v>
      </c>
      <c r="N42" s="14">
        <f>IF('Données projet'!$A$36&gt;35,N41+M42-V41,IF(A42&lt;'Données projet'!$A$36,$K$205^A42,IF(A42='Données projet'!$A$36,'Données projet'!$B$36,N41+M42-V41)))</f>
        <v>108.84423076923073</v>
      </c>
      <c r="O42" s="14">
        <f>N42*VLOOKUP('Données projet'!$B$9,Paramètres!$A$1:$I$89,3,0)*VLOOKUP('Données projet'!$B$9,Paramètres!$A$1:$I$89,5,0)</f>
        <v>63.673874999999981</v>
      </c>
      <c r="P42" s="14">
        <f t="shared" si="33"/>
        <v>18.093902773742549</v>
      </c>
      <c r="Q42" s="22">
        <f t="shared" si="53"/>
        <v>142.41221295593488</v>
      </c>
      <c r="R42" s="62">
        <f t="shared" si="0"/>
        <v>365.33316319956441</v>
      </c>
      <c r="S42" s="62">
        <f ca="1">AVERAGE(OFFSET($R$3,0,0,'Données projet'!$E$9+1,1))-AVERAGE(OFFSET($H$3,0,0,'Données projet'!$E$9+1,1))</f>
        <v>221.18884567967481</v>
      </c>
      <c r="T42" s="62">
        <f t="shared" si="34"/>
        <v>189.31596996710888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1.9254166666666663</v>
      </c>
      <c r="AI42" s="14">
        <f>IF('Données projet'!$A$62&gt;35,AI41+AH42-AQ41,IF(A42&lt;'Données projet'!$A$62,$AF$205^A42,IF(A42='Données projet'!$A$62,'Données projet'!$B$62,AI41+AH42-AQ41)))</f>
        <v>60.741250000000008</v>
      </c>
      <c r="AJ42" s="14">
        <f>AI42*VLOOKUP('Données projet'!$B$10,Paramètres!$A$1:$I$89,3,0)*VLOOKUP('Données projet'!$B$10,Paramètres!$A$1:$I$89,5,0)</f>
        <v>69.973920000000007</v>
      </c>
      <c r="AK42" s="14">
        <f t="shared" si="35"/>
        <v>19.666980847748825</v>
      </c>
      <c r="AL42" s="22">
        <f t="shared" si="4"/>
        <v>156.12456897649591</v>
      </c>
      <c r="AM42" s="62">
        <f t="shared" si="5"/>
        <v>379.04551922012541</v>
      </c>
      <c r="AN42" s="62">
        <f ca="1">AVERAGE(OFFSET($AM$3,0,0,'Données projet'!$E$10+1,1))-AVERAGE(OFFSET($H$3,0,0,'Données projet'!$E$10+1,1))</f>
        <v>314.72063458462026</v>
      </c>
      <c r="AO42" s="62">
        <f t="shared" si="36"/>
        <v>216.4380325968244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5.1282051282051269</v>
      </c>
      <c r="BD42" s="13">
        <f>IF('Données projet'!$A$88&gt;35,BD41+BC42-BL41,IF(A42&lt;'Données projet'!$A$88,$BA$205^A42,IF(A42='Données projet'!$A$88,'Données projet'!$B$88,BD41+BC42-BL41)))</f>
        <v>114.10256410256407</v>
      </c>
      <c r="BE42" s="14">
        <f>BD42*VLOOKUP('Données projet'!$B$11,Paramètres!$A$1:$I$89,3,0)*VLOOKUP('Données projet'!$B$11,Paramètres!$A$1:$I$89,5,0)</f>
        <v>122.81999999999995</v>
      </c>
      <c r="BF42" s="14">
        <f t="shared" si="37"/>
        <v>32.331826192996864</v>
      </c>
      <c r="BG42" s="22">
        <f t="shared" si="7"/>
        <v>270.22276395280278</v>
      </c>
      <c r="BH42" s="62">
        <f t="shared" si="8"/>
        <v>493.14371419643226</v>
      </c>
      <c r="BI42" s="62">
        <f ca="1">AVERAGE(OFFSET($BH$3,0,0,'Données projet'!$E$11+1,1))-AVERAGE(OFFSET($H$3,0,0,'Données projet'!$E$11+1,1))</f>
        <v>455.26558725507834</v>
      </c>
      <c r="BJ42" s="62">
        <f t="shared" si="38"/>
        <v>278.60310966788552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4</v>
      </c>
      <c r="BY42" s="13">
        <f>IF('Données projet'!$A$114&gt;35,BY41+BX42-CG41,IF(A42&lt;'Données projet'!$A$114,$BV$205^A42,IF(A42='Données projet'!$A$114,'Données projet'!$B$114,BY41+BX42-CG41)))</f>
        <v>168.99999999999997</v>
      </c>
      <c r="BZ42" s="14">
        <f>BY42*VLOOKUP('Données projet'!$B$12,Paramètres!$A$1:$I$89,3,0)*VLOOKUP('Données projet'!$B$12,Paramètres!$A$1:$I$89,5,0)</f>
        <v>87.88</v>
      </c>
      <c r="CA42" s="14">
        <f t="shared" si="39"/>
        <v>24.053224872750018</v>
      </c>
      <c r="CB42" s="22">
        <f t="shared" si="10"/>
        <v>194.95036665337292</v>
      </c>
      <c r="CC42" s="62">
        <f t="shared" si="11"/>
        <v>417.87131689700243</v>
      </c>
      <c r="CD42" s="62">
        <f ca="1">AVERAGE(OFFSET($CC$3,0,0,'Données projet'!$E$12+1,1))-AVERAGE(OFFSET($H$3,0,0,'Données projet'!$E$12+1,1))</f>
        <v>300.72820267660154</v>
      </c>
      <c r="CE42" s="62">
        <f t="shared" si="40"/>
        <v>228.35388778608589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5.1282051282051269</v>
      </c>
      <c r="CT42" s="13">
        <f>IF('Données projet'!$A$140&gt;35,CT41+CS42-DB41,IF(A42&lt;'Données projet'!$A$140,$CQ$205^A42,IF(A42='Données projet'!$A$140,'Données projet'!$B$140,CT41+CS42-DB41)))</f>
        <v>114.10256410256407</v>
      </c>
      <c r="CU42" s="18">
        <f>CT42*VLOOKUP('Données projet'!$B$13,Paramètres!$A$1:$I$89,3,0)*VLOOKUP('Données projet'!$B$13,Paramètres!$A$1:$I$89,5,0)</f>
        <v>97.899999999999991</v>
      </c>
      <c r="CV42" s="14">
        <f t="shared" si="41"/>
        <v>26.461085212569802</v>
      </c>
      <c r="CW42" s="22">
        <f t="shared" si="13"/>
        <v>216.59555674522571</v>
      </c>
      <c r="CX42" s="62">
        <f t="shared" si="14"/>
        <v>439.51650698885521</v>
      </c>
      <c r="CY42" s="62">
        <f ca="1">AVERAGE(OFFSET($CX$3,0,0,'Données projet'!$E$13+1,1))-AVERAGE(OFFSET($H$3,0,0,'Données projet'!$E$13+1,1))</f>
        <v>384.3367849108829</v>
      </c>
      <c r="CZ42" s="62">
        <f t="shared" si="42"/>
        <v>238.2697272367603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9.981538461538463</v>
      </c>
      <c r="DO42" s="13">
        <f>IF('Données projet'!$A$166&gt;35,DO41+DN42-DW41,IF(A42&lt;'Données projet'!$A$166,$DL$205^A42,IF(A42='Données projet'!$A$166,'Données projet'!$B$166,DO41+DN42-DW41)))</f>
        <v>187.81846153846152</v>
      </c>
      <c r="DP42" s="18">
        <f>DO42*VLOOKUP('Données projet'!$B$14,Paramètres!$A$1:$I$89,3,0)*VLOOKUP('Données projet'!$B$14,Paramètres!$A$1:$I$89,5,0)</f>
        <v>87.899039999999985</v>
      </c>
      <c r="DQ42" s="14">
        <f t="shared" si="43"/>
        <v>24.05782956318463</v>
      </c>
      <c r="DR42" s="22">
        <f t="shared" si="16"/>
        <v>194.99154782254652</v>
      </c>
      <c r="DS42" s="62">
        <f t="shared" si="17"/>
        <v>417.912498066176</v>
      </c>
      <c r="DT42" s="62">
        <f ca="1">AVERAGE(OFFSET($DS$3,0,0,'Données projet'!$E$14+1,1))-AVERAGE(OFFSET($H$3,0,0,'Données projet'!$E$14+1,1))</f>
        <v>304.1100958939968</v>
      </c>
      <c r="DU42" s="62">
        <f t="shared" si="44"/>
        <v>184.1255966824568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5.1282051282051269</v>
      </c>
      <c r="EJ42" s="13">
        <f>IF('Données projet'!$A$192&gt;35,EJ41+EI42-ER41,IF(A42&lt;'Données projet'!$A$192,$EG$205^A42,IF(A42='Données projet'!$A$192,'Données projet'!$B$192,EJ41+EI42-ER41)))</f>
        <v>114.10256410256407</v>
      </c>
      <c r="EK42" s="18">
        <f>EJ42*VLOOKUP('Données projet'!$B$15,Paramètres!$A$1:$I$89,3,0)*VLOOKUP('Données projet'!$B$15,Paramètres!$A$1:$I$89,5,0)</f>
        <v>115.69999999999999</v>
      </c>
      <c r="EL42" s="14">
        <f t="shared" si="45"/>
        <v>30.669974919698522</v>
      </c>
      <c r="EM42" s="22">
        <f t="shared" si="19"/>
        <v>254.92770631847489</v>
      </c>
      <c r="EN42" s="62">
        <f t="shared" si="20"/>
        <v>477.8486565621044</v>
      </c>
      <c r="EO42" s="62">
        <f ca="1">AVERAGE(OFFSET($EN$3,0,0,'Données projet'!$E$15+1,1))-AVERAGE(OFFSET($H$3,0,0,'Données projet'!$E$15+1,1))</f>
        <v>435.03433721979218</v>
      </c>
      <c r="EP42" s="62">
        <f t="shared" si="46"/>
        <v>267.10015759286387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5.1282051282051269</v>
      </c>
      <c r="FE42" s="13">
        <f>IF('Données projet'!$A$218&gt;35,FE41+FD42-FM41,IF(A42&lt;'Données projet'!$A$218,$FB$205^A42,IF(A42='Données projet'!$A$218,'Données projet'!$B$218,FE41+FD42-FM41)))</f>
        <v>114.10256410256407</v>
      </c>
      <c r="FF42" s="18">
        <f>FE42*VLOOKUP('Données projet'!$B$16,Paramètres!$A$1:$I$89,3,0)*VLOOKUP('Données projet'!$B$16,Paramètres!$A$1:$I$89,5,0)</f>
        <v>119.25999999999998</v>
      </c>
      <c r="FG42" s="14">
        <f t="shared" si="47"/>
        <v>31.50234436011446</v>
      </c>
      <c r="FH42" s="22">
        <f t="shared" si="22"/>
        <v>262.57774976053264</v>
      </c>
      <c r="FI42" s="62">
        <f t="shared" si="23"/>
        <v>485.49870000416217</v>
      </c>
      <c r="FJ42" s="62">
        <f ca="1">AVERAGE(OFFSET($FI$3,0,0,'Données projet'!$E$16+1,1))-AVERAGE(OFFSET($H$3,0,0,'Données projet'!$E$16+1,1))</f>
        <v>445.15313998584293</v>
      </c>
      <c r="FK42" s="62">
        <f t="shared" si="48"/>
        <v>272.85357736694834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5.6</v>
      </c>
      <c r="FZ42" s="13">
        <f>IF('Données projet'!$A$244&gt;35,FZ41+FY42-GH41,IF(A42&lt;'Données projet'!$A$244,$FW$205^A42,IF(A42='Données projet'!$A$244,'Données projet'!$B$244,FZ41+FY42-GH41)))</f>
        <v>117.39999999999998</v>
      </c>
      <c r="GA42" s="18">
        <f>FZ42*VLOOKUP('Données projet'!$B$17,Paramètres!$A$1:$I$89,3,0)*VLOOKUP('Données projet'!$B$17,Paramètres!$A$1:$I$89,5,0)</f>
        <v>102.56064000000001</v>
      </c>
      <c r="GB42" s="14">
        <f t="shared" si="49"/>
        <v>27.571134131783779</v>
      </c>
      <c r="GC42" s="22">
        <f t="shared" si="25"/>
        <v>226.64617327952342</v>
      </c>
      <c r="GD42" s="62">
        <f t="shared" si="26"/>
        <v>449.56712352315293</v>
      </c>
      <c r="GE42" s="62">
        <f ca="1">AVERAGE(OFFSET($GD$3,0,0,'Données projet'!$E$17+1,1))-AVERAGE(OFFSET($H$3,0,0,'Données projet'!$E$17+1,1))</f>
        <v>248.82613595888964</v>
      </c>
      <c r="GF42" s="62">
        <f t="shared" si="50"/>
        <v>255.8298580882084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135.66666666666666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5.9557692307692314</v>
      </c>
      <c r="N43" s="14">
        <f>IF('Données projet'!$A$36&gt;35,N42+M43-V42,IF(A43&lt;'Données projet'!$A$36,$K$205^A43,IF(A43='Données projet'!$A$36,'Données projet'!$B$36,N42+M43-V42)))</f>
        <v>114.79999999999997</v>
      </c>
      <c r="O43" s="14">
        <f>N43*VLOOKUP('Données projet'!$B$9,Paramètres!$A$1:$I$89,3,0)*VLOOKUP('Données projet'!$B$9,Paramètres!$A$1:$I$89,5,0)</f>
        <v>67.157999999999987</v>
      </c>
      <c r="P43" s="14">
        <f t="shared" si="33"/>
        <v>18.965995379979955</v>
      </c>
      <c r="Q43" s="22">
        <f t="shared" si="53"/>
        <v>149.99929195346505</v>
      </c>
      <c r="R43" s="62">
        <f t="shared" si="0"/>
        <v>374.14173962519533</v>
      </c>
      <c r="S43" s="62">
        <f ca="1">AVERAGE(OFFSET($R$3,0,0,'Données projet'!$E$9+1,1))-AVERAGE(OFFSET($H$3,0,0,'Données projet'!$E$9+1,1))</f>
        <v>221.18884567967481</v>
      </c>
      <c r="T43" s="62">
        <f t="shared" si="34"/>
        <v>189.31596996710888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62.666666666666671</v>
      </c>
      <c r="AG43" s="13">
        <f>VLOOKUP(A43,'Données projet'!$A$61:$I$81,9,0)</f>
        <v>1.9254166666666663</v>
      </c>
      <c r="AH43" s="13">
        <f t="array" ref="AH43">INDEX(AG:AG,MIN(IF(ISNUMBER(AG43:AG239),ROW(AG43:AG239),"")))</f>
        <v>1.9254166666666663</v>
      </c>
      <c r="AI43" s="14">
        <f>IF('Données projet'!$A$62&gt;35,AI42+AH43-AQ42,IF(A43&lt;'Données projet'!$A$62,$AF$205^A43,IF(A43='Données projet'!$A$62,'Données projet'!$B$62,AI42+AH43-AQ42)))</f>
        <v>62.666666666666671</v>
      </c>
      <c r="AJ43" s="14">
        <f>AI43*VLOOKUP('Données projet'!$B$10,Paramètres!$A$1:$I$89,3,0)*VLOOKUP('Données projet'!$B$10,Paramètres!$A$1:$I$89,5,0)</f>
        <v>72.192000000000007</v>
      </c>
      <c r="AK43" s="14">
        <f t="shared" si="35"/>
        <v>20.216827725253115</v>
      </c>
      <c r="AL43" s="22">
        <f t="shared" si="4"/>
        <v>160.94537495481583</v>
      </c>
      <c r="AM43" s="62">
        <f t="shared" si="5"/>
        <v>385.08782262654614</v>
      </c>
      <c r="AN43" s="62">
        <f ca="1">AVERAGE(OFFSET($AM$3,0,0,'Données projet'!$E$10+1,1))-AVERAGE(OFFSET($H$3,0,0,'Données projet'!$E$10+1,1))</f>
        <v>314.72063458462026</v>
      </c>
      <c r="AO43" s="62">
        <f t="shared" si="36"/>
        <v>216.4380325968244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7.0000000000000009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119.23076923076923</v>
      </c>
      <c r="BB43" s="13">
        <f>VLOOKUP(A43,'Données projet'!$A$87:$I$107,9,0)</f>
        <v>5.1282051282051269</v>
      </c>
      <c r="BC43" s="13">
        <f t="array" ref="BC43">INDEX(BB:BB,MIN(IF(ISNUMBER(BB43:BB239),ROW(BB43:BB239),"")))</f>
        <v>5.1282051282051269</v>
      </c>
      <c r="BD43" s="13">
        <f>IF('Données projet'!$A$88&gt;35,BD42+BC43-BL42,IF(A43&lt;'Données projet'!$A$88,$BA$205^A43,IF(A43='Données projet'!$A$88,'Données projet'!$B$88,BD42+BC43-BL42)))</f>
        <v>119.2307692307692</v>
      </c>
      <c r="BE43" s="14">
        <f>BD43*VLOOKUP('Données projet'!$B$11,Paramètres!$A$1:$I$89,3,0)*VLOOKUP('Données projet'!$B$11,Paramètres!$A$1:$I$89,5,0)</f>
        <v>128.33999999999997</v>
      </c>
      <c r="BF43" s="14">
        <f t="shared" si="37"/>
        <v>33.612495644528238</v>
      </c>
      <c r="BG43" s="22">
        <f t="shared" si="7"/>
        <v>282.06726324755329</v>
      </c>
      <c r="BH43" s="62">
        <f t="shared" si="8"/>
        <v>506.20971091928357</v>
      </c>
      <c r="BI43" s="62">
        <f ca="1">AVERAGE(OFFSET($BH$3,0,0,'Données projet'!$E$11+1,1))-AVERAGE(OFFSET($H$3,0,0,'Données projet'!$E$11+1,1))</f>
        <v>455.26558725507834</v>
      </c>
      <c r="BJ43" s="62">
        <f t="shared" si="38"/>
        <v>278.60310966788552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17.307692307692307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173</v>
      </c>
      <c r="BW43" s="13">
        <f>VLOOKUP(A43,'Données projet'!$A$113:$I$133,9,0)</f>
        <v>4</v>
      </c>
      <c r="BX43" s="13">
        <f t="array" ref="BX43">INDEX(BW:BW,MIN(IF(ISNUMBER(BW43:BW239),ROW(BW43:BW239),"")))</f>
        <v>4</v>
      </c>
      <c r="BY43" s="13">
        <f>IF('Données projet'!$A$114&gt;35,BY42+BX43-CG42,IF(A43&lt;'Données projet'!$A$114,$BV$205^A43,IF(A43='Données projet'!$A$114,'Données projet'!$B$114,BY42+BX43-CG42)))</f>
        <v>172.99999999999997</v>
      </c>
      <c r="BZ43" s="14">
        <f>BY43*VLOOKUP('Données projet'!$B$12,Paramètres!$A$1:$I$89,3,0)*VLOOKUP('Données projet'!$B$12,Paramètres!$A$1:$I$89,5,0)</f>
        <v>89.96</v>
      </c>
      <c r="CA43" s="14">
        <f t="shared" si="39"/>
        <v>24.555577707529412</v>
      </c>
      <c r="CB43" s="22">
        <f t="shared" si="10"/>
        <v>199.44796450728037</v>
      </c>
      <c r="CC43" s="62">
        <f t="shared" si="11"/>
        <v>423.59041217901068</v>
      </c>
      <c r="CD43" s="62">
        <f ca="1">AVERAGE(OFFSET($CC$3,0,0,'Données projet'!$E$12+1,1))-AVERAGE(OFFSET($H$3,0,0,'Données projet'!$E$12+1,1))</f>
        <v>300.72820267660154</v>
      </c>
      <c r="CE43" s="62">
        <f t="shared" si="40"/>
        <v>228.35388778608589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119.23076923076923</v>
      </c>
      <c r="CR43" s="13">
        <f>VLOOKUP(A43,'Données projet'!$A$139:$I$159,9,0)</f>
        <v>5.1282051282051269</v>
      </c>
      <c r="CS43" s="13">
        <f t="array" ref="CS43">INDEX(CR:CR,MIN(IF(ISNUMBER(CR43:CR239),ROW(CR43:CR239),"")))</f>
        <v>5.1282051282051269</v>
      </c>
      <c r="CT43" s="13">
        <f>IF('Données projet'!$A$140&gt;35,CT42+CS43-DB42,IF(A43&lt;'Données projet'!$A$140,$CQ$205^A43,IF(A43='Données projet'!$A$140,'Données projet'!$B$140,CT42+CS43-DB42)))</f>
        <v>119.2307692307692</v>
      </c>
      <c r="CU43" s="18">
        <f>CT43*VLOOKUP('Données projet'!$B$13,Paramètres!$A$1:$I$89,3,0)*VLOOKUP('Données projet'!$B$13,Paramètres!$A$1:$I$89,5,0)</f>
        <v>102.29999999999998</v>
      </c>
      <c r="CV43" s="14">
        <f t="shared" si="41"/>
        <v>27.509213557805278</v>
      </c>
      <c r="CW43" s="22">
        <f t="shared" si="13"/>
        <v>226.08438027984417</v>
      </c>
      <c r="CX43" s="62">
        <f t="shared" si="14"/>
        <v>450.22682795157448</v>
      </c>
      <c r="CY43" s="62">
        <f ca="1">AVERAGE(OFFSET($CX$3,0,0,'Données projet'!$E$13+1,1))-AVERAGE(OFFSET($H$3,0,0,'Données projet'!$E$13+1,1))</f>
        <v>384.3367849108829</v>
      </c>
      <c r="CZ43" s="62">
        <f t="shared" si="42"/>
        <v>238.2697272367603</v>
      </c>
      <c r="DA43" s="16">
        <f>IF(ISNA(VLOOKUP(A43,'Données projet'!$A$139:$I$159,3,0)),0,VLOOKUP(A43,'Données projet'!$A$139:$I$159,3,0))</f>
        <v>2</v>
      </c>
      <c r="DB43" s="16">
        <f>IF(ISNA(VLOOKUP(A43,'Données projet'!$A$139:$I$159,4,0)),0,VLOOKUP(A43,'Données projet'!$A$139:$I$159,4,0))</f>
        <v>17.307692307692307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197.79999999999998</v>
      </c>
      <c r="DM43" s="13">
        <f>VLOOKUP(A43,'Données projet'!$A$165:$I$185,9,0)</f>
        <v>9.981538461538463</v>
      </c>
      <c r="DN43" s="13">
        <f t="array" ref="DN43">INDEX(DM:DM,MIN(IF(ISNUMBER(DM43:DM239),ROW(DM43:DM239),"")))</f>
        <v>9.981538461538463</v>
      </c>
      <c r="DO43" s="13">
        <f>IF('Données projet'!$A$166&gt;35,DO42+DN43-DW42,IF(A43&lt;'Données projet'!$A$166,$DL$205^A43,IF(A43='Données projet'!$A$166,'Données projet'!$B$166,DO42+DN43-DW42)))</f>
        <v>197.79999999999998</v>
      </c>
      <c r="DP43" s="18">
        <f>DO43*VLOOKUP('Données projet'!$B$14,Paramètres!$A$1:$I$89,3,0)*VLOOKUP('Données projet'!$B$14,Paramètres!$A$1:$I$89,5,0)</f>
        <v>92.570399999999978</v>
      </c>
      <c r="DQ43" s="14">
        <f t="shared" si="43"/>
        <v>25.184123943972491</v>
      </c>
      <c r="DR43" s="22">
        <f t="shared" si="16"/>
        <v>205.08912920241869</v>
      </c>
      <c r="DS43" s="62">
        <f t="shared" si="17"/>
        <v>429.23157687414903</v>
      </c>
      <c r="DT43" s="62">
        <f ca="1">AVERAGE(OFFSET($DS$3,0,0,'Données projet'!$E$14+1,1))-AVERAGE(OFFSET($H$3,0,0,'Données projet'!$E$14+1,1))</f>
        <v>304.1100958939968</v>
      </c>
      <c r="DU43" s="62">
        <f t="shared" si="44"/>
        <v>184.1255966824568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119.23076923076923</v>
      </c>
      <c r="EH43" s="13">
        <f>VLOOKUP(A43,'Données projet'!$A$191:$I$211,9,0)</f>
        <v>5.1282051282051269</v>
      </c>
      <c r="EI43" s="13">
        <f t="array" ref="EI43">INDEX(EH:EH,MIN(IF(ISNUMBER(EH43:EH239),ROW(EH43:EH239),"")))</f>
        <v>5.1282051282051269</v>
      </c>
      <c r="EJ43" s="13">
        <f>IF('Données projet'!$A$192&gt;35,EJ42+EI43-ER42,IF(A43&lt;'Données projet'!$A$192,$EG$205^A43,IF(A43='Données projet'!$A$192,'Données projet'!$B$192,EJ42+EI43-ER42)))</f>
        <v>119.2307692307692</v>
      </c>
      <c r="EK43" s="18">
        <f>EJ43*VLOOKUP('Données projet'!$B$15,Paramètres!$A$1:$I$89,3,0)*VLOOKUP('Données projet'!$B$15,Paramètres!$A$1:$I$89,5,0)</f>
        <v>120.89999999999998</v>
      </c>
      <c r="EL43" s="14">
        <f t="shared" si="45"/>
        <v>31.884818143351602</v>
      </c>
      <c r="EM43" s="22">
        <f t="shared" si="19"/>
        <v>266.10022493300397</v>
      </c>
      <c r="EN43" s="62">
        <f t="shared" si="20"/>
        <v>490.24267260473425</v>
      </c>
      <c r="EO43" s="62">
        <f ca="1">AVERAGE(OFFSET($EN$3,0,0,'Données projet'!$E$15+1,1))-AVERAGE(OFFSET($H$3,0,0,'Données projet'!$E$15+1,1))</f>
        <v>435.03433721979218</v>
      </c>
      <c r="EP43" s="62">
        <f t="shared" si="46"/>
        <v>267.10015759286387</v>
      </c>
      <c r="EQ43" s="16">
        <f>IF(ISNA(VLOOKUP(A43,'Données projet'!$A$191:$I$211,3,0)),0,VLOOKUP(A43,'Données projet'!$A$191:$I$211,3,0))</f>
        <v>2</v>
      </c>
      <c r="ER43" s="16">
        <f>IF(ISNA(VLOOKUP(A43,'Données projet'!$A$191:$I$211,4,0)),0,VLOOKUP(A43,'Données projet'!$A$191:$I$211,4,0))</f>
        <v>17.307692307692307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119.23076923076923</v>
      </c>
      <c r="FC43" s="13">
        <f>VLOOKUP(A43,'Données projet'!$A$217:$I$237,9,0)</f>
        <v>5.1282051282051269</v>
      </c>
      <c r="FD43" s="13">
        <f t="array" ref="FD43">INDEX(FC:FC,MIN(IF(ISNUMBER(FC43:FC239),ROW(FC43:FC239),"")))</f>
        <v>5.1282051282051269</v>
      </c>
      <c r="FE43" s="13">
        <f>IF('Données projet'!$A$218&gt;35,FE42+FD43-FM42,IF(A43&lt;'Données projet'!$A$218,$FB$205^A43,IF(A43='Données projet'!$A$218,'Données projet'!$B$218,FE42+FD43-FM42)))</f>
        <v>119.2307692307692</v>
      </c>
      <c r="FF43" s="18">
        <f>FE43*VLOOKUP('Données projet'!$B$16,Paramètres!$A$1:$I$89,3,0)*VLOOKUP('Données projet'!$B$16,Paramètres!$A$1:$I$89,5,0)</f>
        <v>124.61999999999999</v>
      </c>
      <c r="FG43" s="14">
        <f t="shared" si="47"/>
        <v>32.750157887033581</v>
      </c>
      <c r="FH43" s="22">
        <f t="shared" si="22"/>
        <v>274.08635831991677</v>
      </c>
      <c r="FI43" s="62">
        <f t="shared" si="23"/>
        <v>498.22880599164705</v>
      </c>
      <c r="FJ43" s="62">
        <f ca="1">AVERAGE(OFFSET($FI$3,0,0,'Données projet'!$E$16+1,1))-AVERAGE(OFFSET($H$3,0,0,'Données projet'!$E$16+1,1))</f>
        <v>445.15313998584293</v>
      </c>
      <c r="FK43" s="62">
        <f t="shared" si="48"/>
        <v>272.85357736694834</v>
      </c>
      <c r="FL43" s="16">
        <f>IF(ISNA(VLOOKUP(A43,'Données projet'!$A$217:$I$237,3,0)),0,VLOOKUP(A43,'Données projet'!$A$217:$I$237,3,0))</f>
        <v>2</v>
      </c>
      <c r="FM43" s="16">
        <f>IF(ISNA(VLOOKUP(A43,'Données projet'!$A$217:$I$237,4,0)),0,VLOOKUP(A43,'Données projet'!$A$217:$I$237,4,0))</f>
        <v>17.307692307692307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123</v>
      </c>
      <c r="FX43" s="13">
        <f>VLOOKUP(A43,'Données projet'!$A$243:$I$263,9,0)</f>
        <v>5.6</v>
      </c>
      <c r="FY43" s="13">
        <f t="array" ref="FY43">INDEX(FX:FX,MIN(IF(ISNUMBER(FX43:FX239),ROW(FX43:FX239),"")))</f>
        <v>5.6</v>
      </c>
      <c r="FZ43" s="13">
        <f>IF('Données projet'!$A$244&gt;35,FZ42+FY43-GH42,IF(A43&lt;'Données projet'!$A$244,$FW$205^A43,IF(A43='Données projet'!$A$244,'Données projet'!$B$244,FZ42+FY43-GH42)))</f>
        <v>122.99999999999997</v>
      </c>
      <c r="GA43" s="18">
        <f>FZ43*VLOOKUP('Données projet'!$B$17,Paramètres!$A$1:$I$89,3,0)*VLOOKUP('Données projet'!$B$17,Paramètres!$A$1:$I$89,5,0)</f>
        <v>107.4528</v>
      </c>
      <c r="GB43" s="14">
        <f t="shared" si="49"/>
        <v>28.7300285196239</v>
      </c>
      <c r="GC43" s="22">
        <f t="shared" si="25"/>
        <v>237.18509300501162</v>
      </c>
      <c r="GD43" s="62">
        <f t="shared" si="26"/>
        <v>461.32754067674193</v>
      </c>
      <c r="GE43" s="62">
        <f ca="1">AVERAGE(OFFSET($GD$3,0,0,'Données projet'!$E$17+1,1))-AVERAGE(OFFSET($H$3,0,0,'Données projet'!$E$17+1,1))</f>
        <v>248.82613595888964</v>
      </c>
      <c r="GF43" s="62">
        <f t="shared" si="50"/>
        <v>255.8298580882084</v>
      </c>
      <c r="GG43" s="16">
        <f>IF(ISNA(VLOOKUP(A43,'Données projet'!$A$243:$I$263,3,0)),0,VLOOKUP(A43,'Données projet'!$A$243:$I$263,3,0))</f>
        <v>2</v>
      </c>
      <c r="GH43" s="16">
        <f>IF(ISNA(VLOOKUP(A43,'Données projet'!$A$243:$I$263,4,0)),0,VLOOKUP(A43,'Données projet'!$A$243:$I$263,4,0))</f>
        <v>28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135.66666666666666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5.9557692307692314</v>
      </c>
      <c r="N44" s="14">
        <f>IF('Données projet'!$A$36&gt;35,N43+M44-V43,IF(A44&lt;'Données projet'!$A$36,$K$205^A44,IF(A44='Données projet'!$A$36,'Données projet'!$B$36,N43+M44-V43)))</f>
        <v>120.7557692307692</v>
      </c>
      <c r="O44" s="14">
        <f>N44*VLOOKUP('Données projet'!$B$9,Paramètres!$A$1:$I$89,3,0)*VLOOKUP('Données projet'!$B$9,Paramètres!$A$1:$I$89,5,0)</f>
        <v>70.642124999999979</v>
      </c>
      <c r="P44" s="14">
        <f t="shared" si="33"/>
        <v>19.832834995536956</v>
      </c>
      <c r="Q44" s="22">
        <f t="shared" si="53"/>
        <v>157.57722199222684</v>
      </c>
      <c r="R44" s="62">
        <f t="shared" si="0"/>
        <v>382.91997684253948</v>
      </c>
      <c r="S44" s="62">
        <f ca="1">AVERAGE(OFFSET($R$3,0,0,'Données projet'!$E$9+1,1))-AVERAGE(OFFSET($H$3,0,0,'Données projet'!$E$9+1,1))</f>
        <v>221.18884567967481</v>
      </c>
      <c r="T44" s="62">
        <f t="shared" si="34"/>
        <v>189.31596996710888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1.8720833333333331</v>
      </c>
      <c r="AI44" s="14">
        <f>IF('Données projet'!$A$62&gt;35,AI43+AH44-AQ43,IF(A44&lt;'Données projet'!$A$62,$AF$205^A44,IF(A44='Données projet'!$A$62,'Données projet'!$B$62,AI43+AH44-AQ43)))</f>
        <v>57.538750000000007</v>
      </c>
      <c r="AJ44" s="14">
        <f>AI44*VLOOKUP('Données projet'!$B$10,Paramètres!$A$1:$I$89,3,0)*VLOOKUP('Données projet'!$B$10,Paramètres!$A$1:$I$89,5,0)</f>
        <v>66.28464000000001</v>
      </c>
      <c r="AK44" s="14">
        <f t="shared" si="35"/>
        <v>18.747894674998243</v>
      </c>
      <c r="AL44" s="22">
        <f t="shared" si="4"/>
        <v>148.09833122562196</v>
      </c>
      <c r="AM44" s="62">
        <f t="shared" si="5"/>
        <v>373.44108607593461</v>
      </c>
      <c r="AN44" s="62">
        <f ca="1">AVERAGE(OFFSET($AM$3,0,0,'Données projet'!$E$10+1,1))-AVERAGE(OFFSET($H$3,0,0,'Données projet'!$E$10+1,1))</f>
        <v>314.72063458462026</v>
      </c>
      <c r="AO44" s="62">
        <f t="shared" si="36"/>
        <v>216.4380325968244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4.8717948717948731</v>
      </c>
      <c r="BD44" s="13">
        <f>IF('Données projet'!$A$88&gt;35,BD43+BC44-BL43,IF(A44&lt;'Données projet'!$A$88,$BA$205^A44,IF(A44='Données projet'!$A$88,'Données projet'!$B$88,BD43+BC44-BL43)))</f>
        <v>106.79487179487177</v>
      </c>
      <c r="BE44" s="14">
        <f>BD44*VLOOKUP('Données projet'!$B$11,Paramètres!$A$1:$I$89,3,0)*VLOOKUP('Données projet'!$B$11,Paramètres!$A$1:$I$89,5,0)</f>
        <v>114.95399999999997</v>
      </c>
      <c r="BF44" s="14">
        <f t="shared" si="37"/>
        <v>30.495176327676962</v>
      </c>
      <c r="BG44" s="22">
        <f t="shared" si="7"/>
        <v>253.3239821040373</v>
      </c>
      <c r="BH44" s="62">
        <f t="shared" si="8"/>
        <v>478.66673695434997</v>
      </c>
      <c r="BI44" s="62">
        <f ca="1">AVERAGE(OFFSET($BH$3,0,0,'Données projet'!$E$11+1,1))-AVERAGE(OFFSET($H$3,0,0,'Données projet'!$E$11+1,1))</f>
        <v>455.26558725507834</v>
      </c>
      <c r="BJ44" s="62">
        <f t="shared" si="38"/>
        <v>278.60310966788552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3.7399999999999975</v>
      </c>
      <c r="BY44" s="13">
        <f>IF('Données projet'!$A$114&gt;35,BY43+BX44-CG43,IF(A44&lt;'Données projet'!$A$114,$BV$205^A44,IF(A44='Données projet'!$A$114,'Données projet'!$B$114,BY43+BX44-CG43)))</f>
        <v>176.73999999999998</v>
      </c>
      <c r="BZ44" s="14">
        <f>BY44*VLOOKUP('Données projet'!$B$12,Paramètres!$A$1:$I$89,3,0)*VLOOKUP('Données projet'!$B$12,Paramètres!$A$1:$I$89,5,0)</f>
        <v>91.904799999999994</v>
      </c>
      <c r="CA44" s="14">
        <f t="shared" si="39"/>
        <v>25.024055428460866</v>
      </c>
      <c r="CB44" s="22">
        <f t="shared" si="10"/>
        <v>203.651089871236</v>
      </c>
      <c r="CC44" s="62">
        <f t="shared" si="11"/>
        <v>428.99384472154861</v>
      </c>
      <c r="CD44" s="62">
        <f ca="1">AVERAGE(OFFSET($CC$3,0,0,'Données projet'!$E$12+1,1))-AVERAGE(OFFSET($H$3,0,0,'Données projet'!$E$12+1,1))</f>
        <v>300.72820267660154</v>
      </c>
      <c r="CE44" s="62">
        <f t="shared" si="40"/>
        <v>228.35388778608589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4.8717948717948731</v>
      </c>
      <c r="CT44" s="13">
        <f>IF('Données projet'!$A$140&gt;35,CT43+CS44-DB43,IF(A44&lt;'Données projet'!$A$140,$CQ$205^A44,IF(A44='Données projet'!$A$140,'Données projet'!$B$140,CT43+CS44-DB43)))</f>
        <v>106.79487179487177</v>
      </c>
      <c r="CU44" s="18">
        <f>CT44*VLOOKUP('Données projet'!$B$13,Paramètres!$A$1:$I$89,3,0)*VLOOKUP('Données projet'!$B$13,Paramètres!$A$1:$I$89,5,0)</f>
        <v>91.629999999999981</v>
      </c>
      <c r="CV44" s="14">
        <f t="shared" si="41"/>
        <v>24.957930138625617</v>
      </c>
      <c r="CW44" s="22">
        <f t="shared" si="13"/>
        <v>203.05731165810622</v>
      </c>
      <c r="CX44" s="62">
        <f t="shared" si="14"/>
        <v>428.40006650841883</v>
      </c>
      <c r="CY44" s="62">
        <f ca="1">AVERAGE(OFFSET($CX$3,0,0,'Données projet'!$E$13+1,1))-AVERAGE(OFFSET($H$3,0,0,'Données projet'!$E$13+1,1))</f>
        <v>384.3367849108829</v>
      </c>
      <c r="CZ44" s="62">
        <f t="shared" si="42"/>
        <v>238.2697272367603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10.869230769230773</v>
      </c>
      <c r="DO44" s="13">
        <f>IF('Données projet'!$A$166&gt;35,DO43+DN44-DW43,IF(A44&lt;'Données projet'!$A$166,$DL$205^A44,IF(A44='Données projet'!$A$166,'Données projet'!$B$166,DO43+DN44-DW43)))</f>
        <v>208.66923076923075</v>
      </c>
      <c r="DP44" s="18">
        <f>DO44*VLOOKUP('Données projet'!$B$14,Paramètres!$A$1:$I$89,3,0)*VLOOKUP('Données projet'!$B$14,Paramètres!$A$1:$I$89,5,0)</f>
        <v>97.657199999999989</v>
      </c>
      <c r="DQ44" s="14">
        <f t="shared" si="43"/>
        <v>26.403090007431878</v>
      </c>
      <c r="DR44" s="22">
        <f t="shared" si="16"/>
        <v>216.07167176294379</v>
      </c>
      <c r="DS44" s="62">
        <f t="shared" si="17"/>
        <v>441.41442661325641</v>
      </c>
      <c r="DT44" s="62">
        <f ca="1">AVERAGE(OFFSET($DS$3,0,0,'Données projet'!$E$14+1,1))-AVERAGE(OFFSET($H$3,0,0,'Données projet'!$E$14+1,1))</f>
        <v>304.1100958939968</v>
      </c>
      <c r="DU44" s="62">
        <f t="shared" si="44"/>
        <v>184.1255966824568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4.8717948717948731</v>
      </c>
      <c r="EJ44" s="13">
        <f>IF('Données projet'!$A$192&gt;35,EJ43+EI44-ER43,IF(A44&lt;'Données projet'!$A$192,$EG$205^A44,IF(A44='Données projet'!$A$192,'Données projet'!$B$192,EJ43+EI44-ER43)))</f>
        <v>106.79487179487177</v>
      </c>
      <c r="EK44" s="18">
        <f>EJ44*VLOOKUP('Données projet'!$B$15,Paramètres!$A$1:$I$89,3,0)*VLOOKUP('Données projet'!$B$15,Paramètres!$A$1:$I$89,5,0)</f>
        <v>108.28999999999999</v>
      </c>
      <c r="EL44" s="14">
        <f t="shared" si="45"/>
        <v>28.927728596543687</v>
      </c>
      <c r="EM44" s="22">
        <f t="shared" si="19"/>
        <v>238.98754397231357</v>
      </c>
      <c r="EN44" s="62">
        <f t="shared" si="20"/>
        <v>464.33029882262622</v>
      </c>
      <c r="EO44" s="62">
        <f ca="1">AVERAGE(OFFSET($EN$3,0,0,'Données projet'!$E$15+1,1))-AVERAGE(OFFSET($H$3,0,0,'Données projet'!$E$15+1,1))</f>
        <v>435.03433721979218</v>
      </c>
      <c r="EP44" s="62">
        <f t="shared" si="46"/>
        <v>267.10015759286387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4.8717948717948731</v>
      </c>
      <c r="FE44" s="13">
        <f>IF('Données projet'!$A$218&gt;35,FE43+FD44-FM43,IF(A44&lt;'Données projet'!$A$218,$FB$205^A44,IF(A44='Données projet'!$A$218,'Données projet'!$B$218,FE43+FD44-FM43)))</f>
        <v>106.79487179487177</v>
      </c>
      <c r="FF44" s="18">
        <f>FE44*VLOOKUP('Données projet'!$B$16,Paramètres!$A$1:$I$89,3,0)*VLOOKUP('Données projet'!$B$16,Paramètres!$A$1:$I$89,5,0)</f>
        <v>111.62199999999999</v>
      </c>
      <c r="FG44" s="14">
        <f t="shared" si="47"/>
        <v>29.712814248796512</v>
      </c>
      <c r="FH44" s="22">
        <f t="shared" si="22"/>
        <v>246.15813481665387</v>
      </c>
      <c r="FI44" s="62">
        <f t="shared" si="23"/>
        <v>471.50088966696649</v>
      </c>
      <c r="FJ44" s="62">
        <f ca="1">AVERAGE(OFFSET($FI$3,0,0,'Données projet'!$E$16+1,1))-AVERAGE(OFFSET($H$3,0,0,'Données projet'!$E$16+1,1))</f>
        <v>445.15313998584293</v>
      </c>
      <c r="FK44" s="62">
        <f t="shared" si="48"/>
        <v>272.85357736694834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5</v>
      </c>
      <c r="FZ44" s="13">
        <f>IF('Données projet'!$A$244&gt;35,FZ43+FY44-GH43,IF(A44&lt;'Données projet'!$A$244,$FW$205^A44,IF(A44='Données projet'!$A$244,'Données projet'!$B$244,FZ43+FY44-GH43)))</f>
        <v>99.999999999999972</v>
      </c>
      <c r="GA44" s="18">
        <f>FZ44*VLOOKUP('Données projet'!$B$17,Paramètres!$A$1:$I$89,3,0)*VLOOKUP('Données projet'!$B$17,Paramètres!$A$1:$I$89,5,0)</f>
        <v>87.359999999999985</v>
      </c>
      <c r="GB44" s="14">
        <f t="shared" si="49"/>
        <v>23.927421530185931</v>
      </c>
      <c r="GC44" s="22">
        <f t="shared" si="25"/>
        <v>193.82559249840713</v>
      </c>
      <c r="GD44" s="62">
        <f t="shared" si="26"/>
        <v>419.16834734871975</v>
      </c>
      <c r="GE44" s="62">
        <f ca="1">AVERAGE(OFFSET($GD$3,0,0,'Données projet'!$E$17+1,1))-AVERAGE(OFFSET($H$3,0,0,'Données projet'!$E$17+1,1))</f>
        <v>248.82613595888964</v>
      </c>
      <c r="GF44" s="62">
        <f t="shared" si="50"/>
        <v>255.8298580882084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135.66666666666666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5.9557692307692314</v>
      </c>
      <c r="N45" s="14">
        <f>IF('Données projet'!$A$36&gt;35,N44+M45-V44,IF(A45&lt;'Données projet'!$A$36,$K$205^A45,IF(A45='Données projet'!$A$36,'Données projet'!$B$36,N44+M45-V44)))</f>
        <v>126.71153846153844</v>
      </c>
      <c r="O45" s="14">
        <f>N45*VLOOKUP('Données projet'!$B$9,Paramètres!$A$1:$I$89,3,0)*VLOOKUP('Données projet'!$B$9,Paramètres!$A$1:$I$89,5,0)</f>
        <v>74.126249999999985</v>
      </c>
      <c r="P45" s="14">
        <f t="shared" si="33"/>
        <v>20.694710270075731</v>
      </c>
      <c r="Q45" s="22">
        <f t="shared" si="53"/>
        <v>165.1465058037152</v>
      </c>
      <c r="R45" s="62">
        <f t="shared" si="0"/>
        <v>391.66874518654663</v>
      </c>
      <c r="S45" s="62">
        <f ca="1">AVERAGE(OFFSET($R$3,0,0,'Données projet'!$E$9+1,1))-AVERAGE(OFFSET($H$3,0,0,'Données projet'!$E$9+1,1))</f>
        <v>221.18884567967481</v>
      </c>
      <c r="T45" s="62">
        <f t="shared" si="34"/>
        <v>189.31596996710888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1.8720833333333331</v>
      </c>
      <c r="AI45" s="14">
        <f>IF('Données projet'!$A$62&gt;35,AI44+AH45-AQ44,IF(A45&lt;'Données projet'!$A$62,$AF$205^A45,IF(A45='Données projet'!$A$62,'Données projet'!$B$62,AI44+AH45-AQ44)))</f>
        <v>59.410833333333343</v>
      </c>
      <c r="AJ45" s="14">
        <f>AI45*VLOOKUP('Données projet'!$B$10,Paramètres!$A$1:$I$89,3,0)*VLOOKUP('Données projet'!$B$10,Paramètres!$A$1:$I$89,5,0)</f>
        <v>68.441280000000006</v>
      </c>
      <c r="AK45" s="14">
        <f t="shared" si="35"/>
        <v>19.285866604126806</v>
      </c>
      <c r="AL45" s="22">
        <f t="shared" si="4"/>
        <v>152.79144700218751</v>
      </c>
      <c r="AM45" s="62">
        <f t="shared" si="5"/>
        <v>379.31368638501897</v>
      </c>
      <c r="AN45" s="62">
        <f ca="1">AVERAGE(OFFSET($AM$3,0,0,'Données projet'!$E$10+1,1))-AVERAGE(OFFSET($H$3,0,0,'Données projet'!$E$10+1,1))</f>
        <v>314.72063458462026</v>
      </c>
      <c r="AO45" s="62">
        <f t="shared" si="36"/>
        <v>216.4380325968244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4.8717948717948731</v>
      </c>
      <c r="BD45" s="13">
        <f>IF('Données projet'!$A$88&gt;35,BD44+BC45-BL44,IF(A45&lt;'Données projet'!$A$88,$BA$205^A45,IF(A45='Données projet'!$A$88,'Données projet'!$B$88,BD44+BC45-BL44)))</f>
        <v>111.66666666666664</v>
      </c>
      <c r="BE45" s="14">
        <f>BD45*VLOOKUP('Données projet'!$B$11,Paramètres!$A$1:$I$89,3,0)*VLOOKUP('Données projet'!$B$11,Paramètres!$A$1:$I$89,5,0)</f>
        <v>120.19799999999998</v>
      </c>
      <c r="BF45" s="14">
        <f t="shared" si="37"/>
        <v>31.721175110625282</v>
      </c>
      <c r="BG45" s="22">
        <f t="shared" si="7"/>
        <v>264.59256331767233</v>
      </c>
      <c r="BH45" s="62">
        <f t="shared" si="8"/>
        <v>491.11480270050379</v>
      </c>
      <c r="BI45" s="62">
        <f ca="1">AVERAGE(OFFSET($BH$3,0,0,'Données projet'!$E$11+1,1))-AVERAGE(OFFSET($H$3,0,0,'Données projet'!$E$11+1,1))</f>
        <v>455.26558725507834</v>
      </c>
      <c r="BJ45" s="62">
        <f t="shared" si="38"/>
        <v>278.60310966788552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3.7399999999999975</v>
      </c>
      <c r="BY45" s="13">
        <f>IF('Données projet'!$A$114&gt;35,BY44+BX45-CG44,IF(A45&lt;'Données projet'!$A$114,$BV$205^A45,IF(A45='Données projet'!$A$114,'Données projet'!$B$114,BY44+BX45-CG44)))</f>
        <v>180.48</v>
      </c>
      <c r="BZ45" s="14">
        <f>BY45*VLOOKUP('Données projet'!$B$12,Paramètres!$A$1:$I$89,3,0)*VLOOKUP('Données projet'!$B$12,Paramètres!$A$1:$I$89,5,0)</f>
        <v>93.849599999999995</v>
      </c>
      <c r="CA45" s="14">
        <f t="shared" si="39"/>
        <v>25.491380550546467</v>
      </c>
      <c r="CB45" s="22">
        <f t="shared" si="10"/>
        <v>207.85220779220174</v>
      </c>
      <c r="CC45" s="62">
        <f t="shared" si="11"/>
        <v>434.3744471750332</v>
      </c>
      <c r="CD45" s="62">
        <f ca="1">AVERAGE(OFFSET($CC$3,0,0,'Données projet'!$E$12+1,1))-AVERAGE(OFFSET($H$3,0,0,'Données projet'!$E$12+1,1))</f>
        <v>300.72820267660154</v>
      </c>
      <c r="CE45" s="62">
        <f t="shared" si="40"/>
        <v>228.35388778608589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4.8717948717948731</v>
      </c>
      <c r="CT45" s="13">
        <f>IF('Données projet'!$A$140&gt;35,CT44+CS45-DB44,IF(A45&lt;'Données projet'!$A$140,$CQ$205^A45,IF(A45='Données projet'!$A$140,'Données projet'!$B$140,CT44+CS45-DB44)))</f>
        <v>111.66666666666664</v>
      </c>
      <c r="CU45" s="18">
        <f>CT45*VLOOKUP('Données projet'!$B$13,Paramètres!$A$1:$I$89,3,0)*VLOOKUP('Données projet'!$B$13,Paramètres!$A$1:$I$89,5,0)</f>
        <v>95.809999999999988</v>
      </c>
      <c r="CV45" s="14">
        <f t="shared" si="41"/>
        <v>25.961314793499493</v>
      </c>
      <c r="CW45" s="22">
        <f t="shared" si="13"/>
        <v>212.0850399320116</v>
      </c>
      <c r="CX45" s="62">
        <f t="shared" si="14"/>
        <v>438.60727931484303</v>
      </c>
      <c r="CY45" s="62">
        <f ca="1">AVERAGE(OFFSET($CX$3,0,0,'Données projet'!$E$13+1,1))-AVERAGE(OFFSET($H$3,0,0,'Données projet'!$E$13+1,1))</f>
        <v>384.3367849108829</v>
      </c>
      <c r="CZ45" s="62">
        <f t="shared" si="42"/>
        <v>238.2697272367603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10.869230769230773</v>
      </c>
      <c r="DO45" s="13">
        <f>IF('Données projet'!$A$166&gt;35,DO44+DN45-DW44,IF(A45&lt;'Données projet'!$A$166,$DL$205^A45,IF(A45='Données projet'!$A$166,'Données projet'!$B$166,DO44+DN45-DW44)))</f>
        <v>219.53846153846152</v>
      </c>
      <c r="DP45" s="18">
        <f>DO45*VLOOKUP('Données projet'!$B$14,Paramètres!$A$1:$I$89,3,0)*VLOOKUP('Données projet'!$B$14,Paramètres!$A$1:$I$89,5,0)</f>
        <v>102.74399999999999</v>
      </c>
      <c r="DQ45" s="14">
        <f t="shared" si="43"/>
        <v>27.614684221611544</v>
      </c>
      <c r="DR45" s="22">
        <f t="shared" si="16"/>
        <v>227.04137501930674</v>
      </c>
      <c r="DS45" s="62">
        <f t="shared" si="17"/>
        <v>453.56361440213817</v>
      </c>
      <c r="DT45" s="62">
        <f ca="1">AVERAGE(OFFSET($DS$3,0,0,'Données projet'!$E$14+1,1))-AVERAGE(OFFSET($H$3,0,0,'Données projet'!$E$14+1,1))</f>
        <v>304.1100958939968</v>
      </c>
      <c r="DU45" s="62">
        <f t="shared" si="44"/>
        <v>184.1255966824568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4.8717948717948731</v>
      </c>
      <c r="EJ45" s="13">
        <f>IF('Données projet'!$A$192&gt;35,EJ44+EI45-ER44,IF(A45&lt;'Données projet'!$A$192,$EG$205^A45,IF(A45='Données projet'!$A$192,'Données projet'!$B$192,EJ44+EI45-ER44)))</f>
        <v>111.66666666666664</v>
      </c>
      <c r="EK45" s="18">
        <f>EJ45*VLOOKUP('Données projet'!$B$15,Paramètres!$A$1:$I$89,3,0)*VLOOKUP('Données projet'!$B$15,Paramètres!$A$1:$I$89,5,0)</f>
        <v>113.22999999999998</v>
      </c>
      <c r="EL45" s="14">
        <f t="shared" si="45"/>
        <v>30.090711216212455</v>
      </c>
      <c r="EM45" s="22">
        <f t="shared" si="19"/>
        <v>249.61690536823664</v>
      </c>
      <c r="EN45" s="62">
        <f t="shared" si="20"/>
        <v>476.1391447510681</v>
      </c>
      <c r="EO45" s="62">
        <f ca="1">AVERAGE(OFFSET($EN$3,0,0,'Données projet'!$E$15+1,1))-AVERAGE(OFFSET($H$3,0,0,'Données projet'!$E$15+1,1))</f>
        <v>435.03433721979218</v>
      </c>
      <c r="EP45" s="62">
        <f t="shared" si="46"/>
        <v>267.10015759286387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4.8717948717948731</v>
      </c>
      <c r="FE45" s="13">
        <f>IF('Données projet'!$A$218&gt;35,FE44+FD45-FM44,IF(A45&lt;'Données projet'!$A$218,$FB$205^A45,IF(A45='Données projet'!$A$218,'Données projet'!$B$218,FE44+FD45-FM44)))</f>
        <v>111.66666666666664</v>
      </c>
      <c r="FF45" s="18">
        <f>FE45*VLOOKUP('Données projet'!$B$16,Paramètres!$A$1:$I$89,3,0)*VLOOKUP('Données projet'!$B$16,Paramètres!$A$1:$I$89,5,0)</f>
        <v>116.71399999999997</v>
      </c>
      <c r="FG45" s="14">
        <f t="shared" si="47"/>
        <v>30.907359698069175</v>
      </c>
      <c r="FH45" s="22">
        <f t="shared" si="22"/>
        <v>257.10720147413707</v>
      </c>
      <c r="FI45" s="62">
        <f t="shared" si="23"/>
        <v>483.62944085696847</v>
      </c>
      <c r="FJ45" s="62">
        <f ca="1">AVERAGE(OFFSET($FI$3,0,0,'Données projet'!$E$16+1,1))-AVERAGE(OFFSET($H$3,0,0,'Données projet'!$E$16+1,1))</f>
        <v>445.15313998584293</v>
      </c>
      <c r="FK45" s="62">
        <f t="shared" si="48"/>
        <v>272.85357736694834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5</v>
      </c>
      <c r="FZ45" s="13">
        <f>IF('Données projet'!$A$244&gt;35,FZ44+FY45-GH44,IF(A45&lt;'Données projet'!$A$244,$FW$205^A45,IF(A45='Données projet'!$A$244,'Données projet'!$B$244,FZ44+FY45-GH44)))</f>
        <v>104.99999999999997</v>
      </c>
      <c r="GA45" s="18">
        <f>FZ45*VLOOKUP('Données projet'!$B$17,Paramètres!$A$1:$I$89,3,0)*VLOOKUP('Données projet'!$B$17,Paramètres!$A$1:$I$89,5,0)</f>
        <v>91.727999999999994</v>
      </c>
      <c r="GB45" s="14">
        <f t="shared" si="49"/>
        <v>24.981514582386563</v>
      </c>
      <c r="GC45" s="22">
        <f t="shared" si="25"/>
        <v>203.26907123098991</v>
      </c>
      <c r="GD45" s="62">
        <f t="shared" si="26"/>
        <v>429.79131061382134</v>
      </c>
      <c r="GE45" s="62">
        <f ca="1">AVERAGE(OFFSET($GD$3,0,0,'Données projet'!$E$17+1,1))-AVERAGE(OFFSET($H$3,0,0,'Données projet'!$E$17+1,1))</f>
        <v>248.82613595888964</v>
      </c>
      <c r="GF45" s="62">
        <f t="shared" si="50"/>
        <v>255.8298580882084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135.66666666666666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5.9557692307692314</v>
      </c>
      <c r="N46" s="14">
        <f>IF('Données projet'!$A$36&gt;35,N45+M46-V45,IF(A46&lt;'Données projet'!$A$36,$K$205^A46,IF(A46='Données projet'!$A$36,'Données projet'!$B$36,N45+M46-V45)))</f>
        <v>132.66730769230767</v>
      </c>
      <c r="O46" s="14">
        <f>N46*VLOOKUP('Données projet'!$B$9,Paramètres!$A$1:$I$89,3,0)*VLOOKUP('Données projet'!$B$9,Paramètres!$A$1:$I$89,5,0)</f>
        <v>77.610374999999991</v>
      </c>
      <c r="P46" s="14">
        <f t="shared" si="33"/>
        <v>21.551881185301518</v>
      </c>
      <c r="Q46" s="22">
        <f t="shared" si="53"/>
        <v>172.70759618940016</v>
      </c>
      <c r="R46" s="62">
        <f t="shared" si="0"/>
        <v>400.38885868504354</v>
      </c>
      <c r="S46" s="62">
        <f ca="1">AVERAGE(OFFSET($R$3,0,0,'Données projet'!$E$9+1,1))-AVERAGE(OFFSET($H$3,0,0,'Données projet'!$E$9+1,1))</f>
        <v>221.18884567967481</v>
      </c>
      <c r="T46" s="62">
        <f t="shared" si="34"/>
        <v>189.31596996710888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1.8720833333333331</v>
      </c>
      <c r="AI46" s="14">
        <f>IF('Données projet'!$A$62&gt;35,AI45+AH46-AQ45,IF(A46&lt;'Données projet'!$A$62,$AF$205^A46,IF(A46='Données projet'!$A$62,'Données projet'!$B$62,AI45+AH46-AQ45)))</f>
        <v>61.282916666666679</v>
      </c>
      <c r="AJ46" s="14">
        <f>AI46*VLOOKUP('Données projet'!$B$10,Paramètres!$A$1:$I$89,3,0)*VLOOKUP('Données projet'!$B$10,Paramètres!$A$1:$I$89,5,0)</f>
        <v>70.597920000000002</v>
      </c>
      <c r="AK46" s="14">
        <f t="shared" si="35"/>
        <v>19.821868598485771</v>
      </c>
      <c r="AL46" s="22">
        <f t="shared" si="4"/>
        <v>157.48113180902939</v>
      </c>
      <c r="AM46" s="62">
        <f t="shared" si="5"/>
        <v>385.16239430467277</v>
      </c>
      <c r="AN46" s="62">
        <f ca="1">AVERAGE(OFFSET($AM$3,0,0,'Données projet'!$E$10+1,1))-AVERAGE(OFFSET($H$3,0,0,'Données projet'!$E$10+1,1))</f>
        <v>314.72063458462026</v>
      </c>
      <c r="AO46" s="62">
        <f t="shared" si="36"/>
        <v>216.4380325968244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4.8717948717948731</v>
      </c>
      <c r="BD46" s="13">
        <f>IF('Données projet'!$A$88&gt;35,BD45+BC46-BL45,IF(A46&lt;'Données projet'!$A$88,$BA$205^A46,IF(A46='Données projet'!$A$88,'Données projet'!$B$88,BD45+BC46-BL45)))</f>
        <v>116.53846153846152</v>
      </c>
      <c r="BE46" s="14">
        <f>BD46*VLOOKUP('Données projet'!$B$11,Paramètres!$A$1:$I$89,3,0)*VLOOKUP('Données projet'!$B$11,Paramètres!$A$1:$I$89,5,0)</f>
        <v>125.44199999999998</v>
      </c>
      <c r="BF46" s="14">
        <f t="shared" si="37"/>
        <v>32.940961603852372</v>
      </c>
      <c r="BG46" s="22">
        <f t="shared" si="7"/>
        <v>275.85032479337616</v>
      </c>
      <c r="BH46" s="62">
        <f t="shared" si="8"/>
        <v>503.53158728901951</v>
      </c>
      <c r="BI46" s="62">
        <f ca="1">AVERAGE(OFFSET($BH$3,0,0,'Données projet'!$E$11+1,1))-AVERAGE(OFFSET($H$3,0,0,'Données projet'!$E$11+1,1))</f>
        <v>455.26558725507834</v>
      </c>
      <c r="BJ46" s="62">
        <f t="shared" si="38"/>
        <v>278.60310966788552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3.7399999999999975</v>
      </c>
      <c r="BY46" s="13">
        <f>IF('Données projet'!$A$114&gt;35,BY45+BX46-CG45,IF(A46&lt;'Données projet'!$A$114,$BV$205^A46,IF(A46='Données projet'!$A$114,'Données projet'!$B$114,BY45+BX46-CG45)))</f>
        <v>184.22</v>
      </c>
      <c r="BZ46" s="14">
        <f>BY46*VLOOKUP('Données projet'!$B$12,Paramètres!$A$1:$I$89,3,0)*VLOOKUP('Données projet'!$B$12,Paramètres!$A$1:$I$89,5,0)</f>
        <v>95.79440000000001</v>
      </c>
      <c r="CA46" s="14">
        <f t="shared" si="39"/>
        <v>25.957579710436612</v>
      </c>
      <c r="CB46" s="22">
        <f t="shared" si="10"/>
        <v>212.05136466234376</v>
      </c>
      <c r="CC46" s="62">
        <f t="shared" si="11"/>
        <v>439.73262715798717</v>
      </c>
      <c r="CD46" s="62">
        <f ca="1">AVERAGE(OFFSET($CC$3,0,0,'Données projet'!$E$12+1,1))-AVERAGE(OFFSET($H$3,0,0,'Données projet'!$E$12+1,1))</f>
        <v>300.72820267660154</v>
      </c>
      <c r="CE46" s="62">
        <f t="shared" si="40"/>
        <v>228.35388778608589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4.8717948717948731</v>
      </c>
      <c r="CT46" s="13">
        <f>IF('Données projet'!$A$140&gt;35,CT45+CS46-DB45,IF(A46&lt;'Données projet'!$A$140,$CQ$205^A46,IF(A46='Données projet'!$A$140,'Données projet'!$B$140,CT45+CS46-DB45)))</f>
        <v>116.53846153846152</v>
      </c>
      <c r="CU46" s="18">
        <f>CT46*VLOOKUP('Données projet'!$B$13,Paramètres!$A$1:$I$89,3,0)*VLOOKUP('Données projet'!$B$13,Paramètres!$A$1:$I$89,5,0)</f>
        <v>99.99</v>
      </c>
      <c r="CV46" s="14">
        <f t="shared" si="41"/>
        <v>26.959615172381739</v>
      </c>
      <c r="CW46" s="22">
        <f t="shared" si="13"/>
        <v>221.10391309189819</v>
      </c>
      <c r="CX46" s="62">
        <f t="shared" si="14"/>
        <v>448.78517558754157</v>
      </c>
      <c r="CY46" s="62">
        <f ca="1">AVERAGE(OFFSET($CX$3,0,0,'Données projet'!$E$13+1,1))-AVERAGE(OFFSET($H$3,0,0,'Données projet'!$E$13+1,1))</f>
        <v>384.3367849108829</v>
      </c>
      <c r="CZ46" s="62">
        <f t="shared" si="42"/>
        <v>238.2697272367603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10.869230769230773</v>
      </c>
      <c r="DO46" s="13">
        <f>IF('Données projet'!$A$166&gt;35,DO45+DN46-DW45,IF(A46&lt;'Données projet'!$A$166,$DL$205^A46,IF(A46='Données projet'!$A$166,'Données projet'!$B$166,DO45+DN46-DW45)))</f>
        <v>230.40769230769229</v>
      </c>
      <c r="DP46" s="18">
        <f>DO46*VLOOKUP('Données projet'!$B$14,Paramètres!$A$1:$I$89,3,0)*VLOOKUP('Données projet'!$B$14,Paramètres!$A$1:$I$89,5,0)</f>
        <v>107.8308</v>
      </c>
      <c r="DQ46" s="14">
        <f t="shared" si="43"/>
        <v>28.819313214368158</v>
      </c>
      <c r="DR46" s="22">
        <f t="shared" si="16"/>
        <v>237.99894718169116</v>
      </c>
      <c r="DS46" s="62">
        <f t="shared" si="17"/>
        <v>465.68020967733457</v>
      </c>
      <c r="DT46" s="62">
        <f ca="1">AVERAGE(OFFSET($DS$3,0,0,'Données projet'!$E$14+1,1))-AVERAGE(OFFSET($H$3,0,0,'Données projet'!$E$14+1,1))</f>
        <v>304.1100958939968</v>
      </c>
      <c r="DU46" s="62">
        <f t="shared" si="44"/>
        <v>184.1255966824568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4.8717948717948731</v>
      </c>
      <c r="EJ46" s="13">
        <f>IF('Données projet'!$A$192&gt;35,EJ45+EI46-ER45,IF(A46&lt;'Données projet'!$A$192,$EG$205^A46,IF(A46='Données projet'!$A$192,'Données projet'!$B$192,EJ45+EI46-ER45)))</f>
        <v>116.53846153846152</v>
      </c>
      <c r="EK46" s="18">
        <f>EJ46*VLOOKUP('Données projet'!$B$15,Paramètres!$A$1:$I$89,3,0)*VLOOKUP('Données projet'!$B$15,Paramètres!$A$1:$I$89,5,0)</f>
        <v>118.16999999999999</v>
      </c>
      <c r="EL46" s="14">
        <f t="shared" si="45"/>
        <v>31.247800856969125</v>
      </c>
      <c r="EM46" s="22">
        <f t="shared" si="19"/>
        <v>260.23600315922118</v>
      </c>
      <c r="EN46" s="62">
        <f t="shared" si="20"/>
        <v>487.91726565486454</v>
      </c>
      <c r="EO46" s="62">
        <f ca="1">AVERAGE(OFFSET($EN$3,0,0,'Données projet'!$E$15+1,1))-AVERAGE(OFFSET($H$3,0,0,'Données projet'!$E$15+1,1))</f>
        <v>435.03433721979218</v>
      </c>
      <c r="EP46" s="62">
        <f t="shared" si="46"/>
        <v>267.10015759286387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4.8717948717948731</v>
      </c>
      <c r="FE46" s="13">
        <f>IF('Données projet'!$A$218&gt;35,FE45+FD46-FM45,IF(A46&lt;'Données projet'!$A$218,$FB$205^A46,IF(A46='Données projet'!$A$218,'Données projet'!$B$218,FE45+FD46-FM45)))</f>
        <v>116.53846153846152</v>
      </c>
      <c r="FF46" s="18">
        <f>FE46*VLOOKUP('Données projet'!$B$16,Paramètres!$A$1:$I$89,3,0)*VLOOKUP('Données projet'!$B$16,Paramètres!$A$1:$I$89,5,0)</f>
        <v>121.80599999999998</v>
      </c>
      <c r="FG46" s="14">
        <f t="shared" si="47"/>
        <v>32.09585223561038</v>
      </c>
      <c r="FH46" s="22">
        <f t="shared" si="22"/>
        <v>268.04572597702139</v>
      </c>
      <c r="FI46" s="62">
        <f t="shared" si="23"/>
        <v>495.72698847266474</v>
      </c>
      <c r="FJ46" s="62">
        <f ca="1">AVERAGE(OFFSET($FI$3,0,0,'Données projet'!$E$16+1,1))-AVERAGE(OFFSET($H$3,0,0,'Données projet'!$E$16+1,1))</f>
        <v>445.15313998584293</v>
      </c>
      <c r="FK46" s="62">
        <f t="shared" si="48"/>
        <v>272.85357736694834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5</v>
      </c>
      <c r="FZ46" s="13">
        <f>IF('Données projet'!$A$244&gt;35,FZ45+FY46-GH45,IF(A46&lt;'Données projet'!$A$244,$FW$205^A46,IF(A46='Données projet'!$A$244,'Données projet'!$B$244,FZ45+FY46-GH45)))</f>
        <v>109.99999999999997</v>
      </c>
      <c r="GA46" s="18">
        <f>FZ46*VLOOKUP('Données projet'!$B$17,Paramètres!$A$1:$I$89,3,0)*VLOOKUP('Données projet'!$B$17,Paramètres!$A$1:$I$89,5,0)</f>
        <v>96.095999999999989</v>
      </c>
      <c r="GB46" s="14">
        <f t="shared" si="49"/>
        <v>26.029778784173352</v>
      </c>
      <c r="GC46" s="22">
        <f t="shared" si="25"/>
        <v>212.70239804910193</v>
      </c>
      <c r="GD46" s="62">
        <f t="shared" si="26"/>
        <v>440.38366054474534</v>
      </c>
      <c r="GE46" s="62">
        <f ca="1">AVERAGE(OFFSET($GD$3,0,0,'Données projet'!$E$17+1,1))-AVERAGE(OFFSET($H$3,0,0,'Données projet'!$E$17+1,1))</f>
        <v>248.82613595888964</v>
      </c>
      <c r="GF46" s="62">
        <f t="shared" si="50"/>
        <v>255.8298580882084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135.66666666666666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>
        <f>VLOOKUP(A47,'Données projet'!$A$35:$I$55,2,0)</f>
        <v>138.62307692307692</v>
      </c>
      <c r="L47" s="13">
        <f>VLOOKUP(A47,'Données projet'!$A$35:$I$55,9,0)</f>
        <v>5.9557692307692314</v>
      </c>
      <c r="M47" s="13">
        <f t="array" ref="M47">INDEX(L:L,MIN(IF(ISNUMBER(L47:L243),ROW(L47:L243),"")))</f>
        <v>5.9557692307692314</v>
      </c>
      <c r="N47" s="14">
        <f>IF('Données projet'!$A$36&gt;35,N46+M47-V46,IF(A47&lt;'Données projet'!$A$36,$K$205^A47,IF(A47='Données projet'!$A$36,'Données projet'!$B$36,N46+M47-V46)))</f>
        <v>138.62307692307689</v>
      </c>
      <c r="O47" s="14">
        <f>N47*VLOOKUP('Données projet'!$B$9,Paramètres!$A$1:$I$89,3,0)*VLOOKUP('Données projet'!$B$9,Paramètres!$A$1:$I$89,5,0)</f>
        <v>81.094499999999996</v>
      </c>
      <c r="P47" s="14">
        <f t="shared" si="33"/>
        <v>22.404583060844672</v>
      </c>
      <c r="Q47" s="22">
        <f t="shared" si="53"/>
        <v>180.2609029976378</v>
      </c>
      <c r="R47" s="62">
        <f t="shared" si="0"/>
        <v>409.08108214627339</v>
      </c>
      <c r="S47" s="62">
        <f ca="1">AVERAGE(OFFSET($R$3,0,0,'Données projet'!$E$9+1,1))-AVERAGE(OFFSET($H$3,0,0,'Données projet'!$E$9+1,1))</f>
        <v>221.18884567967481</v>
      </c>
      <c r="T47" s="62">
        <f t="shared" si="34"/>
        <v>189.31596996710888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1.8720833333333331</v>
      </c>
      <c r="AI47" s="14">
        <f>IF('Données projet'!$A$62&gt;35,AI46+AH47-AQ46,IF(A47&lt;'Données projet'!$A$62,$AF$205^A47,IF(A47='Données projet'!$A$62,'Données projet'!$B$62,AI46+AH47-AQ46)))</f>
        <v>63.155000000000015</v>
      </c>
      <c r="AJ47" s="14">
        <f>AI47*VLOOKUP('Données projet'!$B$10,Paramètres!$A$1:$I$89,3,0)*VLOOKUP('Données projet'!$B$10,Paramètres!$A$1:$I$89,5,0)</f>
        <v>72.754560000000012</v>
      </c>
      <c r="AK47" s="14">
        <f t="shared" si="35"/>
        <v>20.355967742631517</v>
      </c>
      <c r="AL47" s="22">
        <f t="shared" si="4"/>
        <v>162.16750248508325</v>
      </c>
      <c r="AM47" s="62">
        <f t="shared" si="5"/>
        <v>390.98768163371881</v>
      </c>
      <c r="AN47" s="62">
        <f ca="1">AVERAGE(OFFSET($AM$3,0,0,'Données projet'!$E$10+1,1))-AVERAGE(OFFSET($H$3,0,0,'Données projet'!$E$10+1,1))</f>
        <v>314.72063458462026</v>
      </c>
      <c r="AO47" s="62">
        <f t="shared" si="36"/>
        <v>216.4380325968244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4.8717948717948731</v>
      </c>
      <c r="BD47" s="13">
        <f>IF('Données projet'!$A$88&gt;35,BD46+BC47-BL46,IF(A47&lt;'Données projet'!$A$88,$BA$205^A47,IF(A47='Données projet'!$A$88,'Données projet'!$B$88,BD46+BC47-BL46)))</f>
        <v>121.41025641025639</v>
      </c>
      <c r="BE47" s="14">
        <f>BD47*VLOOKUP('Données projet'!$B$11,Paramètres!$A$1:$I$89,3,0)*VLOOKUP('Données projet'!$B$11,Paramètres!$A$1:$I$89,5,0)</f>
        <v>130.68599999999998</v>
      </c>
      <c r="BF47" s="14">
        <f t="shared" si="37"/>
        <v>34.154825203753937</v>
      </c>
      <c r="BG47" s="22">
        <f t="shared" si="7"/>
        <v>287.09777056320473</v>
      </c>
      <c r="BH47" s="62">
        <f t="shared" si="8"/>
        <v>515.91794971184027</v>
      </c>
      <c r="BI47" s="62">
        <f ca="1">AVERAGE(OFFSET($BH$3,0,0,'Données projet'!$E$11+1,1))-AVERAGE(OFFSET($H$3,0,0,'Données projet'!$E$11+1,1))</f>
        <v>455.26558725507834</v>
      </c>
      <c r="BJ47" s="62">
        <f t="shared" si="38"/>
        <v>278.60310966788552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3.7399999999999975</v>
      </c>
      <c r="BY47" s="13">
        <f>IF('Données projet'!$A$114&gt;35,BY46+BX47-CG46,IF(A47&lt;'Données projet'!$A$114,$BV$205^A47,IF(A47='Données projet'!$A$114,'Données projet'!$B$114,BY46+BX47-CG46)))</f>
        <v>187.96</v>
      </c>
      <c r="BZ47" s="14">
        <f>BY47*VLOOKUP('Données projet'!$B$12,Paramètres!$A$1:$I$89,3,0)*VLOOKUP('Données projet'!$B$12,Paramètres!$A$1:$I$89,5,0)</f>
        <v>97.739200000000025</v>
      </c>
      <c r="CA47" s="14">
        <f t="shared" si="39"/>
        <v>26.422678401406777</v>
      </c>
      <c r="CB47" s="22">
        <f t="shared" si="10"/>
        <v>216.24860488245017</v>
      </c>
      <c r="CC47" s="62">
        <f t="shared" si="11"/>
        <v>445.06878403108573</v>
      </c>
      <c r="CD47" s="62">
        <f ca="1">AVERAGE(OFFSET($CC$3,0,0,'Données projet'!$E$12+1,1))-AVERAGE(OFFSET($H$3,0,0,'Données projet'!$E$12+1,1))</f>
        <v>300.72820267660154</v>
      </c>
      <c r="CE47" s="62">
        <f t="shared" si="40"/>
        <v>228.35388778608589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4.8717948717948731</v>
      </c>
      <c r="CT47" s="13">
        <f>IF('Données projet'!$A$140&gt;35,CT46+CS47-DB46,IF(A47&lt;'Données projet'!$A$140,$CQ$205^A47,IF(A47='Données projet'!$A$140,'Données projet'!$B$140,CT46+CS47-DB46)))</f>
        <v>121.41025641025639</v>
      </c>
      <c r="CU47" s="18">
        <f>CT47*VLOOKUP('Données projet'!$B$13,Paramètres!$A$1:$I$89,3,0)*VLOOKUP('Données projet'!$B$13,Paramètres!$A$1:$I$89,5,0)</f>
        <v>104.17</v>
      </c>
      <c r="CV47" s="14">
        <f t="shared" si="41"/>
        <v>27.953068123715166</v>
      </c>
      <c r="CW47" s="22">
        <f t="shared" si="13"/>
        <v>230.11434364880392</v>
      </c>
      <c r="CX47" s="62">
        <f t="shared" si="14"/>
        <v>458.93452279743951</v>
      </c>
      <c r="CY47" s="62">
        <f ca="1">AVERAGE(OFFSET($CX$3,0,0,'Données projet'!$E$13+1,1))-AVERAGE(OFFSET($H$3,0,0,'Données projet'!$E$13+1,1))</f>
        <v>384.3367849108829</v>
      </c>
      <c r="CZ47" s="62">
        <f t="shared" si="42"/>
        <v>238.2697272367603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10.869230769230773</v>
      </c>
      <c r="DO47" s="13">
        <f>IF('Données projet'!$A$166&gt;35,DO46+DN47-DW46,IF(A47&lt;'Données projet'!$A$166,$DL$205^A47,IF(A47='Données projet'!$A$166,'Données projet'!$B$166,DO46+DN47-DW46)))</f>
        <v>241.27692307692305</v>
      </c>
      <c r="DP47" s="18">
        <f>DO47*VLOOKUP('Données projet'!$B$14,Paramètres!$A$1:$I$89,3,0)*VLOOKUP('Données projet'!$B$14,Paramètres!$A$1:$I$89,5,0)</f>
        <v>112.91759999999999</v>
      </c>
      <c r="DQ47" s="14">
        <f t="shared" si="43"/>
        <v>30.017343081157474</v>
      </c>
      <c r="DR47" s="22">
        <f t="shared" si="16"/>
        <v>248.9450258663492</v>
      </c>
      <c r="DS47" s="62">
        <f t="shared" si="17"/>
        <v>477.76520501498476</v>
      </c>
      <c r="DT47" s="62">
        <f ca="1">AVERAGE(OFFSET($DS$3,0,0,'Données projet'!$E$14+1,1))-AVERAGE(OFFSET($H$3,0,0,'Données projet'!$E$14+1,1))</f>
        <v>304.1100958939968</v>
      </c>
      <c r="DU47" s="62">
        <f t="shared" si="44"/>
        <v>184.1255966824568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4.8717948717948731</v>
      </c>
      <c r="EJ47" s="13">
        <f>IF('Données projet'!$A$192&gt;35,EJ46+EI47-ER46,IF(A47&lt;'Données projet'!$A$192,$EG$205^A47,IF(A47='Données projet'!$A$192,'Données projet'!$B$192,EJ46+EI47-ER46)))</f>
        <v>121.41025641025639</v>
      </c>
      <c r="EK47" s="18">
        <f>EJ47*VLOOKUP('Données projet'!$B$15,Paramètres!$A$1:$I$89,3,0)*VLOOKUP('Données projet'!$B$15,Paramètres!$A$1:$I$89,5,0)</f>
        <v>123.10999999999999</v>
      </c>
      <c r="EL47" s="14">
        <f t="shared" si="45"/>
        <v>32.399272040275804</v>
      </c>
      <c r="EM47" s="22">
        <f t="shared" si="19"/>
        <v>270.845315470147</v>
      </c>
      <c r="EN47" s="62">
        <f t="shared" si="20"/>
        <v>499.66549461878253</v>
      </c>
      <c r="EO47" s="62">
        <f ca="1">AVERAGE(OFFSET($EN$3,0,0,'Données projet'!$E$15+1,1))-AVERAGE(OFFSET($H$3,0,0,'Données projet'!$E$15+1,1))</f>
        <v>435.03433721979218</v>
      </c>
      <c r="EP47" s="62">
        <f t="shared" si="46"/>
        <v>267.10015759286387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4.8717948717948731</v>
      </c>
      <c r="FE47" s="13">
        <f>IF('Données projet'!$A$218&gt;35,FE46+FD47-FM46,IF(A47&lt;'Données projet'!$A$218,$FB$205^A47,IF(A47='Données projet'!$A$218,'Données projet'!$B$218,FE46+FD47-FM46)))</f>
        <v>121.41025641025639</v>
      </c>
      <c r="FF47" s="18">
        <f>FE47*VLOOKUP('Données projet'!$B$16,Paramètres!$A$1:$I$89,3,0)*VLOOKUP('Données projet'!$B$16,Paramètres!$A$1:$I$89,5,0)</f>
        <v>126.898</v>
      </c>
      <c r="FG47" s="14">
        <f t="shared" si="47"/>
        <v>33.27857383327229</v>
      </c>
      <c r="FH47" s="22">
        <f t="shared" si="22"/>
        <v>278.97419942628261</v>
      </c>
      <c r="FI47" s="62">
        <f t="shared" si="23"/>
        <v>507.79437857491814</v>
      </c>
      <c r="FJ47" s="62">
        <f ca="1">AVERAGE(OFFSET($FI$3,0,0,'Données projet'!$E$16+1,1))-AVERAGE(OFFSET($H$3,0,0,'Données projet'!$E$16+1,1))</f>
        <v>445.15313998584293</v>
      </c>
      <c r="FK47" s="62">
        <f t="shared" si="48"/>
        <v>272.85357736694834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5</v>
      </c>
      <c r="FZ47" s="13">
        <f>IF('Données projet'!$A$244&gt;35,FZ46+FY47-GH46,IF(A47&lt;'Données projet'!$A$244,$FW$205^A47,IF(A47='Données projet'!$A$244,'Données projet'!$B$244,FZ46+FY47-GH46)))</f>
        <v>114.99999999999997</v>
      </c>
      <c r="GA47" s="18">
        <f>FZ47*VLOOKUP('Données projet'!$B$17,Paramètres!$A$1:$I$89,3,0)*VLOOKUP('Données projet'!$B$17,Paramètres!$A$1:$I$89,5,0)</f>
        <v>100.46399999999998</v>
      </c>
      <c r="GB47" s="14">
        <f t="shared" si="49"/>
        <v>27.072509349827456</v>
      </c>
      <c r="GC47" s="22">
        <f t="shared" si="25"/>
        <v>222.12608711761615</v>
      </c>
      <c r="GD47" s="62">
        <f t="shared" si="26"/>
        <v>450.94626626625171</v>
      </c>
      <c r="GE47" s="62">
        <f ca="1">AVERAGE(OFFSET($GD$3,0,0,'Données projet'!$E$17+1,1))-AVERAGE(OFFSET($H$3,0,0,'Données projet'!$E$17+1,1))</f>
        <v>248.82613595888964</v>
      </c>
      <c r="GF47" s="62">
        <f t="shared" si="50"/>
        <v>255.8298580882084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135.66666666666666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6.4759615384615365</v>
      </c>
      <c r="N48" s="14">
        <f>IF('Données projet'!$A$36&gt;35,N47+M48-V47,IF(A48&lt;'Données projet'!$A$36,$K$205^A48,IF(A48='Données projet'!$A$36,'Données projet'!$B$36,N47+M48-V47)))</f>
        <v>145.09903846153844</v>
      </c>
      <c r="O48" s="14">
        <f>N48*VLOOKUP('Données projet'!$B$9,Paramètres!$A$1:$I$89,3,0)*VLOOKUP('Données projet'!$B$9,Paramètres!$A$1:$I$89,5,0)</f>
        <v>84.882937499999997</v>
      </c>
      <c r="P48" s="14">
        <f t="shared" si="33"/>
        <v>23.326939919529902</v>
      </c>
      <c r="Q48" s="22">
        <f t="shared" si="53"/>
        <v>188.46553650568126</v>
      </c>
      <c r="R48" s="62">
        <f t="shared" si="0"/>
        <v>418.40487464961575</v>
      </c>
      <c r="S48" s="62">
        <f ca="1">AVERAGE(OFFSET($R$3,0,0,'Données projet'!$E$9+1,1))-AVERAGE(OFFSET($H$3,0,0,'Données projet'!$E$9+1,1))</f>
        <v>221.18884567967481</v>
      </c>
      <c r="T48" s="62">
        <f t="shared" si="34"/>
        <v>189.31596996710888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1.8720833333333331</v>
      </c>
      <c r="AI48" s="14">
        <f>IF('Données projet'!$A$62&gt;35,AI47+AH48-AQ47,IF(A48&lt;'Données projet'!$A$62,$AF$205^A48,IF(A48='Données projet'!$A$62,'Données projet'!$B$62,AI47+AH48-AQ47)))</f>
        <v>65.027083333333351</v>
      </c>
      <c r="AJ48" s="14">
        <f>AI48*VLOOKUP('Données projet'!$B$10,Paramètres!$A$1:$I$89,3,0)*VLOOKUP('Données projet'!$B$10,Paramètres!$A$1:$I$89,5,0)</f>
        <v>74.911200000000022</v>
      </c>
      <c r="AK48" s="14">
        <f t="shared" si="35"/>
        <v>20.888226917907243</v>
      </c>
      <c r="AL48" s="22">
        <f t="shared" si="4"/>
        <v>166.8506685486885</v>
      </c>
      <c r="AM48" s="62">
        <f t="shared" si="5"/>
        <v>396.79000669262302</v>
      </c>
      <c r="AN48" s="62">
        <f ca="1">AVERAGE(OFFSET($AM$3,0,0,'Données projet'!$E$10+1,1))-AVERAGE(OFFSET($H$3,0,0,'Données projet'!$E$10+1,1))</f>
        <v>314.72063458462026</v>
      </c>
      <c r="AO48" s="62">
        <f t="shared" si="36"/>
        <v>216.4380325968244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126.28205128205128</v>
      </c>
      <c r="BB48" s="13">
        <f>VLOOKUP(A48,'Données projet'!$A$87:$I$107,9,0)</f>
        <v>4.8717948717948731</v>
      </c>
      <c r="BC48" s="13">
        <f t="array" ref="BC48">INDEX(BB:BB,MIN(IF(ISNUMBER(BB48:BB244),ROW(BB48:BB244),"")))</f>
        <v>4.8717948717948731</v>
      </c>
      <c r="BD48" s="13">
        <f>IF('Données projet'!$A$88&gt;35,BD47+BC48-BL47,IF(A48&lt;'Données projet'!$A$88,$BA$205^A48,IF(A48='Données projet'!$A$88,'Données projet'!$B$88,BD47+BC48-BL47)))</f>
        <v>126.28205128205127</v>
      </c>
      <c r="BE48" s="14">
        <f>BD48*VLOOKUP('Données projet'!$B$11,Paramètres!$A$1:$I$89,3,0)*VLOOKUP('Données projet'!$B$11,Paramètres!$A$1:$I$89,5,0)</f>
        <v>135.92999999999998</v>
      </c>
      <c r="BF48" s="14">
        <f t="shared" si="37"/>
        <v>35.363030767110352</v>
      </c>
      <c r="BG48" s="22">
        <f t="shared" si="7"/>
        <v>298.33536191938384</v>
      </c>
      <c r="BH48" s="62">
        <f t="shared" si="8"/>
        <v>528.27470006331839</v>
      </c>
      <c r="BI48" s="62">
        <f ca="1">AVERAGE(OFFSET($BH$3,0,0,'Données projet'!$E$11+1,1))-AVERAGE(OFFSET($H$3,0,0,'Données projet'!$E$11+1,1))</f>
        <v>455.26558725507834</v>
      </c>
      <c r="BJ48" s="62">
        <f t="shared" si="38"/>
        <v>278.60310966788552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191.7</v>
      </c>
      <c r="BW48" s="13">
        <f>VLOOKUP(A48,'Données projet'!$A$113:$I$133,9,0)</f>
        <v>3.7399999999999975</v>
      </c>
      <c r="BX48" s="13">
        <f t="array" ref="BX48">INDEX(BW:BW,MIN(IF(ISNUMBER(BW48:BW244),ROW(BW48:BW244),"")))</f>
        <v>3.7399999999999975</v>
      </c>
      <c r="BY48" s="13">
        <f>IF('Données projet'!$A$114&gt;35,BY47+BX48-CG47,IF(A48&lt;'Données projet'!$A$114,$BV$205^A48,IF(A48='Données projet'!$A$114,'Données projet'!$B$114,BY47+BX48-CG47)))</f>
        <v>191.70000000000002</v>
      </c>
      <c r="BZ48" s="14">
        <f>BY48*VLOOKUP('Données projet'!$B$12,Paramètres!$A$1:$I$89,3,0)*VLOOKUP('Données projet'!$B$12,Paramètres!$A$1:$I$89,5,0)</f>
        <v>99.684000000000012</v>
      </c>
      <c r="CA48" s="14">
        <f t="shared" si="39"/>
        <v>26.886701044194457</v>
      </c>
      <c r="CB48" s="22">
        <f t="shared" si="10"/>
        <v>220.44397098530536</v>
      </c>
      <c r="CC48" s="62">
        <f t="shared" si="11"/>
        <v>450.38330912923988</v>
      </c>
      <c r="CD48" s="62">
        <f ca="1">AVERAGE(OFFSET($CC$3,0,0,'Données projet'!$E$12+1,1))-AVERAGE(OFFSET($H$3,0,0,'Données projet'!$E$12+1,1))</f>
        <v>300.72820267660154</v>
      </c>
      <c r="CE48" s="62">
        <f t="shared" si="40"/>
        <v>228.35388778608589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126.28205128205128</v>
      </c>
      <c r="CR48" s="13">
        <f>VLOOKUP(A48,'Données projet'!$A$139:$I$159,9,0)</f>
        <v>4.8717948717948731</v>
      </c>
      <c r="CS48" s="13">
        <f t="array" ref="CS48">INDEX(CR:CR,MIN(IF(ISNUMBER(CR48:CR244),ROW(CR48:CR244),"")))</f>
        <v>4.8717948717948731</v>
      </c>
      <c r="CT48" s="13">
        <f>IF('Données projet'!$A$140&gt;35,CT47+CS48-DB47,IF(A48&lt;'Données projet'!$A$140,$CQ$205^A48,IF(A48='Données projet'!$A$140,'Données projet'!$B$140,CT47+CS48-DB47)))</f>
        <v>126.28205128205127</v>
      </c>
      <c r="CU48" s="18">
        <f>CT48*VLOOKUP('Données projet'!$B$13,Paramètres!$A$1:$I$89,3,0)*VLOOKUP('Données projet'!$B$13,Paramètres!$A$1:$I$89,5,0)</f>
        <v>108.35000000000001</v>
      </c>
      <c r="CV48" s="14">
        <f t="shared" si="41"/>
        <v>28.941890412175933</v>
      </c>
      <c r="CW48" s="22">
        <f t="shared" si="13"/>
        <v>239.11670913453978</v>
      </c>
      <c r="CX48" s="62">
        <f t="shared" si="14"/>
        <v>469.0560472784743</v>
      </c>
      <c r="CY48" s="62">
        <f ca="1">AVERAGE(OFFSET($CX$3,0,0,'Données projet'!$E$13+1,1))-AVERAGE(OFFSET($H$3,0,0,'Données projet'!$E$13+1,1))</f>
        <v>384.3367849108829</v>
      </c>
      <c r="CZ48" s="62">
        <f t="shared" si="42"/>
        <v>238.2697272367603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252.14615384615385</v>
      </c>
      <c r="DM48" s="13">
        <f>VLOOKUP(A48,'Données projet'!$A$165:$I$185,9,0)</f>
        <v>10.869230769230773</v>
      </c>
      <c r="DN48" s="13">
        <f t="array" ref="DN48">INDEX(DM:DM,MIN(IF(ISNUMBER(DM48:DM244),ROW(DM48:DM244),"")))</f>
        <v>10.869230769230773</v>
      </c>
      <c r="DO48" s="13">
        <f>IF('Données projet'!$A$166&gt;35,DO47+DN48-DW47,IF(A48&lt;'Données projet'!$A$166,$DL$205^A48,IF(A48='Données projet'!$A$166,'Données projet'!$B$166,DO47+DN48-DW47)))</f>
        <v>252.14615384615382</v>
      </c>
      <c r="DP48" s="18">
        <f>DO48*VLOOKUP('Données projet'!$B$14,Paramètres!$A$1:$I$89,3,0)*VLOOKUP('Données projet'!$B$14,Paramètres!$A$1:$I$89,5,0)</f>
        <v>118.00439999999999</v>
      </c>
      <c r="DQ48" s="14">
        <f t="shared" si="43"/>
        <v>31.209105068500421</v>
      </c>
      <c r="DR48" s="22">
        <f t="shared" si="16"/>
        <v>259.88018799430489</v>
      </c>
      <c r="DS48" s="62">
        <f t="shared" si="17"/>
        <v>489.81952613823944</v>
      </c>
      <c r="DT48" s="62">
        <f ca="1">AVERAGE(OFFSET($DS$3,0,0,'Données projet'!$E$14+1,1))-AVERAGE(OFFSET($H$3,0,0,'Données projet'!$E$14+1,1))</f>
        <v>304.1100958939968</v>
      </c>
      <c r="DU48" s="62">
        <f t="shared" si="44"/>
        <v>184.1255966824568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126.28205128205128</v>
      </c>
      <c r="EH48" s="13">
        <f>VLOOKUP(A48,'Données projet'!$A$191:$I$211,9,0)</f>
        <v>4.8717948717948731</v>
      </c>
      <c r="EI48" s="13">
        <f t="array" ref="EI48">INDEX(EH:EH,MIN(IF(ISNUMBER(EH48:EH244),ROW(EH48:EH244),"")))</f>
        <v>4.8717948717948731</v>
      </c>
      <c r="EJ48" s="13">
        <f>IF('Données projet'!$A$192&gt;35,EJ47+EI48-ER47,IF(A48&lt;'Données projet'!$A$192,$EG$205^A48,IF(A48='Données projet'!$A$192,'Données projet'!$B$192,EJ47+EI48-ER47)))</f>
        <v>126.28205128205127</v>
      </c>
      <c r="EK48" s="18">
        <f>EJ48*VLOOKUP('Données projet'!$B$15,Paramètres!$A$1:$I$89,3,0)*VLOOKUP('Données projet'!$B$15,Paramètres!$A$1:$I$89,5,0)</f>
        <v>128.04999999999998</v>
      </c>
      <c r="EL48" s="14">
        <f t="shared" si="45"/>
        <v>33.54537600931198</v>
      </c>
      <c r="EM48" s="22">
        <f t="shared" si="19"/>
        <v>281.44527988288496</v>
      </c>
      <c r="EN48" s="62">
        <f t="shared" si="20"/>
        <v>511.38461802681945</v>
      </c>
      <c r="EO48" s="62">
        <f ca="1">AVERAGE(OFFSET($EN$3,0,0,'Données projet'!$E$15+1,1))-AVERAGE(OFFSET($H$3,0,0,'Données projet'!$E$15+1,1))</f>
        <v>435.03433721979218</v>
      </c>
      <c r="EP48" s="62">
        <f t="shared" si="46"/>
        <v>267.10015759286387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126.28205128205128</v>
      </c>
      <c r="FC48" s="13">
        <f>VLOOKUP(A48,'Données projet'!$A$217:$I$237,9,0)</f>
        <v>4.8717948717948731</v>
      </c>
      <c r="FD48" s="13">
        <f t="array" ref="FD48">INDEX(FC:FC,MIN(IF(ISNUMBER(FC48:FC244),ROW(FC48:FC244),"")))</f>
        <v>4.8717948717948731</v>
      </c>
      <c r="FE48" s="13">
        <f>IF('Données projet'!$A$218&gt;35,FE47+FD48-FM47,IF(A48&lt;'Données projet'!$A$218,$FB$205^A48,IF(A48='Données projet'!$A$218,'Données projet'!$B$218,FE47+FD48-FM47)))</f>
        <v>126.28205128205127</v>
      </c>
      <c r="FF48" s="18">
        <f>FE48*VLOOKUP('Données projet'!$B$16,Paramètres!$A$1:$I$89,3,0)*VLOOKUP('Données projet'!$B$16,Paramètres!$A$1:$I$89,5,0)</f>
        <v>131.98999999999998</v>
      </c>
      <c r="FG48" s="14">
        <f t="shared" si="47"/>
        <v>34.455782552862125</v>
      </c>
      <c r="FH48" s="22">
        <f t="shared" si="22"/>
        <v>289.89307127956818</v>
      </c>
      <c r="FI48" s="62">
        <f t="shared" si="23"/>
        <v>519.83240942350267</v>
      </c>
      <c r="FJ48" s="62">
        <f ca="1">AVERAGE(OFFSET($FI$3,0,0,'Données projet'!$E$16+1,1))-AVERAGE(OFFSET($H$3,0,0,'Données projet'!$E$16+1,1))</f>
        <v>445.15313998584293</v>
      </c>
      <c r="FK48" s="62">
        <f t="shared" si="48"/>
        <v>272.85357736694834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120</v>
      </c>
      <c r="FX48" s="13">
        <f>VLOOKUP(A48,'Données projet'!$A$243:$I$263,9,0)</f>
        <v>5</v>
      </c>
      <c r="FY48" s="13">
        <f t="array" ref="FY48">INDEX(FX:FX,MIN(IF(ISNUMBER(FX48:FX244),ROW(FX48:FX244),"")))</f>
        <v>5</v>
      </c>
      <c r="FZ48" s="13">
        <f>IF('Données projet'!$A$244&gt;35,FZ47+FY48-GH47,IF(A48&lt;'Données projet'!$A$244,$FW$205^A48,IF(A48='Données projet'!$A$244,'Données projet'!$B$244,FZ47+FY48-GH47)))</f>
        <v>119.99999999999997</v>
      </c>
      <c r="GA48" s="18">
        <f>FZ48*VLOOKUP('Données projet'!$B$17,Paramètres!$A$1:$I$89,3,0)*VLOOKUP('Données projet'!$B$17,Paramètres!$A$1:$I$89,5,0)</f>
        <v>104.83199999999998</v>
      </c>
      <c r="GB48" s="14">
        <f t="shared" si="49"/>
        <v>28.109974371137692</v>
      </c>
      <c r="GC48" s="22">
        <f t="shared" si="25"/>
        <v>231.54060536306474</v>
      </c>
      <c r="GD48" s="62">
        <f t="shared" si="26"/>
        <v>461.47994350699923</v>
      </c>
      <c r="GE48" s="62">
        <f ca="1">AVERAGE(OFFSET($GD$3,0,0,'Données projet'!$E$17+1,1))-AVERAGE(OFFSET($H$3,0,0,'Données projet'!$E$17+1,1))</f>
        <v>248.82613595888964</v>
      </c>
      <c r="GF48" s="62">
        <f t="shared" si="50"/>
        <v>255.8298580882084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135.66666666666666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6.4759615384615365</v>
      </c>
      <c r="N49" s="14">
        <f>IF('Données projet'!$A$36&gt;35,N48+M49-V48,IF(A49&lt;'Données projet'!$A$36,$K$205^A49,IF(A49='Données projet'!$A$36,'Données projet'!$B$36,N48+M49-V48)))</f>
        <v>151.57499999999999</v>
      </c>
      <c r="O49" s="14">
        <f>N49*VLOOKUP('Données projet'!$B$9,Paramètres!$A$1:$I$89,3,0)*VLOOKUP('Données projet'!$B$9,Paramètres!$A$1:$I$89,5,0)</f>
        <v>88.671374999999998</v>
      </c>
      <c r="P49" s="14">
        <f t="shared" si="33"/>
        <v>24.244515804498253</v>
      </c>
      <c r="Q49" s="22">
        <f t="shared" si="53"/>
        <v>196.66184315116777</v>
      </c>
      <c r="R49" s="62">
        <f t="shared" si="0"/>
        <v>427.70092538389747</v>
      </c>
      <c r="S49" s="62">
        <f ca="1">AVERAGE(OFFSET($R$3,0,0,'Données projet'!$E$9+1,1))-AVERAGE(OFFSET($H$3,0,0,'Données projet'!$E$9+1,1))</f>
        <v>221.18884567967481</v>
      </c>
      <c r="T49" s="62">
        <f t="shared" si="34"/>
        <v>189.31596996710888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1.8720833333333331</v>
      </c>
      <c r="AI49" s="14">
        <f>IF('Données projet'!$A$62&gt;35,AI48+AH49-AQ48,IF(A49&lt;'Données projet'!$A$62,$AF$205^A49,IF(A49='Données projet'!$A$62,'Données projet'!$B$62,AI48+AH49-AQ48)))</f>
        <v>66.899166666666687</v>
      </c>
      <c r="AJ49" s="14">
        <f>AI49*VLOOKUP('Données projet'!$B$10,Paramètres!$A$1:$I$89,3,0)*VLOOKUP('Données projet'!$B$10,Paramètres!$A$1:$I$89,5,0)</f>
        <v>77.067840000000018</v>
      </c>
      <c r="AK49" s="14">
        <f t="shared" si="35"/>
        <v>21.418705179130875</v>
      </c>
      <c r="AL49" s="22">
        <f t="shared" si="4"/>
        <v>171.53073285365295</v>
      </c>
      <c r="AM49" s="62">
        <f t="shared" si="5"/>
        <v>402.56981508638262</v>
      </c>
      <c r="AN49" s="62">
        <f ca="1">AVERAGE(OFFSET($AM$3,0,0,'Données projet'!$E$10+1,1))-AVERAGE(OFFSET($H$3,0,0,'Données projet'!$E$10+1,1))</f>
        <v>314.72063458462026</v>
      </c>
      <c r="AO49" s="62">
        <f t="shared" si="36"/>
        <v>216.4380325968244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4.6153846153846159</v>
      </c>
      <c r="BD49" s="13">
        <f>IF('Données projet'!$A$88&gt;35,BD48+BC49-BL48,IF(A49&lt;'Données projet'!$A$88,$BA$205^A49,IF(A49='Données projet'!$A$88,'Données projet'!$B$88,BD48+BC49-BL48)))</f>
        <v>130.89743589743588</v>
      </c>
      <c r="BE49" s="14">
        <f>BD49*VLOOKUP('Données projet'!$B$11,Paramètres!$A$1:$I$89,3,0)*VLOOKUP('Données projet'!$B$11,Paramètres!$A$1:$I$89,5,0)</f>
        <v>140.898</v>
      </c>
      <c r="BF49" s="14">
        <f t="shared" si="37"/>
        <v>36.502648070246146</v>
      </c>
      <c r="BG49" s="22">
        <f t="shared" si="7"/>
        <v>308.97279538901205</v>
      </c>
      <c r="BH49" s="62">
        <f t="shared" si="8"/>
        <v>540.01187762174175</v>
      </c>
      <c r="BI49" s="62">
        <f ca="1">AVERAGE(OFFSET($BH$3,0,0,'Données projet'!$E$11+1,1))-AVERAGE(OFFSET($H$3,0,0,'Données projet'!$E$11+1,1))</f>
        <v>455.26558725507834</v>
      </c>
      <c r="BJ49" s="62">
        <f t="shared" si="38"/>
        <v>278.60310966788552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3.5</v>
      </c>
      <c r="BY49" s="13">
        <f>IF('Données projet'!$A$114&gt;35,BY48+BX49-CG48,IF(A49&lt;'Données projet'!$A$114,$BV$205^A49,IF(A49='Données projet'!$A$114,'Données projet'!$B$114,BY48+BX49-CG48)))</f>
        <v>195.20000000000002</v>
      </c>
      <c r="BZ49" s="14">
        <f>BY49*VLOOKUP('Données projet'!$B$12,Paramètres!$A$1:$I$89,3,0)*VLOOKUP('Données projet'!$B$12,Paramètres!$A$1:$I$89,5,0)</f>
        <v>101.50400000000002</v>
      </c>
      <c r="CA49" s="14">
        <f t="shared" si="39"/>
        <v>27.31999291386828</v>
      </c>
      <c r="CB49" s="22">
        <f t="shared" si="10"/>
        <v>224.36845432498728</v>
      </c>
      <c r="CC49" s="62">
        <f t="shared" si="11"/>
        <v>455.40753655771698</v>
      </c>
      <c r="CD49" s="62">
        <f ca="1">AVERAGE(OFFSET($CC$3,0,0,'Données projet'!$E$12+1,1))-AVERAGE(OFFSET($H$3,0,0,'Données projet'!$E$12+1,1))</f>
        <v>300.72820267660154</v>
      </c>
      <c r="CE49" s="62">
        <f t="shared" si="40"/>
        <v>228.35388778608589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4.6153846153846159</v>
      </c>
      <c r="CT49" s="13">
        <f>IF('Données projet'!$A$140&gt;35,CT48+CS49-DB48,IF(A49&lt;'Données projet'!$A$140,$CQ$205^A49,IF(A49='Données projet'!$A$140,'Données projet'!$B$140,CT48+CS49-DB48)))</f>
        <v>130.89743589743588</v>
      </c>
      <c r="CU49" s="18">
        <f>CT49*VLOOKUP('Données projet'!$B$13,Paramètres!$A$1:$I$89,3,0)*VLOOKUP('Données projet'!$B$13,Paramètres!$A$1:$I$89,5,0)</f>
        <v>112.30999999999999</v>
      </c>
      <c r="CV49" s="14">
        <f t="shared" si="41"/>
        <v>29.874578543925416</v>
      </c>
      <c r="CW49" s="22">
        <f t="shared" si="13"/>
        <v>247.63814096400338</v>
      </c>
      <c r="CX49" s="62">
        <f t="shared" si="14"/>
        <v>478.67722319673305</v>
      </c>
      <c r="CY49" s="62">
        <f ca="1">AVERAGE(OFFSET($CX$3,0,0,'Données projet'!$E$13+1,1))-AVERAGE(OFFSET($H$3,0,0,'Données projet'!$E$13+1,1))</f>
        <v>384.3367849108829</v>
      </c>
      <c r="CZ49" s="62">
        <f t="shared" si="42"/>
        <v>238.2697272367603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11.615384615384608</v>
      </c>
      <c r="DO49" s="13">
        <f>IF('Données projet'!$A$166&gt;35,DO48+DN49-DW48,IF(A49&lt;'Données projet'!$A$166,$DL$205^A49,IF(A49='Données projet'!$A$166,'Données projet'!$B$166,DO48+DN49-DW48)))</f>
        <v>263.76153846153841</v>
      </c>
      <c r="DP49" s="18">
        <f>DO49*VLOOKUP('Données projet'!$B$14,Paramètres!$A$1:$I$89,3,0)*VLOOKUP('Données projet'!$B$14,Paramètres!$A$1:$I$89,5,0)</f>
        <v>123.44039999999998</v>
      </c>
      <c r="DQ49" s="14">
        <f t="shared" si="43"/>
        <v>32.476091260477197</v>
      </c>
      <c r="DR49" s="22">
        <f t="shared" si="16"/>
        <v>271.55455561199773</v>
      </c>
      <c r="DS49" s="62">
        <f t="shared" si="17"/>
        <v>502.59363784472743</v>
      </c>
      <c r="DT49" s="62">
        <f ca="1">AVERAGE(OFFSET($DS$3,0,0,'Données projet'!$E$14+1,1))-AVERAGE(OFFSET($H$3,0,0,'Données projet'!$E$14+1,1))</f>
        <v>304.1100958939968</v>
      </c>
      <c r="DU49" s="62">
        <f t="shared" si="44"/>
        <v>184.1255966824568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4.6153846153846159</v>
      </c>
      <c r="EJ49" s="13">
        <f>IF('Données projet'!$A$192&gt;35,EJ48+EI49-ER48,IF(A49&lt;'Données projet'!$A$192,$EG$205^A49,IF(A49='Données projet'!$A$192,'Données projet'!$B$192,EJ48+EI49-ER48)))</f>
        <v>130.89743589743588</v>
      </c>
      <c r="EK49" s="18">
        <f>EJ49*VLOOKUP('Données projet'!$B$15,Paramètres!$A$1:$I$89,3,0)*VLOOKUP('Données projet'!$B$15,Paramètres!$A$1:$I$89,5,0)</f>
        <v>132.72999999999999</v>
      </c>
      <c r="EL49" s="14">
        <f t="shared" si="45"/>
        <v>34.626417144959269</v>
      </c>
      <c r="EM49" s="22">
        <f t="shared" si="19"/>
        <v>291.47909319413736</v>
      </c>
      <c r="EN49" s="62">
        <f t="shared" si="20"/>
        <v>522.51817542686706</v>
      </c>
      <c r="EO49" s="62">
        <f ca="1">AVERAGE(OFFSET($EN$3,0,0,'Données projet'!$E$15+1,1))-AVERAGE(OFFSET($H$3,0,0,'Données projet'!$E$15+1,1))</f>
        <v>435.03433721979218</v>
      </c>
      <c r="EP49" s="62">
        <f t="shared" si="46"/>
        <v>267.10015759286387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4.6153846153846159</v>
      </c>
      <c r="FE49" s="13">
        <f>IF('Données projet'!$A$218&gt;35,FE48+FD49-FM48,IF(A49&lt;'Données projet'!$A$218,$FB$205^A49,IF(A49='Données projet'!$A$218,'Données projet'!$B$218,FE48+FD49-FM48)))</f>
        <v>130.89743589743588</v>
      </c>
      <c r="FF49" s="18">
        <f>FE49*VLOOKUP('Données projet'!$B$16,Paramètres!$A$1:$I$89,3,0)*VLOOKUP('Données projet'!$B$16,Paramètres!$A$1:$I$89,5,0)</f>
        <v>136.81399999999999</v>
      </c>
      <c r="FG49" s="14">
        <f t="shared" si="47"/>
        <v>35.566162662783157</v>
      </c>
      <c r="FH49" s="22">
        <f t="shared" si="22"/>
        <v>300.2287833043473</v>
      </c>
      <c r="FI49" s="62">
        <f t="shared" si="23"/>
        <v>531.267865537077</v>
      </c>
      <c r="FJ49" s="62">
        <f ca="1">AVERAGE(OFFSET($FI$3,0,0,'Données projet'!$E$16+1,1))-AVERAGE(OFFSET($H$3,0,0,'Données projet'!$E$16+1,1))</f>
        <v>445.15313998584293</v>
      </c>
      <c r="FK49" s="62">
        <f t="shared" si="48"/>
        <v>272.85357736694834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4.2</v>
      </c>
      <c r="FZ49" s="13">
        <f>IF('Données projet'!$A$244&gt;35,FZ48+FY49-GH48,IF(A49&lt;'Données projet'!$A$244,$FW$205^A49,IF(A49='Données projet'!$A$244,'Données projet'!$B$244,FZ48+FY49-GH48)))</f>
        <v>124.19999999999997</v>
      </c>
      <c r="GA49" s="18">
        <f>FZ49*VLOOKUP('Données projet'!$B$17,Paramètres!$A$1:$I$89,3,0)*VLOOKUP('Données projet'!$B$17,Paramètres!$A$1:$I$89,5,0)</f>
        <v>108.50111999999999</v>
      </c>
      <c r="GB49" s="14">
        <f t="shared" si="49"/>
        <v>28.977555261594095</v>
      </c>
      <c r="GC49" s="22">
        <f t="shared" si="25"/>
        <v>239.44202608060968</v>
      </c>
      <c r="GD49" s="62">
        <f t="shared" si="26"/>
        <v>470.4811083133394</v>
      </c>
      <c r="GE49" s="62">
        <f ca="1">AVERAGE(OFFSET($GD$3,0,0,'Données projet'!$E$17+1,1))-AVERAGE(OFFSET($H$3,0,0,'Données projet'!$E$17+1,1))</f>
        <v>248.82613595888964</v>
      </c>
      <c r="GF49" s="62">
        <f t="shared" si="50"/>
        <v>255.8298580882084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135.66666666666666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6.4759615384615365</v>
      </c>
      <c r="N50" s="14">
        <f>IF('Données projet'!$A$36&gt;35,N49+M50-V49,IF(A50&lt;'Données projet'!$A$36,$K$205^A50,IF(A50='Données projet'!$A$36,'Données projet'!$B$36,N49+M50-V49)))</f>
        <v>158.05096153846154</v>
      </c>
      <c r="O50" s="14">
        <f>N50*VLOOKUP('Données projet'!$B$9,Paramètres!$A$1:$I$89,3,0)*VLOOKUP('Données projet'!$B$9,Paramètres!$A$1:$I$89,5,0)</f>
        <v>92.459812500000012</v>
      </c>
      <c r="P50" s="14">
        <f t="shared" si="33"/>
        <v>25.157538331922787</v>
      </c>
      <c r="Q50" s="22">
        <f t="shared" si="53"/>
        <v>204.85021936559886</v>
      </c>
      <c r="R50" s="62">
        <f t="shared" si="0"/>
        <v>436.9699675858426</v>
      </c>
      <c r="S50" s="62">
        <f ca="1">AVERAGE(OFFSET($R$3,0,0,'Données projet'!$E$9+1,1))-AVERAGE(OFFSET($H$3,0,0,'Données projet'!$E$9+1,1))</f>
        <v>221.18884567967481</v>
      </c>
      <c r="T50" s="62">
        <f t="shared" si="34"/>
        <v>189.31596996710888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1.8720833333333331</v>
      </c>
      <c r="AI50" s="14">
        <f>IF('Données projet'!$A$62&gt;35,AI49+AH50-AQ49,IF(A50&lt;'Données projet'!$A$62,$AF$205^A50,IF(A50='Données projet'!$A$62,'Données projet'!$B$62,AI49+AH50-AQ49)))</f>
        <v>68.771250000000023</v>
      </c>
      <c r="AJ50" s="14">
        <f>AI50*VLOOKUP('Données projet'!$B$10,Paramètres!$A$1:$I$89,3,0)*VLOOKUP('Données projet'!$B$10,Paramètres!$A$1:$I$89,5,0)</f>
        <v>79.224480000000028</v>
      </c>
      <c r="AK50" s="14">
        <f t="shared" si="35"/>
        <v>21.947458087932979</v>
      </c>
      <c r="AL50" s="22">
        <f t="shared" si="4"/>
        <v>176.20779216981666</v>
      </c>
      <c r="AM50" s="62">
        <f t="shared" si="5"/>
        <v>408.32754039006039</v>
      </c>
      <c r="AN50" s="62">
        <f ca="1">AVERAGE(OFFSET($AM$3,0,0,'Données projet'!$E$10+1,1))-AVERAGE(OFFSET($H$3,0,0,'Données projet'!$E$10+1,1))</f>
        <v>314.72063458462026</v>
      </c>
      <c r="AO50" s="62">
        <f t="shared" si="36"/>
        <v>216.4380325968244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4.6153846153846159</v>
      </c>
      <c r="BD50" s="13">
        <f>IF('Données projet'!$A$88&gt;35,BD49+BC50-BL49,IF(A50&lt;'Données projet'!$A$88,$BA$205^A50,IF(A50='Données projet'!$A$88,'Données projet'!$B$88,BD49+BC50-BL49)))</f>
        <v>135.5128205128205</v>
      </c>
      <c r="BE50" s="14">
        <f>BD50*VLOOKUP('Données projet'!$B$11,Paramètres!$A$1:$I$89,3,0)*VLOOKUP('Données projet'!$B$11,Paramètres!$A$1:$I$89,5,0)</f>
        <v>145.86599999999999</v>
      </c>
      <c r="BF50" s="14">
        <f t="shared" si="37"/>
        <v>37.637596706043936</v>
      </c>
      <c r="BG50" s="22">
        <f t="shared" si="7"/>
        <v>319.60209759635984</v>
      </c>
      <c r="BH50" s="62">
        <f t="shared" si="8"/>
        <v>551.7218458166036</v>
      </c>
      <c r="BI50" s="62">
        <f ca="1">AVERAGE(OFFSET($BH$3,0,0,'Données projet'!$E$11+1,1))-AVERAGE(OFFSET($H$3,0,0,'Données projet'!$E$11+1,1))</f>
        <v>455.26558725507834</v>
      </c>
      <c r="BJ50" s="62">
        <f t="shared" si="38"/>
        <v>278.60310966788552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3.5</v>
      </c>
      <c r="BY50" s="13">
        <f>IF('Données projet'!$A$114&gt;35,BY49+BX50-CG49,IF(A50&lt;'Données projet'!$A$114,$BV$205^A50,IF(A50='Données projet'!$A$114,'Données projet'!$B$114,BY49+BX50-CG49)))</f>
        <v>198.70000000000002</v>
      </c>
      <c r="BZ50" s="14">
        <f>BY50*VLOOKUP('Données projet'!$B$12,Paramètres!$A$1:$I$89,3,0)*VLOOKUP('Données projet'!$B$12,Paramètres!$A$1:$I$89,5,0)</f>
        <v>103.32400000000003</v>
      </c>
      <c r="CA50" s="14">
        <f t="shared" si="39"/>
        <v>27.752381356208407</v>
      </c>
      <c r="CB50" s="22">
        <f t="shared" si="10"/>
        <v>228.29136419539634</v>
      </c>
      <c r="CC50" s="62">
        <f t="shared" si="11"/>
        <v>460.4111124156401</v>
      </c>
      <c r="CD50" s="62">
        <f ca="1">AVERAGE(OFFSET($CC$3,0,0,'Données projet'!$E$12+1,1))-AVERAGE(OFFSET($H$3,0,0,'Données projet'!$E$12+1,1))</f>
        <v>300.72820267660154</v>
      </c>
      <c r="CE50" s="62">
        <f t="shared" si="40"/>
        <v>228.35388778608589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4.6153846153846159</v>
      </c>
      <c r="CT50" s="13">
        <f>IF('Données projet'!$A$140&gt;35,CT49+CS50-DB49,IF(A50&lt;'Données projet'!$A$140,$CQ$205^A50,IF(A50='Données projet'!$A$140,'Données projet'!$B$140,CT49+CS50-DB49)))</f>
        <v>135.5128205128205</v>
      </c>
      <c r="CU50" s="18">
        <f>CT50*VLOOKUP('Données projet'!$B$13,Paramètres!$A$1:$I$89,3,0)*VLOOKUP('Données projet'!$B$13,Paramètres!$A$1:$I$89,5,0)</f>
        <v>116.27000000000001</v>
      </c>
      <c r="CV50" s="14">
        <f t="shared" si="41"/>
        <v>30.803445734552593</v>
      </c>
      <c r="CW50" s="22">
        <f t="shared" si="13"/>
        <v>256.15291798767913</v>
      </c>
      <c r="CX50" s="62">
        <f t="shared" si="14"/>
        <v>488.27266620792284</v>
      </c>
      <c r="CY50" s="62">
        <f ca="1">AVERAGE(OFFSET($CX$3,0,0,'Données projet'!$E$13+1,1))-AVERAGE(OFFSET($H$3,0,0,'Données projet'!$E$13+1,1))</f>
        <v>384.3367849108829</v>
      </c>
      <c r="CZ50" s="62">
        <f t="shared" si="42"/>
        <v>238.2697272367603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11.615384615384608</v>
      </c>
      <c r="DO50" s="13">
        <f>IF('Données projet'!$A$166&gt;35,DO49+DN50-DW49,IF(A50&lt;'Données projet'!$A$166,$DL$205^A50,IF(A50='Données projet'!$A$166,'Données projet'!$B$166,DO49+DN50-DW49)))</f>
        <v>275.37692307692299</v>
      </c>
      <c r="DP50" s="18">
        <f>DO50*VLOOKUP('Données projet'!$B$14,Paramètres!$A$1:$I$89,3,0)*VLOOKUP('Données projet'!$B$14,Paramètres!$A$1:$I$89,5,0)</f>
        <v>128.87639999999996</v>
      </c>
      <c r="DQ50" s="14">
        <f t="shared" si="43"/>
        <v>33.736597338654839</v>
      </c>
      <c r="DR50" s="22">
        <f t="shared" si="16"/>
        <v>283.21763703149043</v>
      </c>
      <c r="DS50" s="62">
        <f t="shared" si="17"/>
        <v>515.33738525173419</v>
      </c>
      <c r="DT50" s="62">
        <f ca="1">AVERAGE(OFFSET($DS$3,0,0,'Données projet'!$E$14+1,1))-AVERAGE(OFFSET($H$3,0,0,'Données projet'!$E$14+1,1))</f>
        <v>304.1100958939968</v>
      </c>
      <c r="DU50" s="62">
        <f t="shared" si="44"/>
        <v>184.1255966824568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4.6153846153846159</v>
      </c>
      <c r="EJ50" s="13">
        <f>IF('Données projet'!$A$192&gt;35,EJ49+EI50-ER49,IF(A50&lt;'Données projet'!$A$192,$EG$205^A50,IF(A50='Données projet'!$A$192,'Données projet'!$B$192,EJ49+EI50-ER49)))</f>
        <v>135.5128205128205</v>
      </c>
      <c r="EK50" s="18">
        <f>EJ50*VLOOKUP('Données projet'!$B$15,Paramètres!$A$1:$I$89,3,0)*VLOOKUP('Données projet'!$B$15,Paramètres!$A$1:$I$89,5,0)</f>
        <v>137.41</v>
      </c>
      <c r="EL50" s="14">
        <f t="shared" si="45"/>
        <v>35.703029582106574</v>
      </c>
      <c r="EM50" s="22">
        <f t="shared" si="19"/>
        <v>301.50519318883562</v>
      </c>
      <c r="EN50" s="62">
        <f t="shared" si="20"/>
        <v>533.62494140907938</v>
      </c>
      <c r="EO50" s="62">
        <f ca="1">AVERAGE(OFFSET($EN$3,0,0,'Données projet'!$E$15+1,1))-AVERAGE(OFFSET($H$3,0,0,'Données projet'!$E$15+1,1))</f>
        <v>435.03433721979218</v>
      </c>
      <c r="EP50" s="62">
        <f t="shared" si="46"/>
        <v>267.10015759286387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4.6153846153846159</v>
      </c>
      <c r="FE50" s="13">
        <f>IF('Données projet'!$A$218&gt;35,FE49+FD50-FM49,IF(A50&lt;'Données projet'!$A$218,$FB$205^A50,IF(A50='Données projet'!$A$218,'Données projet'!$B$218,FE49+FD50-FM49)))</f>
        <v>135.5128205128205</v>
      </c>
      <c r="FF50" s="18">
        <f>FE50*VLOOKUP('Données projet'!$B$16,Paramètres!$A$1:$I$89,3,0)*VLOOKUP('Données projet'!$B$16,Paramètres!$A$1:$I$89,5,0)</f>
        <v>141.63799999999998</v>
      </c>
      <c r="FG50" s="14">
        <f t="shared" si="47"/>
        <v>36.671993881302122</v>
      </c>
      <c r="FH50" s="22">
        <f t="shared" si="22"/>
        <v>310.55657267660109</v>
      </c>
      <c r="FI50" s="62">
        <f t="shared" si="23"/>
        <v>542.6763208968448</v>
      </c>
      <c r="FJ50" s="62">
        <f ca="1">AVERAGE(OFFSET($FI$3,0,0,'Données projet'!$E$16+1,1))-AVERAGE(OFFSET($H$3,0,0,'Données projet'!$E$16+1,1))</f>
        <v>445.15313998584293</v>
      </c>
      <c r="FK50" s="62">
        <f t="shared" si="48"/>
        <v>272.85357736694834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4.2</v>
      </c>
      <c r="FZ50" s="13">
        <f>IF('Données projet'!$A$244&gt;35,FZ49+FY50-GH49,IF(A50&lt;'Données projet'!$A$244,$FW$205^A50,IF(A50='Données projet'!$A$244,'Données projet'!$B$244,FZ49+FY50-GH49)))</f>
        <v>128.39999999999998</v>
      </c>
      <c r="GA50" s="18">
        <f>FZ50*VLOOKUP('Données projet'!$B$17,Paramètres!$A$1:$I$89,3,0)*VLOOKUP('Données projet'!$B$17,Paramètres!$A$1:$I$89,5,0)</f>
        <v>112.17023999999999</v>
      </c>
      <c r="GB50" s="14">
        <f t="shared" si="49"/>
        <v>29.841727178418456</v>
      </c>
      <c r="GC50" s="22">
        <f t="shared" si="25"/>
        <v>247.3375095024121</v>
      </c>
      <c r="GD50" s="62">
        <f t="shared" si="26"/>
        <v>479.45725772265587</v>
      </c>
      <c r="GE50" s="62">
        <f ca="1">AVERAGE(OFFSET($GD$3,0,0,'Données projet'!$E$17+1,1))-AVERAGE(OFFSET($H$3,0,0,'Données projet'!$E$17+1,1))</f>
        <v>248.82613595888964</v>
      </c>
      <c r="GF50" s="62">
        <f t="shared" si="50"/>
        <v>255.8298580882084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135.66666666666666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6.4759615384615365</v>
      </c>
      <c r="N51" s="14">
        <f>IF('Données projet'!$A$36&gt;35,N50+M51-V50,IF(A51&lt;'Données projet'!$A$36,$K$205^A51,IF(A51='Données projet'!$A$36,'Données projet'!$B$36,N50+M51-V50)))</f>
        <v>164.52692307692308</v>
      </c>
      <c r="O51" s="14">
        <f>N51*VLOOKUP('Données projet'!$B$9,Paramètres!$A$1:$I$89,3,0)*VLOOKUP('Données projet'!$B$9,Paramètres!$A$1:$I$89,5,0)</f>
        <v>96.248250000000013</v>
      </c>
      <c r="P51" s="14">
        <f t="shared" si="33"/>
        <v>26.066215409845562</v>
      </c>
      <c r="Q51" s="22">
        <f t="shared" si="53"/>
        <v>213.03102725548104</v>
      </c>
      <c r="R51" s="62">
        <f t="shared" si="0"/>
        <v>446.21269432436259</v>
      </c>
      <c r="S51" s="62">
        <f ca="1">AVERAGE(OFFSET($R$3,0,0,'Données projet'!$E$9+1,1))-AVERAGE(OFFSET($H$3,0,0,'Données projet'!$E$9+1,1))</f>
        <v>221.18884567967481</v>
      </c>
      <c r="T51" s="62">
        <f t="shared" si="34"/>
        <v>189.31596996710888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1.8720833333333331</v>
      </c>
      <c r="AI51" s="14">
        <f>IF('Données projet'!$A$62&gt;35,AI50+AH51-AQ50,IF(A51&lt;'Données projet'!$A$62,$AF$205^A51,IF(A51='Données projet'!$A$62,'Données projet'!$B$62,AI50+AH51-AQ50)))</f>
        <v>70.643333333333359</v>
      </c>
      <c r="AJ51" s="14">
        <f>AI51*VLOOKUP('Données projet'!$B$10,Paramètres!$A$1:$I$89,3,0)*VLOOKUP('Données projet'!$B$10,Paramètres!$A$1:$I$89,5,0)</f>
        <v>81.381120000000024</v>
      </c>
      <c r="AK51" s="14">
        <f t="shared" si="35"/>
        <v>22.474538008777976</v>
      </c>
      <c r="AL51" s="22">
        <f t="shared" si="4"/>
        <v>180.88193769862167</v>
      </c>
      <c r="AM51" s="62">
        <f t="shared" si="5"/>
        <v>414.06360476750319</v>
      </c>
      <c r="AN51" s="62">
        <f ca="1">AVERAGE(OFFSET($AM$3,0,0,'Données projet'!$E$10+1,1))-AVERAGE(OFFSET($H$3,0,0,'Données projet'!$E$10+1,1))</f>
        <v>314.72063458462026</v>
      </c>
      <c r="AO51" s="62">
        <f t="shared" si="36"/>
        <v>216.4380325968244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4.6153846153846159</v>
      </c>
      <c r="BD51" s="13">
        <f>IF('Données projet'!$A$88&gt;35,BD50+BC51-BL50,IF(A51&lt;'Données projet'!$A$88,$BA$205^A51,IF(A51='Données projet'!$A$88,'Données projet'!$B$88,BD50+BC51-BL50)))</f>
        <v>140.12820512820511</v>
      </c>
      <c r="BE51" s="14">
        <f>BD51*VLOOKUP('Données projet'!$B$11,Paramètres!$A$1:$I$89,3,0)*VLOOKUP('Données projet'!$B$11,Paramètres!$A$1:$I$89,5,0)</f>
        <v>150.83399999999997</v>
      </c>
      <c r="BF51" s="14">
        <f t="shared" si="37"/>
        <v>38.768053909845577</v>
      </c>
      <c r="BG51" s="22">
        <f t="shared" si="7"/>
        <v>330.22357722631432</v>
      </c>
      <c r="BH51" s="62">
        <f t="shared" si="8"/>
        <v>563.40524429519587</v>
      </c>
      <c r="BI51" s="62">
        <f ca="1">AVERAGE(OFFSET($BH$3,0,0,'Données projet'!$E$11+1,1))-AVERAGE(OFFSET($H$3,0,0,'Données projet'!$E$11+1,1))</f>
        <v>455.26558725507834</v>
      </c>
      <c r="BJ51" s="62">
        <f t="shared" si="38"/>
        <v>278.60310966788552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3.5</v>
      </c>
      <c r="BY51" s="13">
        <f>IF('Données projet'!$A$114&gt;35,BY50+BX51-CG50,IF(A51&lt;'Données projet'!$A$114,$BV$205^A51,IF(A51='Données projet'!$A$114,'Données projet'!$B$114,BY50+BX51-CG50)))</f>
        <v>202.20000000000002</v>
      </c>
      <c r="BZ51" s="14">
        <f>BY51*VLOOKUP('Données projet'!$B$12,Paramètres!$A$1:$I$89,3,0)*VLOOKUP('Données projet'!$B$12,Paramètres!$A$1:$I$89,5,0)</f>
        <v>105.14400000000002</v>
      </c>
      <c r="CA51" s="14">
        <f t="shared" si="39"/>
        <v>28.183884120602002</v>
      </c>
      <c r="CB51" s="22">
        <f t="shared" si="10"/>
        <v>232.21273151004849</v>
      </c>
      <c r="CC51" s="62">
        <f t="shared" si="11"/>
        <v>465.39439857893001</v>
      </c>
      <c r="CD51" s="62">
        <f ca="1">AVERAGE(OFFSET($CC$3,0,0,'Données projet'!$E$12+1,1))-AVERAGE(OFFSET($H$3,0,0,'Données projet'!$E$12+1,1))</f>
        <v>300.72820267660154</v>
      </c>
      <c r="CE51" s="62">
        <f t="shared" si="40"/>
        <v>228.35388778608589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4.6153846153846159</v>
      </c>
      <c r="CT51" s="13">
        <f>IF('Données projet'!$A$140&gt;35,CT50+CS51-DB50,IF(A51&lt;'Données projet'!$A$140,$CQ$205^A51,IF(A51='Données projet'!$A$140,'Données projet'!$B$140,CT50+CS51-DB50)))</f>
        <v>140.12820512820511</v>
      </c>
      <c r="CU51" s="18">
        <f>CT51*VLOOKUP('Données projet'!$B$13,Paramètres!$A$1:$I$89,3,0)*VLOOKUP('Données projet'!$B$13,Paramètres!$A$1:$I$89,5,0)</f>
        <v>120.23</v>
      </c>
      <c r="CV51" s="14">
        <f t="shared" si="41"/>
        <v>31.728637037400738</v>
      </c>
      <c r="CW51" s="22">
        <f t="shared" si="13"/>
        <v>264.66129284013959</v>
      </c>
      <c r="CX51" s="62">
        <f t="shared" si="14"/>
        <v>497.84295990902115</v>
      </c>
      <c r="CY51" s="62">
        <f ca="1">AVERAGE(OFFSET($CX$3,0,0,'Données projet'!$E$13+1,1))-AVERAGE(OFFSET($H$3,0,0,'Données projet'!$E$13+1,1))</f>
        <v>384.3367849108829</v>
      </c>
      <c r="CZ51" s="62">
        <f t="shared" si="42"/>
        <v>238.2697272367603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11.615384615384608</v>
      </c>
      <c r="DO51" s="13">
        <f>IF('Données projet'!$A$166&gt;35,DO50+DN51-DW50,IF(A51&lt;'Données projet'!$A$166,$DL$205^A51,IF(A51='Données projet'!$A$166,'Données projet'!$B$166,DO50+DN51-DW50)))</f>
        <v>286.99230769230758</v>
      </c>
      <c r="DP51" s="18">
        <f>DO51*VLOOKUP('Données projet'!$B$14,Paramètres!$A$1:$I$89,3,0)*VLOOKUP('Données projet'!$B$14,Paramètres!$A$1:$I$89,5,0)</f>
        <v>134.31239999999994</v>
      </c>
      <c r="DQ51" s="14">
        <f t="shared" si="43"/>
        <v>34.990927885997522</v>
      </c>
      <c r="DR51" s="22">
        <f t="shared" si="16"/>
        <v>294.86996273477894</v>
      </c>
      <c r="DS51" s="62">
        <f t="shared" si="17"/>
        <v>528.05162980366049</v>
      </c>
      <c r="DT51" s="62">
        <f ca="1">AVERAGE(OFFSET($DS$3,0,0,'Données projet'!$E$14+1,1))-AVERAGE(OFFSET($H$3,0,0,'Données projet'!$E$14+1,1))</f>
        <v>304.1100958939968</v>
      </c>
      <c r="DU51" s="62">
        <f t="shared" si="44"/>
        <v>184.1255966824568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4.6153846153846159</v>
      </c>
      <c r="EJ51" s="13">
        <f>IF('Données projet'!$A$192&gt;35,EJ50+EI51-ER50,IF(A51&lt;'Données projet'!$A$192,$EG$205^A51,IF(A51='Données projet'!$A$192,'Données projet'!$B$192,EJ50+EI51-ER50)))</f>
        <v>140.12820512820511</v>
      </c>
      <c r="EK51" s="18">
        <f>EJ51*VLOOKUP('Données projet'!$B$15,Paramètres!$A$1:$I$89,3,0)*VLOOKUP('Données projet'!$B$15,Paramètres!$A$1:$I$89,5,0)</f>
        <v>142.09</v>
      </c>
      <c r="EL51" s="14">
        <f t="shared" si="45"/>
        <v>36.775381446224245</v>
      </c>
      <c r="EM51" s="22">
        <f t="shared" si="19"/>
        <v>311.52387268550723</v>
      </c>
      <c r="EN51" s="62">
        <f t="shared" si="20"/>
        <v>544.70553975438884</v>
      </c>
      <c r="EO51" s="62">
        <f ca="1">AVERAGE(OFFSET($EN$3,0,0,'Données projet'!$E$15+1,1))-AVERAGE(OFFSET($H$3,0,0,'Données projet'!$E$15+1,1))</f>
        <v>435.03433721979218</v>
      </c>
      <c r="EP51" s="62">
        <f t="shared" si="46"/>
        <v>267.10015759286387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4.6153846153846159</v>
      </c>
      <c r="FE51" s="13">
        <f>IF('Données projet'!$A$218&gt;35,FE50+FD51-FM50,IF(A51&lt;'Données projet'!$A$218,$FB$205^A51,IF(A51='Données projet'!$A$218,'Données projet'!$B$218,FE50+FD51-FM50)))</f>
        <v>140.12820512820511</v>
      </c>
      <c r="FF51" s="18">
        <f>FE51*VLOOKUP('Données projet'!$B$16,Paramètres!$A$1:$I$89,3,0)*VLOOKUP('Données projet'!$B$16,Paramètres!$A$1:$I$89,5,0)</f>
        <v>146.46199999999999</v>
      </c>
      <c r="FG51" s="14">
        <f t="shared" si="47"/>
        <v>37.773448896739666</v>
      </c>
      <c r="FH51" s="22">
        <f t="shared" si="22"/>
        <v>320.8767401618216</v>
      </c>
      <c r="FI51" s="62">
        <f t="shared" si="23"/>
        <v>554.0584072307031</v>
      </c>
      <c r="FJ51" s="62">
        <f ca="1">AVERAGE(OFFSET($FI$3,0,0,'Données projet'!$E$16+1,1))-AVERAGE(OFFSET($H$3,0,0,'Données projet'!$E$16+1,1))</f>
        <v>445.15313998584293</v>
      </c>
      <c r="FK51" s="62">
        <f t="shared" si="48"/>
        <v>272.85357736694834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4.2</v>
      </c>
      <c r="FZ51" s="13">
        <f>IF('Données projet'!$A$244&gt;35,FZ50+FY51-GH50,IF(A51&lt;'Données projet'!$A$244,$FW$205^A51,IF(A51='Données projet'!$A$244,'Données projet'!$B$244,FZ50+FY51-GH50)))</f>
        <v>132.59999999999997</v>
      </c>
      <c r="GA51" s="18">
        <f>FZ51*VLOOKUP('Données projet'!$B$17,Paramètres!$A$1:$I$89,3,0)*VLOOKUP('Données projet'!$B$17,Paramètres!$A$1:$I$89,5,0)</f>
        <v>115.83935999999999</v>
      </c>
      <c r="GB51" s="14">
        <f t="shared" si="49"/>
        <v>30.70261441799703</v>
      </c>
      <c r="GC51" s="22">
        <f t="shared" si="25"/>
        <v>255.22727211134475</v>
      </c>
      <c r="GD51" s="62">
        <f t="shared" si="26"/>
        <v>488.4089391802263</v>
      </c>
      <c r="GE51" s="62">
        <f ca="1">AVERAGE(OFFSET($GD$3,0,0,'Données projet'!$E$17+1,1))-AVERAGE(OFFSET($H$3,0,0,'Données projet'!$E$17+1,1))</f>
        <v>248.82613595888964</v>
      </c>
      <c r="GF51" s="62">
        <f t="shared" si="50"/>
        <v>255.8298580882084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135.66666666666666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6.4759615384615365</v>
      </c>
      <c r="N52" s="14">
        <f>IF('Données projet'!$A$36&gt;35,N51+M52-V51,IF(A52&lt;'Données projet'!$A$36,$K$205^A52,IF(A52='Données projet'!$A$36,'Données projet'!$B$36,N51+M52-V51)))</f>
        <v>171.00288461538463</v>
      </c>
      <c r="O52" s="14">
        <f>N52*VLOOKUP('Données projet'!$B$9,Paramètres!$A$1:$I$89,3,0)*VLOOKUP('Données projet'!$B$9,Paramètres!$A$1:$I$89,5,0)</f>
        <v>100.03668750000001</v>
      </c>
      <c r="P52" s="14">
        <f t="shared" si="33"/>
        <v>26.970737652719411</v>
      </c>
      <c r="Q52" s="22">
        <f t="shared" si="53"/>
        <v>221.20459880765301</v>
      </c>
      <c r="R52" s="62">
        <f t="shared" si="0"/>
        <v>455.42976280724349</v>
      </c>
      <c r="S52" s="62">
        <f ca="1">AVERAGE(OFFSET($R$3,0,0,'Données projet'!$E$9+1,1))-AVERAGE(OFFSET($H$3,0,0,'Données projet'!$E$9+1,1))</f>
        <v>221.18884567967481</v>
      </c>
      <c r="T52" s="62">
        <f t="shared" si="34"/>
        <v>189.31596996710888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1.8720833333333331</v>
      </c>
      <c r="AI52" s="14">
        <f>IF('Données projet'!$A$62&gt;35,AI51+AH52-AQ51,IF(A52&lt;'Données projet'!$A$62,$AF$205^A52,IF(A52='Données projet'!$A$62,'Données projet'!$B$62,AI51+AH52-AQ51)))</f>
        <v>72.515416666666695</v>
      </c>
      <c r="AJ52" s="14">
        <f>AI52*VLOOKUP('Données projet'!$B$10,Paramètres!$A$1:$I$89,3,0)*VLOOKUP('Données projet'!$B$10,Paramètres!$A$1:$I$89,5,0)</f>
        <v>83.537760000000034</v>
      </c>
      <c r="AK52" s="14">
        <f t="shared" si="35"/>
        <v>22.999994372723616</v>
      </c>
      <c r="AL52" s="22">
        <f t="shared" si="4"/>
        <v>185.55325553249369</v>
      </c>
      <c r="AM52" s="62">
        <f t="shared" si="5"/>
        <v>419.77841953208417</v>
      </c>
      <c r="AN52" s="62">
        <f ca="1">AVERAGE(OFFSET($AM$3,0,0,'Données projet'!$E$10+1,1))-AVERAGE(OFFSET($H$3,0,0,'Données projet'!$E$10+1,1))</f>
        <v>314.72063458462026</v>
      </c>
      <c r="AO52" s="62">
        <f t="shared" si="36"/>
        <v>216.4380325968244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4.6153846153846159</v>
      </c>
      <c r="BD52" s="13">
        <f>IF('Données projet'!$A$88&gt;35,BD51+BC52-BL51,IF(A52&lt;'Données projet'!$A$88,$BA$205^A52,IF(A52='Données projet'!$A$88,'Données projet'!$B$88,BD51+BC52-BL51)))</f>
        <v>144.74358974358972</v>
      </c>
      <c r="BE52" s="14">
        <f>BD52*VLOOKUP('Données projet'!$B$11,Paramètres!$A$1:$I$89,3,0)*VLOOKUP('Données projet'!$B$11,Paramètres!$A$1:$I$89,5,0)</f>
        <v>155.80199999999996</v>
      </c>
      <c r="BF52" s="14">
        <f t="shared" si="37"/>
        <v>39.894184579215889</v>
      </c>
      <c r="BG52" s="22">
        <f t="shared" si="7"/>
        <v>340.83752147546761</v>
      </c>
      <c r="BH52" s="62">
        <f t="shared" si="8"/>
        <v>575.06268547505806</v>
      </c>
      <c r="BI52" s="62">
        <f ca="1">AVERAGE(OFFSET($BH$3,0,0,'Données projet'!$E$11+1,1))-AVERAGE(OFFSET($H$3,0,0,'Données projet'!$E$11+1,1))</f>
        <v>455.26558725507834</v>
      </c>
      <c r="BJ52" s="62">
        <f t="shared" si="38"/>
        <v>278.60310966788552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3.5</v>
      </c>
      <c r="BY52" s="13">
        <f>IF('Données projet'!$A$114&gt;35,BY51+BX52-CG51,IF(A52&lt;'Données projet'!$A$114,$BV$205^A52,IF(A52='Données projet'!$A$114,'Données projet'!$B$114,BY51+BX52-CG51)))</f>
        <v>205.70000000000002</v>
      </c>
      <c r="BZ52" s="14">
        <f>BY52*VLOOKUP('Données projet'!$B$12,Paramètres!$A$1:$I$89,3,0)*VLOOKUP('Données projet'!$B$12,Paramètres!$A$1:$I$89,5,0)</f>
        <v>106.96400000000003</v>
      </c>
      <c r="CA52" s="14">
        <f t="shared" si="39"/>
        <v>28.614518306762253</v>
      </c>
      <c r="CB52" s="22">
        <f t="shared" si="10"/>
        <v>236.1325860509443</v>
      </c>
      <c r="CC52" s="62">
        <f t="shared" si="11"/>
        <v>470.35775005053472</v>
      </c>
      <c r="CD52" s="62">
        <f ca="1">AVERAGE(OFFSET($CC$3,0,0,'Données projet'!$E$12+1,1))-AVERAGE(OFFSET($H$3,0,0,'Données projet'!$E$12+1,1))</f>
        <v>300.72820267660154</v>
      </c>
      <c r="CE52" s="62">
        <f t="shared" si="40"/>
        <v>228.35388778608589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4.6153846153846159</v>
      </c>
      <c r="CT52" s="13">
        <f>IF('Données projet'!$A$140&gt;35,CT51+CS52-DB51,IF(A52&lt;'Données projet'!$A$140,$CQ$205^A52,IF(A52='Données projet'!$A$140,'Données projet'!$B$140,CT51+CS52-DB51)))</f>
        <v>144.74358974358972</v>
      </c>
      <c r="CU52" s="18">
        <f>CT52*VLOOKUP('Données projet'!$B$13,Paramètres!$A$1:$I$89,3,0)*VLOOKUP('Données projet'!$B$13,Paramètres!$A$1:$I$89,5,0)</f>
        <v>124.19</v>
      </c>
      <c r="CV52" s="14">
        <f t="shared" si="41"/>
        <v>32.650287408302169</v>
      </c>
      <c r="CW52" s="22">
        <f t="shared" si="13"/>
        <v>273.16350056945959</v>
      </c>
      <c r="CX52" s="62">
        <f t="shared" si="14"/>
        <v>507.38866456905004</v>
      </c>
      <c r="CY52" s="62">
        <f ca="1">AVERAGE(OFFSET($CX$3,0,0,'Données projet'!$E$13+1,1))-AVERAGE(OFFSET($H$3,0,0,'Données projet'!$E$13+1,1))</f>
        <v>384.3367849108829</v>
      </c>
      <c r="CZ52" s="62">
        <f t="shared" si="42"/>
        <v>238.2697272367603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11.615384615384608</v>
      </c>
      <c r="DO52" s="13">
        <f>IF('Données projet'!$A$166&gt;35,DO51+DN52-DW51,IF(A52&lt;'Données projet'!$A$166,$DL$205^A52,IF(A52='Données projet'!$A$166,'Données projet'!$B$166,DO51+DN52-DW51)))</f>
        <v>298.60769230769216</v>
      </c>
      <c r="DP52" s="18">
        <f>DO52*VLOOKUP('Données projet'!$B$14,Paramètres!$A$1:$I$89,3,0)*VLOOKUP('Données projet'!$B$14,Paramètres!$A$1:$I$89,5,0)</f>
        <v>139.74839999999992</v>
      </c>
      <c r="DQ52" s="14">
        <f t="shared" si="43"/>
        <v>36.239361435480362</v>
      </c>
      <c r="DR52" s="22">
        <f t="shared" si="16"/>
        <v>306.51201783346147</v>
      </c>
      <c r="DS52" s="62">
        <f t="shared" si="17"/>
        <v>540.73718183305186</v>
      </c>
      <c r="DT52" s="62">
        <f ca="1">AVERAGE(OFFSET($DS$3,0,0,'Données projet'!$E$14+1,1))-AVERAGE(OFFSET($H$3,0,0,'Données projet'!$E$14+1,1))</f>
        <v>304.1100958939968</v>
      </c>
      <c r="DU52" s="62">
        <f t="shared" si="44"/>
        <v>184.1255966824568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4.6153846153846159</v>
      </c>
      <c r="EJ52" s="13">
        <f>IF('Données projet'!$A$192&gt;35,EJ51+EI52-ER51,IF(A52&lt;'Données projet'!$A$192,$EG$205^A52,IF(A52='Données projet'!$A$192,'Données projet'!$B$192,EJ51+EI52-ER51)))</f>
        <v>144.74358974358972</v>
      </c>
      <c r="EK52" s="18">
        <f>EJ52*VLOOKUP('Données projet'!$B$15,Paramètres!$A$1:$I$89,3,0)*VLOOKUP('Données projet'!$B$15,Paramètres!$A$1:$I$89,5,0)</f>
        <v>146.77000000000001</v>
      </c>
      <c r="EL52" s="14">
        <f t="shared" si="45"/>
        <v>37.843629159165744</v>
      </c>
      <c r="EM52" s="22">
        <f t="shared" si="19"/>
        <v>321.53540411888031</v>
      </c>
      <c r="EN52" s="62">
        <f t="shared" si="20"/>
        <v>555.7605681184707</v>
      </c>
      <c r="EO52" s="62">
        <f ca="1">AVERAGE(OFFSET($EN$3,0,0,'Données projet'!$E$15+1,1))-AVERAGE(OFFSET($H$3,0,0,'Données projet'!$E$15+1,1))</f>
        <v>435.03433721979218</v>
      </c>
      <c r="EP52" s="62">
        <f t="shared" si="46"/>
        <v>267.10015759286387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4.6153846153846159</v>
      </c>
      <c r="FE52" s="13">
        <f>IF('Données projet'!$A$218&gt;35,FE51+FD52-FM51,IF(A52&lt;'Données projet'!$A$218,$FB$205^A52,IF(A52='Données projet'!$A$218,'Données projet'!$B$218,FE51+FD52-FM51)))</f>
        <v>144.74358974358972</v>
      </c>
      <c r="FF52" s="18">
        <f>FE52*VLOOKUP('Données projet'!$B$16,Paramètres!$A$1:$I$89,3,0)*VLOOKUP('Données projet'!$B$16,Paramètres!$A$1:$I$89,5,0)</f>
        <v>151.286</v>
      </c>
      <c r="FG52" s="14">
        <f t="shared" si="47"/>
        <v>38.870688376168573</v>
      </c>
      <c r="FH52" s="22">
        <f t="shared" si="22"/>
        <v>331.18956558849356</v>
      </c>
      <c r="FI52" s="62">
        <f t="shared" si="23"/>
        <v>565.41472958808401</v>
      </c>
      <c r="FJ52" s="62">
        <f ca="1">AVERAGE(OFFSET($FI$3,0,0,'Données projet'!$E$16+1,1))-AVERAGE(OFFSET($H$3,0,0,'Données projet'!$E$16+1,1))</f>
        <v>445.15313998584293</v>
      </c>
      <c r="FK52" s="62">
        <f t="shared" si="48"/>
        <v>272.85357736694834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4.2</v>
      </c>
      <c r="FZ52" s="13">
        <f>IF('Données projet'!$A$244&gt;35,FZ51+FY52-GH51,IF(A52&lt;'Données projet'!$A$244,$FW$205^A52,IF(A52='Données projet'!$A$244,'Données projet'!$B$244,FZ51+FY52-GH51)))</f>
        <v>136.79999999999995</v>
      </c>
      <c r="GA52" s="18">
        <f>FZ52*VLOOKUP('Données projet'!$B$17,Paramètres!$A$1:$I$89,3,0)*VLOOKUP('Données projet'!$B$17,Paramètres!$A$1:$I$89,5,0)</f>
        <v>119.50847999999996</v>
      </c>
      <c r="GB52" s="14">
        <f t="shared" si="49"/>
        <v>31.560332955588962</v>
      </c>
      <c r="GC52" s="22">
        <f t="shared" si="25"/>
        <v>263.11151589765069</v>
      </c>
      <c r="GD52" s="62">
        <f t="shared" si="26"/>
        <v>497.33667989724114</v>
      </c>
      <c r="GE52" s="62">
        <f ca="1">AVERAGE(OFFSET($GD$3,0,0,'Données projet'!$E$17+1,1))-AVERAGE(OFFSET($H$3,0,0,'Données projet'!$E$17+1,1))</f>
        <v>248.82613595888964</v>
      </c>
      <c r="GF52" s="62">
        <f t="shared" si="50"/>
        <v>255.8298580882084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135.66666666666666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6.4759615384615365</v>
      </c>
      <c r="N53" s="14">
        <f>IF('Données projet'!$A$36&gt;35,N52+M53-V52,IF(A53&lt;'Données projet'!$A$36,$K$205^A53,IF(A53='Données projet'!$A$36,'Données projet'!$B$36,N52+M53-V52)))</f>
        <v>177.47884615384618</v>
      </c>
      <c r="O53" s="14">
        <f>N53*VLOOKUP('Données projet'!$B$9,Paramètres!$A$1:$I$89,3,0)*VLOOKUP('Données projet'!$B$9,Paramètres!$A$1:$I$89,5,0)</f>
        <v>103.82512500000003</v>
      </c>
      <c r="P53" s="14">
        <f t="shared" si="33"/>
        <v>27.871280419904867</v>
      </c>
      <c r="Q53" s="22">
        <f t="shared" si="53"/>
        <v>229.37123943966768</v>
      </c>
      <c r="R53" s="62">
        <f t="shared" si="0"/>
        <v>464.62179803112883</v>
      </c>
      <c r="S53" s="62">
        <f ca="1">AVERAGE(OFFSET($R$3,0,0,'Données projet'!$E$9+1,1))-AVERAGE(OFFSET($H$3,0,0,'Données projet'!$E$9+1,1))</f>
        <v>221.18884567967481</v>
      </c>
      <c r="T53" s="62">
        <f t="shared" si="34"/>
        <v>189.31596996710888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74.387500000000003</v>
      </c>
      <c r="AG53" s="13">
        <f>VLOOKUP(A53,'Données projet'!$A$61:$I$81,9,0)</f>
        <v>1.8720833333333331</v>
      </c>
      <c r="AH53" s="13">
        <f t="array" ref="AH53">INDEX(AG:AG,MIN(IF(ISNUMBER(AG53:AG249),ROW(AG53:AG249),"")))</f>
        <v>1.8720833333333331</v>
      </c>
      <c r="AI53" s="14">
        <f>IF('Données projet'!$A$62&gt;35,AI52+AH53-AQ52,IF(A53&lt;'Données projet'!$A$62,$AF$205^A53,IF(A53='Données projet'!$A$62,'Données projet'!$B$62,AI52+AH53-AQ52)))</f>
        <v>74.387500000000031</v>
      </c>
      <c r="AJ53" s="14">
        <f>AI53*VLOOKUP('Données projet'!$B$10,Paramètres!$A$1:$I$89,3,0)*VLOOKUP('Données projet'!$B$10,Paramètres!$A$1:$I$89,5,0)</f>
        <v>85.694400000000016</v>
      </c>
      <c r="AK53" s="14">
        <f t="shared" si="35"/>
        <v>23.523873913177109</v>
      </c>
      <c r="AL53" s="22">
        <f t="shared" si="4"/>
        <v>190.22182706545016</v>
      </c>
      <c r="AM53" s="62">
        <f t="shared" si="5"/>
        <v>425.47238565691134</v>
      </c>
      <c r="AN53" s="62">
        <f ca="1">AVERAGE(OFFSET($AM$3,0,0,'Données projet'!$E$10+1,1))-AVERAGE(OFFSET($H$3,0,0,'Données projet'!$E$10+1,1))</f>
        <v>314.72063458462026</v>
      </c>
      <c r="AO53" s="62">
        <f t="shared" si="36"/>
        <v>216.4380325968244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7.7500000000000009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149.35897435897436</v>
      </c>
      <c r="BB53" s="13">
        <f>VLOOKUP(A53,'Données projet'!$A$87:$I$107,9,0)</f>
        <v>4.6153846153846159</v>
      </c>
      <c r="BC53" s="13">
        <f t="array" ref="BC53">INDEX(BB:BB,MIN(IF(ISNUMBER(BB53:BB249),ROW(BB53:BB249),"")))</f>
        <v>4.6153846153846159</v>
      </c>
      <c r="BD53" s="13">
        <f>IF('Données projet'!$A$88&gt;35,BD52+BC53-BL52,IF(A53&lt;'Données projet'!$A$88,$BA$205^A53,IF(A53='Données projet'!$A$88,'Données projet'!$B$88,BD52+BC53-BL52)))</f>
        <v>149.35897435897434</v>
      </c>
      <c r="BE53" s="14">
        <f>BD53*VLOOKUP('Données projet'!$B$11,Paramètres!$A$1:$I$89,3,0)*VLOOKUP('Données projet'!$B$11,Paramètres!$A$1:$I$89,5,0)</f>
        <v>160.76999999999995</v>
      </c>
      <c r="BF53" s="14">
        <f t="shared" si="37"/>
        <v>41.016142498539807</v>
      </c>
      <c r="BG53" s="22">
        <f t="shared" si="7"/>
        <v>351.44419818495675</v>
      </c>
      <c r="BH53" s="62">
        <f t="shared" si="8"/>
        <v>586.69475677641799</v>
      </c>
      <c r="BI53" s="62">
        <f ca="1">AVERAGE(OFFSET($BH$3,0,0,'Données projet'!$E$11+1,1))-AVERAGE(OFFSET($H$3,0,0,'Données projet'!$E$11+1,1))</f>
        <v>455.26558725507834</v>
      </c>
      <c r="BJ53" s="62">
        <f t="shared" si="38"/>
        <v>278.60310966788552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18.589743589743588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209.2</v>
      </c>
      <c r="BW53" s="13">
        <f>VLOOKUP(A53,'Données projet'!$A$113:$I$133,9,0)</f>
        <v>3.5</v>
      </c>
      <c r="BX53" s="13">
        <f t="array" ref="BX53">INDEX(BW:BW,MIN(IF(ISNUMBER(BW53:BW249),ROW(BW53:BW249),"")))</f>
        <v>3.5</v>
      </c>
      <c r="BY53" s="13">
        <f>IF('Données projet'!$A$114&gt;35,BY52+BX53-CG52,IF(A53&lt;'Données projet'!$A$114,$BV$205^A53,IF(A53='Données projet'!$A$114,'Données projet'!$B$114,BY52+BX53-CG52)))</f>
        <v>209.20000000000002</v>
      </c>
      <c r="BZ53" s="14">
        <f>BY53*VLOOKUP('Données projet'!$B$12,Paramètres!$A$1:$I$89,3,0)*VLOOKUP('Données projet'!$B$12,Paramètres!$A$1:$I$89,5,0)</f>
        <v>108.78400000000001</v>
      </c>
      <c r="CA53" s="14">
        <f t="shared" si="39"/>
        <v>29.044300399150487</v>
      </c>
      <c r="CB53" s="22">
        <f t="shared" si="10"/>
        <v>240.05095652852046</v>
      </c>
      <c r="CC53" s="62">
        <f t="shared" si="11"/>
        <v>475.30151511998167</v>
      </c>
      <c r="CD53" s="62">
        <f ca="1">AVERAGE(OFFSET($CC$3,0,0,'Données projet'!$E$12+1,1))-AVERAGE(OFFSET($H$3,0,0,'Données projet'!$E$12+1,1))</f>
        <v>300.72820267660154</v>
      </c>
      <c r="CE53" s="62">
        <f t="shared" si="40"/>
        <v>228.35388778608589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149.35897435897436</v>
      </c>
      <c r="CR53" s="13">
        <f>VLOOKUP(A53,'Données projet'!$A$139:$I$159,9,0)</f>
        <v>4.6153846153846159</v>
      </c>
      <c r="CS53" s="13">
        <f t="array" ref="CS53">INDEX(CR:CR,MIN(IF(ISNUMBER(CR53:CR249),ROW(CR53:CR249),"")))</f>
        <v>4.6153846153846159</v>
      </c>
      <c r="CT53" s="13">
        <f>IF('Données projet'!$A$140&gt;35,CT52+CS53-DB52,IF(A53&lt;'Données projet'!$A$140,$CQ$205^A53,IF(A53='Données projet'!$A$140,'Données projet'!$B$140,CT52+CS53-DB52)))</f>
        <v>149.35897435897434</v>
      </c>
      <c r="CU53" s="18">
        <f>CT53*VLOOKUP('Données projet'!$B$13,Paramètres!$A$1:$I$89,3,0)*VLOOKUP('Données projet'!$B$13,Paramètres!$A$1:$I$89,5,0)</f>
        <v>128.15</v>
      </c>
      <c r="CV53" s="14">
        <f t="shared" si="41"/>
        <v>33.568522707815788</v>
      </c>
      <c r="CW53" s="22">
        <f t="shared" si="13"/>
        <v>281.65976038277915</v>
      </c>
      <c r="CX53" s="62">
        <f t="shared" si="14"/>
        <v>516.91031897424034</v>
      </c>
      <c r="CY53" s="62">
        <f ca="1">AVERAGE(OFFSET($CX$3,0,0,'Données projet'!$E$13+1,1))-AVERAGE(OFFSET($H$3,0,0,'Données projet'!$E$13+1,1))</f>
        <v>384.3367849108829</v>
      </c>
      <c r="CZ53" s="62">
        <f t="shared" si="42"/>
        <v>238.2697272367603</v>
      </c>
      <c r="DA53" s="16">
        <f>IF(ISNA(VLOOKUP(A53,'Données projet'!$A$139:$I$159,3,0)),0,VLOOKUP(A53,'Données projet'!$A$139:$I$159,3,0))</f>
        <v>3</v>
      </c>
      <c r="DB53" s="16">
        <f>IF(ISNA(VLOOKUP(A53,'Données projet'!$A$139:$I$159,4,0)),0,VLOOKUP(A53,'Données projet'!$A$139:$I$159,4,0))</f>
        <v>18.589743589743588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11.615384615384608</v>
      </c>
      <c r="DO53" s="13">
        <f>IF('Données projet'!$A$166&gt;35,DO52+DN53-DW52,IF(A53&lt;'Données projet'!$A$166,$DL$205^A53,IF(A53='Données projet'!$A$166,'Données projet'!$B$166,DO52+DN53-DW52)))</f>
        <v>310.22307692307675</v>
      </c>
      <c r="DP53" s="18">
        <f>DO53*VLOOKUP('Données projet'!$B$14,Paramètres!$A$1:$I$89,3,0)*VLOOKUP('Données projet'!$B$14,Paramètres!$A$1:$I$89,5,0)</f>
        <v>145.18439999999993</v>
      </c>
      <c r="DQ53" s="14">
        <f t="shared" si="43"/>
        <v>37.482153624096057</v>
      </c>
      <c r="DR53" s="22">
        <f t="shared" si="16"/>
        <v>318.14424756196712</v>
      </c>
      <c r="DS53" s="62">
        <f t="shared" si="17"/>
        <v>553.39480615342836</v>
      </c>
      <c r="DT53" s="62">
        <f ca="1">AVERAGE(OFFSET($DS$3,0,0,'Données projet'!$E$14+1,1))-AVERAGE(OFFSET($H$3,0,0,'Données projet'!$E$14+1,1))</f>
        <v>304.1100958939968</v>
      </c>
      <c r="DU53" s="62">
        <f t="shared" si="44"/>
        <v>184.1255966824568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149.35897435897436</v>
      </c>
      <c r="EH53" s="13">
        <f>VLOOKUP(A53,'Données projet'!$A$191:$I$211,9,0)</f>
        <v>4.6153846153846159</v>
      </c>
      <c r="EI53" s="13">
        <f t="array" ref="EI53">INDEX(EH:EH,MIN(IF(ISNUMBER(EH53:EH249),ROW(EH53:EH249),"")))</f>
        <v>4.6153846153846159</v>
      </c>
      <c r="EJ53" s="13">
        <f>IF('Données projet'!$A$192&gt;35,EJ52+EI53-ER52,IF(A53&lt;'Données projet'!$A$192,$EG$205^A53,IF(A53='Données projet'!$A$192,'Données projet'!$B$192,EJ52+EI53-ER52)))</f>
        <v>149.35897435897434</v>
      </c>
      <c r="EK53" s="18">
        <f>EJ53*VLOOKUP('Données projet'!$B$15,Paramètres!$A$1:$I$89,3,0)*VLOOKUP('Données projet'!$B$15,Paramètres!$A$1:$I$89,5,0)</f>
        <v>151.44999999999999</v>
      </c>
      <c r="EL53" s="14">
        <f t="shared" si="45"/>
        <v>38.907918600820452</v>
      </c>
      <c r="EM53" s="22">
        <f t="shared" si="19"/>
        <v>331.5400415630956</v>
      </c>
      <c r="EN53" s="62">
        <f t="shared" si="20"/>
        <v>566.79060015455684</v>
      </c>
      <c r="EO53" s="62">
        <f ca="1">AVERAGE(OFFSET($EN$3,0,0,'Données projet'!$E$15+1,1))-AVERAGE(OFFSET($H$3,0,0,'Données projet'!$E$15+1,1))</f>
        <v>435.03433721979218</v>
      </c>
      <c r="EP53" s="62">
        <f t="shared" si="46"/>
        <v>267.10015759286387</v>
      </c>
      <c r="EQ53" s="16">
        <f>IF(ISNA(VLOOKUP(A53,'Données projet'!$A$191:$I$211,3,0)),0,VLOOKUP(A53,'Données projet'!$A$191:$I$211,3,0))</f>
        <v>3</v>
      </c>
      <c r="ER53" s="16">
        <f>IF(ISNA(VLOOKUP(A53,'Données projet'!$A$191:$I$211,4,0)),0,VLOOKUP(A53,'Données projet'!$A$191:$I$211,4,0))</f>
        <v>18.589743589743588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149.35897435897436</v>
      </c>
      <c r="FC53" s="13">
        <f>VLOOKUP(A53,'Données projet'!$A$217:$I$237,9,0)</f>
        <v>4.6153846153846159</v>
      </c>
      <c r="FD53" s="13">
        <f t="array" ref="FD53">INDEX(FC:FC,MIN(IF(ISNUMBER(FC53:FC249),ROW(FC53:FC249),"")))</f>
        <v>4.6153846153846159</v>
      </c>
      <c r="FE53" s="13">
        <f>IF('Données projet'!$A$218&gt;35,FE52+FD53-FM52,IF(A53&lt;'Données projet'!$A$218,$FB$205^A53,IF(A53='Données projet'!$A$218,'Données projet'!$B$218,FE52+FD53-FM52)))</f>
        <v>149.35897435897434</v>
      </c>
      <c r="FF53" s="18">
        <f>FE53*VLOOKUP('Données projet'!$B$16,Paramètres!$A$1:$I$89,3,0)*VLOOKUP('Données projet'!$B$16,Paramètres!$A$1:$I$89,5,0)</f>
        <v>156.11000000000001</v>
      </c>
      <c r="FG53" s="14">
        <f t="shared" si="47"/>
        <v>39.963862158593372</v>
      </c>
      <c r="FH53" s="22">
        <f t="shared" si="22"/>
        <v>341.49530992621681</v>
      </c>
      <c r="FI53" s="62">
        <f t="shared" si="23"/>
        <v>576.74586851767799</v>
      </c>
      <c r="FJ53" s="62">
        <f ca="1">AVERAGE(OFFSET($FI$3,0,0,'Données projet'!$E$16+1,1))-AVERAGE(OFFSET($H$3,0,0,'Données projet'!$E$16+1,1))</f>
        <v>445.15313998584293</v>
      </c>
      <c r="FK53" s="62">
        <f t="shared" si="48"/>
        <v>272.85357736694834</v>
      </c>
      <c r="FL53" s="16">
        <f>IF(ISNA(VLOOKUP(A53,'Données projet'!$A$217:$I$237,3,0)),0,VLOOKUP(A53,'Données projet'!$A$217:$I$237,3,0))</f>
        <v>3</v>
      </c>
      <c r="FM53" s="16">
        <f>IF(ISNA(VLOOKUP(A53,'Données projet'!$A$217:$I$237,4,0)),0,VLOOKUP(A53,'Données projet'!$A$217:$I$237,4,0))</f>
        <v>18.589743589743588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141</v>
      </c>
      <c r="FX53" s="13">
        <f>VLOOKUP(A53,'Données projet'!$A$243:$I$263,9,0)</f>
        <v>4.2</v>
      </c>
      <c r="FY53" s="13">
        <f t="array" ref="FY53">INDEX(FX:FX,MIN(IF(ISNUMBER(FX53:FX249),ROW(FX53:FX249),"")))</f>
        <v>4.2</v>
      </c>
      <c r="FZ53" s="13">
        <f>IF('Données projet'!$A$244&gt;35,FZ52+FY53-GH52,IF(A53&lt;'Données projet'!$A$244,$FW$205^A53,IF(A53='Données projet'!$A$244,'Données projet'!$B$244,FZ52+FY53-GH52)))</f>
        <v>140.99999999999994</v>
      </c>
      <c r="GA53" s="18">
        <f>FZ53*VLOOKUP('Données projet'!$B$17,Paramètres!$A$1:$I$89,3,0)*VLOOKUP('Données projet'!$B$17,Paramètres!$A$1:$I$89,5,0)</f>
        <v>123.17759999999997</v>
      </c>
      <c r="GB53" s="14">
        <f t="shared" si="49"/>
        <v>32.414991240570416</v>
      </c>
      <c r="GC53" s="22">
        <f t="shared" si="25"/>
        <v>270.99042974399339</v>
      </c>
      <c r="GD53" s="62">
        <f t="shared" si="26"/>
        <v>506.24098833545457</v>
      </c>
      <c r="GE53" s="62">
        <f ca="1">AVERAGE(OFFSET($GD$3,0,0,'Données projet'!$E$17+1,1))-AVERAGE(OFFSET($H$3,0,0,'Données projet'!$E$17+1,1))</f>
        <v>248.82613595888964</v>
      </c>
      <c r="GF53" s="62">
        <f t="shared" si="50"/>
        <v>255.8298580882084</v>
      </c>
      <c r="GG53" s="16">
        <f>IF(ISNA(VLOOKUP(A53,'Données projet'!$A$243:$I$263,3,0)),0,VLOOKUP(A53,'Données projet'!$A$243:$I$263,3,0))</f>
        <v>3</v>
      </c>
      <c r="GH53" s="16">
        <f>IF(ISNA(VLOOKUP(A53,'Données projet'!$A$243:$I$263,4,0)),0,VLOOKUP(A53,'Données projet'!$A$243:$I$263,4,0))</f>
        <v>25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135.66666666666666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6.4759615384615365</v>
      </c>
      <c r="N54" s="14">
        <f>IF('Données projet'!$A$36&gt;35,N53+M54-V53,IF(A54&lt;'Données projet'!$A$36,$K$205^A54,IF(A54='Données projet'!$A$36,'Données projet'!$B$36,N53+M54-V53)))</f>
        <v>183.95480769230772</v>
      </c>
      <c r="O54" s="14">
        <f>N54*VLOOKUP('Données projet'!$B$9,Paramètres!$A$1:$I$89,3,0)*VLOOKUP('Données projet'!$B$9,Paramètres!$A$1:$I$89,5,0)</f>
        <v>107.61356250000003</v>
      </c>
      <c r="P54" s="14">
        <f t="shared" si="33"/>
        <v>28.768005548276541</v>
      </c>
      <c r="Q54" s="22">
        <f t="shared" si="53"/>
        <v>237.53123101741502</v>
      </c>
      <c r="R54" s="62">
        <f t="shared" si="0"/>
        <v>473.78939589701685</v>
      </c>
      <c r="S54" s="62">
        <f ca="1">AVERAGE(OFFSET($R$3,0,0,'Données projet'!$E$9+1,1))-AVERAGE(OFFSET($H$3,0,0,'Données projet'!$E$9+1,1))</f>
        <v>221.18884567967481</v>
      </c>
      <c r="T54" s="62">
        <f t="shared" si="34"/>
        <v>189.31596996710888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1.7724999999999995</v>
      </c>
      <c r="AI54" s="14">
        <f>IF('Données projet'!$A$62&gt;35,AI53+AH54-AQ53,IF(A54&lt;'Données projet'!$A$62,$AF$205^A54,IF(A54='Données projet'!$A$62,'Données projet'!$B$62,AI53+AH54-AQ53)))</f>
        <v>68.410000000000025</v>
      </c>
      <c r="AJ54" s="14">
        <f>AI54*VLOOKUP('Données projet'!$B$10,Paramètres!$A$1:$I$89,3,0)*VLOOKUP('Données projet'!$B$10,Paramètres!$A$1:$I$89,5,0)</f>
        <v>78.808320000000023</v>
      </c>
      <c r="AK54" s="14">
        <f t="shared" si="35"/>
        <v>21.845558157973084</v>
      </c>
      <c r="AL54" s="22">
        <f t="shared" si="4"/>
        <v>175.30550445846984</v>
      </c>
      <c r="AM54" s="62">
        <f t="shared" si="5"/>
        <v>411.56366933807169</v>
      </c>
      <c r="AN54" s="62">
        <f ca="1">AVERAGE(OFFSET($AM$3,0,0,'Données projet'!$E$10+1,1))-AVERAGE(OFFSET($H$3,0,0,'Données projet'!$E$10+1,1))</f>
        <v>314.72063458462026</v>
      </c>
      <c r="AO54" s="62">
        <f t="shared" si="36"/>
        <v>216.4380325968244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4.4871794871794863</v>
      </c>
      <c r="BD54" s="13">
        <f>IF('Données projet'!$A$88&gt;35,BD53+BC54-BL53,IF(A54&lt;'Données projet'!$A$88,$BA$205^A54,IF(A54='Données projet'!$A$88,'Données projet'!$B$88,BD53+BC54-BL53)))</f>
        <v>135.25641025641022</v>
      </c>
      <c r="BE54" s="14">
        <f>BD54*VLOOKUP('Données projet'!$B$11,Paramètres!$A$1:$I$89,3,0)*VLOOKUP('Données projet'!$B$11,Paramètres!$A$1:$I$89,5,0)</f>
        <v>145.58999999999995</v>
      </c>
      <c r="BF54" s="14">
        <f t="shared" si="37"/>
        <v>37.574663413054601</v>
      </c>
      <c r="BG54" s="22">
        <f t="shared" si="7"/>
        <v>319.01178877773668</v>
      </c>
      <c r="BH54" s="62">
        <f t="shared" si="8"/>
        <v>555.26995365733853</v>
      </c>
      <c r="BI54" s="62">
        <f ca="1">AVERAGE(OFFSET($BH$3,0,0,'Données projet'!$E$11+1,1))-AVERAGE(OFFSET($H$3,0,0,'Données projet'!$E$11+1,1))</f>
        <v>455.26558725507834</v>
      </c>
      <c r="BJ54" s="62">
        <f t="shared" si="38"/>
        <v>278.60310966788552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3.2600000000000025</v>
      </c>
      <c r="BY54" s="13">
        <f>IF('Données projet'!$A$114&gt;35,BY53+BX54-CG53,IF(A54&lt;'Données projet'!$A$114,$BV$205^A54,IF(A54='Données projet'!$A$114,'Données projet'!$B$114,BY53+BX54-CG53)))</f>
        <v>212.46</v>
      </c>
      <c r="BZ54" s="14">
        <f>BY54*VLOOKUP('Données projet'!$B$12,Paramètres!$A$1:$I$89,3,0)*VLOOKUP('Données projet'!$B$12,Paramètres!$A$1:$I$89,5,0)</f>
        <v>110.47920000000002</v>
      </c>
      <c r="CA54" s="14">
        <f t="shared" si="39"/>
        <v>29.443859250947572</v>
      </c>
      <c r="CB54" s="22">
        <f t="shared" si="10"/>
        <v>243.6993281954004</v>
      </c>
      <c r="CC54" s="62">
        <f t="shared" si="11"/>
        <v>479.95749307500222</v>
      </c>
      <c r="CD54" s="62">
        <f ca="1">AVERAGE(OFFSET($CC$3,0,0,'Données projet'!$E$12+1,1))-AVERAGE(OFFSET($H$3,0,0,'Données projet'!$E$12+1,1))</f>
        <v>300.72820267660154</v>
      </c>
      <c r="CE54" s="62">
        <f t="shared" si="40"/>
        <v>228.35388778608589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4.4871794871794863</v>
      </c>
      <c r="CT54" s="13">
        <f>IF('Données projet'!$A$140&gt;35,CT53+CS54-DB53,IF(A54&lt;'Données projet'!$A$140,$CQ$205^A54,IF(A54='Données projet'!$A$140,'Données projet'!$B$140,CT53+CS54-DB53)))</f>
        <v>135.25641025641022</v>
      </c>
      <c r="CU54" s="18">
        <f>CT54*VLOOKUP('Données projet'!$B$13,Paramètres!$A$1:$I$89,3,0)*VLOOKUP('Données projet'!$B$13,Paramètres!$A$1:$I$89,5,0)</f>
        <v>116.04999999999997</v>
      </c>
      <c r="CV54" s="14">
        <f t="shared" si="41"/>
        <v>30.751939728719272</v>
      </c>
      <c r="CW54" s="22">
        <f t="shared" si="13"/>
        <v>255.68004502751933</v>
      </c>
      <c r="CX54" s="62">
        <f t="shared" si="14"/>
        <v>491.93820990712118</v>
      </c>
      <c r="CY54" s="62">
        <f ca="1">AVERAGE(OFFSET($CX$3,0,0,'Données projet'!$E$13+1,1))-AVERAGE(OFFSET($H$3,0,0,'Données projet'!$E$13+1,1))</f>
        <v>384.3367849108829</v>
      </c>
      <c r="CZ54" s="62">
        <f t="shared" si="42"/>
        <v>238.2697272367603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>
        <f>VLOOKUP(A54,'Données projet'!$A$165:$I$185,2,0)</f>
        <v>321.8384615384615</v>
      </c>
      <c r="DM54" s="13">
        <f>VLOOKUP(A54,'Données projet'!$A$165:$I$185,9,0)</f>
        <v>11.615384615384608</v>
      </c>
      <c r="DN54" s="13">
        <f t="array" ref="DN54">INDEX(DM:DM,MIN(IF(ISNUMBER(DM54:DM250),ROW(DM54:DM250),"")))</f>
        <v>11.615384615384608</v>
      </c>
      <c r="DO54" s="13">
        <f>IF('Données projet'!$A$166&gt;35,DO53+DN54-DW53,IF(A54&lt;'Données projet'!$A$166,$DL$205^A54,IF(A54='Données projet'!$A$166,'Données projet'!$B$166,DO53+DN54-DW53)))</f>
        <v>321.83846153846133</v>
      </c>
      <c r="DP54" s="18">
        <f>DO54*VLOOKUP('Données projet'!$B$14,Paramètres!$A$1:$I$89,3,0)*VLOOKUP('Données projet'!$B$14,Paramètres!$A$1:$I$89,5,0)</f>
        <v>150.6203999999999</v>
      </c>
      <c r="DQ54" s="14">
        <f t="shared" si="43"/>
        <v>38.719539861211025</v>
      </c>
      <c r="DR54" s="22">
        <f t="shared" si="16"/>
        <v>329.76706192494237</v>
      </c>
      <c r="DS54" s="62">
        <f t="shared" si="17"/>
        <v>566.02522680454422</v>
      </c>
      <c r="DT54" s="62">
        <f ca="1">AVERAGE(OFFSET($DS$3,0,0,'Données projet'!$E$14+1,1))-AVERAGE(OFFSET($H$3,0,0,'Données projet'!$E$14+1,1))</f>
        <v>304.1100958939968</v>
      </c>
      <c r="DU54" s="62">
        <f t="shared" si="44"/>
        <v>184.1255966824568</v>
      </c>
      <c r="DV54" s="16">
        <f>IF(ISNA(VLOOKUP(A54,'Données projet'!$A$165:$I$185,3,0)),0,VLOOKUP(A54,'Données projet'!$A$165:$I$185,3,0))</f>
        <v>1</v>
      </c>
      <c r="DW54" s="16">
        <f>IF(ISNA(VLOOKUP(A54,'Données projet'!$A$165:$I$185,4,0)),0,VLOOKUP(A54,'Données projet'!$A$165:$I$185,4,0))</f>
        <v>100.30769230769231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4.4871794871794863</v>
      </c>
      <c r="EJ54" s="13">
        <f>IF('Données projet'!$A$192&gt;35,EJ53+EI54-ER53,IF(A54&lt;'Données projet'!$A$192,$EG$205^A54,IF(A54='Données projet'!$A$192,'Données projet'!$B$192,EJ53+EI54-ER53)))</f>
        <v>135.25641025641022</v>
      </c>
      <c r="EK54" s="18">
        <f>EJ54*VLOOKUP('Données projet'!$B$15,Paramètres!$A$1:$I$89,3,0)*VLOOKUP('Données projet'!$B$15,Paramètres!$A$1:$I$89,5,0)</f>
        <v>137.14999999999998</v>
      </c>
      <c r="EL54" s="14">
        <f t="shared" si="45"/>
        <v>35.643331051436654</v>
      </c>
      <c r="EM54" s="22">
        <f t="shared" si="19"/>
        <v>300.94838491458546</v>
      </c>
      <c r="EN54" s="62">
        <f t="shared" si="20"/>
        <v>537.20654979418725</v>
      </c>
      <c r="EO54" s="62">
        <f ca="1">AVERAGE(OFFSET($EN$3,0,0,'Données projet'!$E$15+1,1))-AVERAGE(OFFSET($H$3,0,0,'Données projet'!$E$15+1,1))</f>
        <v>435.03433721979218</v>
      </c>
      <c r="EP54" s="62">
        <f t="shared" si="46"/>
        <v>267.10015759286387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4.4871794871794863</v>
      </c>
      <c r="FE54" s="13">
        <f>IF('Données projet'!$A$218&gt;35,FE53+FD54-FM53,IF(A54&lt;'Données projet'!$A$218,$FB$205^A54,IF(A54='Données projet'!$A$218,'Données projet'!$B$218,FE53+FD54-FM53)))</f>
        <v>135.25641025641022</v>
      </c>
      <c r="FF54" s="18">
        <f>FE54*VLOOKUP('Données projet'!$B$16,Paramètres!$A$1:$I$89,3,0)*VLOOKUP('Données projet'!$B$16,Paramètres!$A$1:$I$89,5,0)</f>
        <v>141.36999999999998</v>
      </c>
      <c r="FG54" s="14">
        <f t="shared" si="47"/>
        <v>36.610675159135589</v>
      </c>
      <c r="FH54" s="22">
        <f t="shared" si="22"/>
        <v>309.98300923549442</v>
      </c>
      <c r="FI54" s="62">
        <f t="shared" si="23"/>
        <v>546.24117411509621</v>
      </c>
      <c r="FJ54" s="62">
        <f ca="1">AVERAGE(OFFSET($FI$3,0,0,'Données projet'!$E$16+1,1))-AVERAGE(OFFSET($H$3,0,0,'Données projet'!$E$16+1,1))</f>
        <v>445.15313998584293</v>
      </c>
      <c r="FK54" s="62">
        <f t="shared" si="48"/>
        <v>272.85357736694834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3.4</v>
      </c>
      <c r="FZ54" s="13">
        <f>IF('Données projet'!$A$244&gt;35,FZ53+FY54-GH53,IF(A54&lt;'Données projet'!$A$244,$FW$205^A54,IF(A54='Données projet'!$A$244,'Données projet'!$B$244,FZ53+FY54-GH53)))</f>
        <v>119.39999999999995</v>
      </c>
      <c r="GA54" s="18">
        <f>FZ54*VLOOKUP('Données projet'!$B$17,Paramètres!$A$1:$I$89,3,0)*VLOOKUP('Données projet'!$B$17,Paramètres!$A$1:$I$89,5,0)</f>
        <v>104.30783999999997</v>
      </c>
      <c r="GB54" s="14">
        <f t="shared" si="49"/>
        <v>27.985748297693238</v>
      </c>
      <c r="GC54" s="22">
        <f t="shared" si="25"/>
        <v>230.41133295181569</v>
      </c>
      <c r="GD54" s="62">
        <f t="shared" si="26"/>
        <v>466.66949783141752</v>
      </c>
      <c r="GE54" s="62">
        <f ca="1">AVERAGE(OFFSET($GD$3,0,0,'Données projet'!$E$17+1,1))-AVERAGE(OFFSET($H$3,0,0,'Données projet'!$E$17+1,1))</f>
        <v>248.82613595888964</v>
      </c>
      <c r="GF54" s="62">
        <f t="shared" si="50"/>
        <v>255.8298580882084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135.66666666666666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>
        <f>VLOOKUP(A55,'Données projet'!$A$35:$I$55,2,0)</f>
        <v>190.43076923076922</v>
      </c>
      <c r="L55" s="13">
        <f>VLOOKUP(A55,'Données projet'!$A$35:$I$55,9,0)</f>
        <v>6.4759615384615365</v>
      </c>
      <c r="M55" s="13">
        <f t="array" ref="M55">INDEX(L:L,MIN(IF(ISNUMBER(L55:L251),ROW(L55:L251),"")))</f>
        <v>6.4759615384615365</v>
      </c>
      <c r="N55" s="14">
        <f>IF('Données projet'!$A$36&gt;35,N54+M55-V54,IF(A55&lt;'Données projet'!$A$36,$K$205^A55,IF(A55='Données projet'!$A$36,'Données projet'!$B$36,N54+M55-V54)))</f>
        <v>190.43076923076927</v>
      </c>
      <c r="O55" s="14">
        <f>N55*VLOOKUP('Données projet'!$B$9,Paramètres!$A$1:$I$89,3,0)*VLOOKUP('Données projet'!$B$9,Paramètres!$A$1:$I$89,5,0)</f>
        <v>111.40200000000004</v>
      </c>
      <c r="P55" s="14">
        <f t="shared" si="33"/>
        <v>29.661062833995075</v>
      </c>
      <c r="Q55" s="22">
        <f t="shared" si="53"/>
        <v>245.68483443587479</v>
      </c>
      <c r="R55" s="62">
        <f t="shared" si="0"/>
        <v>482.93312588718823</v>
      </c>
      <c r="S55" s="62">
        <f ca="1">AVERAGE(OFFSET($R$3,0,0,'Données projet'!$E$9+1,1))-AVERAGE(OFFSET($H$3,0,0,'Données projet'!$E$9+1,1))</f>
        <v>221.18884567967481</v>
      </c>
      <c r="T55" s="62">
        <f t="shared" si="34"/>
        <v>189.31596996710888</v>
      </c>
      <c r="U55" s="16">
        <f>IF(ISNA(VLOOKUP(A55,'Données projet'!$A$35:$I$55,3,0)),0,VLOOKUP(A55,'Données projet'!$A$35:$I$55,3,0))</f>
        <v>2</v>
      </c>
      <c r="V55" s="16">
        <f>IF(ISNA(VLOOKUP(A55,'Données projet'!$A$35:$I$55,4,0)),0,VLOOKUP(A55,'Données projet'!$A$35:$I$55,4,0))</f>
        <v>77.107692307692304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1.7724999999999995</v>
      </c>
      <c r="AI55" s="14">
        <f>IF('Données projet'!$A$62&gt;35,AI54+AH55-AQ54,IF(A55&lt;'Données projet'!$A$62,$AF$205^A55,IF(A55='Données projet'!$A$62,'Données projet'!$B$62,AI54+AH55-AQ54)))</f>
        <v>70.182500000000019</v>
      </c>
      <c r="AJ55" s="14">
        <f>AI55*VLOOKUP('Données projet'!$B$10,Paramètres!$A$1:$I$89,3,0)*VLOOKUP('Données projet'!$B$10,Paramètres!$A$1:$I$89,5,0)</f>
        <v>80.850240000000028</v>
      </c>
      <c r="AK55" s="14">
        <f t="shared" si="35"/>
        <v>22.344944145436859</v>
      </c>
      <c r="AL55" s="22">
        <f t="shared" si="4"/>
        <v>179.7316123866359</v>
      </c>
      <c r="AM55" s="62">
        <f t="shared" si="5"/>
        <v>416.97990383794934</v>
      </c>
      <c r="AN55" s="62">
        <f ca="1">AVERAGE(OFFSET($AM$3,0,0,'Données projet'!$E$10+1,1))-AVERAGE(OFFSET($H$3,0,0,'Données projet'!$E$10+1,1))</f>
        <v>314.72063458462026</v>
      </c>
      <c r="AO55" s="62">
        <f t="shared" si="36"/>
        <v>216.4380325968244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4.4871794871794863</v>
      </c>
      <c r="BD55" s="13">
        <f>IF('Données projet'!$A$88&gt;35,BD54+BC55-BL54,IF(A55&lt;'Données projet'!$A$88,$BA$205^A55,IF(A55='Données projet'!$A$88,'Données projet'!$B$88,BD54+BC55-BL54)))</f>
        <v>139.74358974358969</v>
      </c>
      <c r="BE55" s="14">
        <f>BD55*VLOOKUP('Données projet'!$B$11,Paramètres!$A$1:$I$89,3,0)*VLOOKUP('Données projet'!$B$11,Paramètres!$A$1:$I$89,5,0)</f>
        <v>150.41999999999993</v>
      </c>
      <c r="BF55" s="14">
        <f t="shared" si="37"/>
        <v>38.674016590186575</v>
      </c>
      <c r="BG55" s="22">
        <f t="shared" si="7"/>
        <v>329.33874556124147</v>
      </c>
      <c r="BH55" s="62">
        <f t="shared" si="8"/>
        <v>566.5870370125549</v>
      </c>
      <c r="BI55" s="62">
        <f ca="1">AVERAGE(OFFSET($BH$3,0,0,'Données projet'!$E$11+1,1))-AVERAGE(OFFSET($H$3,0,0,'Données projet'!$E$11+1,1))</f>
        <v>455.26558725507834</v>
      </c>
      <c r="BJ55" s="62">
        <f t="shared" si="38"/>
        <v>278.60310966788552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3.2600000000000025</v>
      </c>
      <c r="BY55" s="13">
        <f>IF('Données projet'!$A$114&gt;35,BY54+BX55-CG54,IF(A55&lt;'Données projet'!$A$114,$BV$205^A55,IF(A55='Données projet'!$A$114,'Données projet'!$B$114,BY54+BX55-CG54)))</f>
        <v>215.72</v>
      </c>
      <c r="BZ55" s="14">
        <f>BY55*VLOOKUP('Données projet'!$B$12,Paramètres!$A$1:$I$89,3,0)*VLOOKUP('Données projet'!$B$12,Paramètres!$A$1:$I$89,5,0)</f>
        <v>112.17440000000002</v>
      </c>
      <c r="CA55" s="14">
        <f t="shared" si="39"/>
        <v>29.842705078330251</v>
      </c>
      <c r="CB55" s="22">
        <f t="shared" si="10"/>
        <v>247.34645801142526</v>
      </c>
      <c r="CC55" s="62">
        <f t="shared" si="11"/>
        <v>484.59474946273866</v>
      </c>
      <c r="CD55" s="62">
        <f ca="1">AVERAGE(OFFSET($CC$3,0,0,'Données projet'!$E$12+1,1))-AVERAGE(OFFSET($H$3,0,0,'Données projet'!$E$12+1,1))</f>
        <v>300.72820267660154</v>
      </c>
      <c r="CE55" s="62">
        <f t="shared" si="40"/>
        <v>228.35388778608589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4.4871794871794863</v>
      </c>
      <c r="CT55" s="13">
        <f>IF('Données projet'!$A$140&gt;35,CT54+CS55-DB54,IF(A55&lt;'Données projet'!$A$140,$CQ$205^A55,IF(A55='Données projet'!$A$140,'Données projet'!$B$140,CT54+CS55-DB54)))</f>
        <v>139.74358974358969</v>
      </c>
      <c r="CU55" s="18">
        <f>CT55*VLOOKUP('Données projet'!$B$13,Paramètres!$A$1:$I$89,3,0)*VLOOKUP('Données projet'!$B$13,Paramètres!$A$1:$I$89,5,0)</f>
        <v>119.89999999999996</v>
      </c>
      <c r="CV55" s="14">
        <f t="shared" si="41"/>
        <v>31.651674804775681</v>
      </c>
      <c r="CW55" s="22">
        <f t="shared" si="13"/>
        <v>263.95250028498424</v>
      </c>
      <c r="CX55" s="62">
        <f t="shared" si="14"/>
        <v>501.20079173629767</v>
      </c>
      <c r="CY55" s="62">
        <f ca="1">AVERAGE(OFFSET($CX$3,0,0,'Données projet'!$E$13+1,1))-AVERAGE(OFFSET($H$3,0,0,'Données projet'!$E$13+1,1))</f>
        <v>384.3367849108829</v>
      </c>
      <c r="CZ55" s="62">
        <f t="shared" si="42"/>
        <v>238.2697272367603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10.542307692307702</v>
      </c>
      <c r="DO55" s="13">
        <f>IF('Données projet'!$A$166&gt;35,DO54+DN55-DW54,IF(A55&lt;'Données projet'!$A$166,$DL$205^A55,IF(A55='Données projet'!$A$166,'Données projet'!$B$166,DO54+DN55-DW54)))</f>
        <v>232.07307692307671</v>
      </c>
      <c r="DP55" s="18">
        <f>DO55*VLOOKUP('Données projet'!$B$14,Paramètres!$A$1:$I$89,3,0)*VLOOKUP('Données projet'!$B$14,Paramètres!$A$1:$I$89,5,0)</f>
        <v>108.61019999999989</v>
      </c>
      <c r="DQ55" s="14">
        <f t="shared" si="43"/>
        <v>29.003294930485936</v>
      </c>
      <c r="DR55" s="22">
        <f t="shared" si="16"/>
        <v>239.67683700392948</v>
      </c>
      <c r="DS55" s="62">
        <f t="shared" si="17"/>
        <v>476.92512845524288</v>
      </c>
      <c r="DT55" s="62">
        <f ca="1">AVERAGE(OFFSET($DS$3,0,0,'Données projet'!$E$14+1,1))-AVERAGE(OFFSET($H$3,0,0,'Données projet'!$E$14+1,1))</f>
        <v>304.1100958939968</v>
      </c>
      <c r="DU55" s="62">
        <f t="shared" si="44"/>
        <v>184.1255966824568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4.4871794871794863</v>
      </c>
      <c r="EJ55" s="13">
        <f>IF('Données projet'!$A$192&gt;35,EJ54+EI55-ER54,IF(A55&lt;'Données projet'!$A$192,$EG$205^A55,IF(A55='Données projet'!$A$192,'Données projet'!$B$192,EJ54+EI55-ER54)))</f>
        <v>139.74358974358969</v>
      </c>
      <c r="EK55" s="18">
        <f>EJ55*VLOOKUP('Données projet'!$B$15,Paramètres!$A$1:$I$89,3,0)*VLOOKUP('Données projet'!$B$15,Paramètres!$A$1:$I$89,5,0)</f>
        <v>141.69999999999996</v>
      </c>
      <c r="EL55" s="14">
        <f t="shared" si="45"/>
        <v>36.686177631436884</v>
      </c>
      <c r="EM55" s="22">
        <f t="shared" si="19"/>
        <v>310.68925937475251</v>
      </c>
      <c r="EN55" s="62">
        <f t="shared" si="20"/>
        <v>547.93755082606594</v>
      </c>
      <c r="EO55" s="62">
        <f ca="1">AVERAGE(OFFSET($EN$3,0,0,'Données projet'!$E$15+1,1))-AVERAGE(OFFSET($H$3,0,0,'Données projet'!$E$15+1,1))</f>
        <v>435.03433721979218</v>
      </c>
      <c r="EP55" s="62">
        <f t="shared" si="46"/>
        <v>267.10015759286387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4.4871794871794863</v>
      </c>
      <c r="FE55" s="13">
        <f>IF('Données projet'!$A$218&gt;35,FE54+FD55-FM54,IF(A55&lt;'Données projet'!$A$218,$FB$205^A55,IF(A55='Données projet'!$A$218,'Données projet'!$B$218,FE54+FD55-FM54)))</f>
        <v>139.74358974358969</v>
      </c>
      <c r="FF55" s="18">
        <f>FE55*VLOOKUP('Données projet'!$B$16,Paramètres!$A$1:$I$89,3,0)*VLOOKUP('Données projet'!$B$16,Paramètres!$A$1:$I$89,5,0)</f>
        <v>146.05999999999995</v>
      </c>
      <c r="FG55" s="14">
        <f t="shared" si="47"/>
        <v>37.681824130204156</v>
      </c>
      <c r="FH55" s="22">
        <f t="shared" si="22"/>
        <v>320.01701036010542</v>
      </c>
      <c r="FI55" s="62">
        <f t="shared" si="23"/>
        <v>557.26530181141879</v>
      </c>
      <c r="FJ55" s="62">
        <f ca="1">AVERAGE(OFFSET($FI$3,0,0,'Données projet'!$E$16+1,1))-AVERAGE(OFFSET($H$3,0,0,'Données projet'!$E$16+1,1))</f>
        <v>445.15313998584293</v>
      </c>
      <c r="FK55" s="62">
        <f t="shared" si="48"/>
        <v>272.85357736694834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3.4</v>
      </c>
      <c r="FZ55" s="13">
        <f>IF('Données projet'!$A$244&gt;35,FZ54+FY55-GH54,IF(A55&lt;'Données projet'!$A$244,$FW$205^A55,IF(A55='Données projet'!$A$244,'Données projet'!$B$244,FZ54+FY55-GH54)))</f>
        <v>122.79999999999995</v>
      </c>
      <c r="GA55" s="18">
        <f>FZ55*VLOOKUP('Données projet'!$B$17,Paramètres!$A$1:$I$89,3,0)*VLOOKUP('Données projet'!$B$17,Paramètres!$A$1:$I$89,5,0)</f>
        <v>107.27807999999999</v>
      </c>
      <c r="GB55" s="14">
        <f t="shared" si="49"/>
        <v>28.688746800886673</v>
      </c>
      <c r="GC55" s="22">
        <f t="shared" si="25"/>
        <v>236.80889001154424</v>
      </c>
      <c r="GD55" s="62">
        <f t="shared" si="26"/>
        <v>474.05718146285767</v>
      </c>
      <c r="GE55" s="62">
        <f ca="1">AVERAGE(OFFSET($GD$3,0,0,'Données projet'!$E$17+1,1))-AVERAGE(OFFSET($H$3,0,0,'Données projet'!$E$17+1,1))</f>
        <v>248.82613595888964</v>
      </c>
      <c r="GF55" s="62">
        <f t="shared" si="50"/>
        <v>255.8298580882084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135.66666666666666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4.9549450549450569</v>
      </c>
      <c r="N56" s="14">
        <f>IF('Données projet'!$A$36&gt;35,N55+M56-V55,IF(A56&lt;'Données projet'!$A$36,$K$205^A56,IF(A56='Données projet'!$A$36,'Données projet'!$B$36,N55+M56-V55)))</f>
        <v>118.27802197802202</v>
      </c>
      <c r="O56" s="14">
        <f>N56*VLOOKUP('Données projet'!$B$9,Paramètres!$A$1:$I$89,3,0)*VLOOKUP('Données projet'!$B$9,Paramètres!$A$1:$I$89,5,0)</f>
        <v>69.192642857142886</v>
      </c>
      <c r="P56" s="14">
        <f t="shared" si="33"/>
        <v>19.472827172380715</v>
      </c>
      <c r="Q56" s="22">
        <f t="shared" si="53"/>
        <v>154.42569363475363</v>
      </c>
      <c r="R56" s="62">
        <f t="shared" si="0"/>
        <v>392.64693517535079</v>
      </c>
      <c r="S56" s="62">
        <f ca="1">AVERAGE(OFFSET($R$3,0,0,'Données projet'!$E$9+1,1))-AVERAGE(OFFSET($H$3,0,0,'Données projet'!$E$9+1,1))</f>
        <v>221.18884567967481</v>
      </c>
      <c r="T56" s="62">
        <f t="shared" si="34"/>
        <v>189.31596996710888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1.7724999999999995</v>
      </c>
      <c r="AI56" s="14">
        <f>IF('Données projet'!$A$62&gt;35,AI55+AH56-AQ55,IF(A56&lt;'Données projet'!$A$62,$AF$205^A56,IF(A56='Données projet'!$A$62,'Données projet'!$B$62,AI55+AH56-AQ55)))</f>
        <v>71.955000000000013</v>
      </c>
      <c r="AJ56" s="14">
        <f>AI56*VLOOKUP('Données projet'!$B$10,Paramètres!$A$1:$I$89,3,0)*VLOOKUP('Données projet'!$B$10,Paramètres!$A$1:$I$89,5,0)</f>
        <v>82.892160000000004</v>
      </c>
      <c r="AK56" s="14">
        <f t="shared" si="35"/>
        <v>22.842864054032365</v>
      </c>
      <c r="AL56" s="22">
        <f t="shared" si="4"/>
        <v>184.15516689410637</v>
      </c>
      <c r="AM56" s="62">
        <f t="shared" si="5"/>
        <v>422.37640843470354</v>
      </c>
      <c r="AN56" s="62">
        <f ca="1">AVERAGE(OFFSET($AM$3,0,0,'Données projet'!$E$10+1,1))-AVERAGE(OFFSET($H$3,0,0,'Données projet'!$E$10+1,1))</f>
        <v>314.72063458462026</v>
      </c>
      <c r="AO56" s="62">
        <f t="shared" si="36"/>
        <v>216.4380325968244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4.4871794871794863</v>
      </c>
      <c r="BD56" s="13">
        <f>IF('Données projet'!$A$88&gt;35,BD55+BC56-BL55,IF(A56&lt;'Données projet'!$A$88,$BA$205^A56,IF(A56='Données projet'!$A$88,'Données projet'!$B$88,BD55+BC56-BL55)))</f>
        <v>144.23076923076917</v>
      </c>
      <c r="BE56" s="14">
        <f>BD56*VLOOKUP('Données projet'!$B$11,Paramètres!$A$1:$I$89,3,0)*VLOOKUP('Données projet'!$B$11,Paramètres!$A$1:$I$89,5,0)</f>
        <v>155.24999999999991</v>
      </c>
      <c r="BF56" s="14">
        <f t="shared" si="37"/>
        <v>39.76926773331602</v>
      </c>
      <c r="BG56" s="22">
        <f t="shared" si="7"/>
        <v>339.65855796885859</v>
      </c>
      <c r="BH56" s="62">
        <f t="shared" si="8"/>
        <v>577.87979950945578</v>
      </c>
      <c r="BI56" s="62">
        <f ca="1">AVERAGE(OFFSET($BH$3,0,0,'Données projet'!$E$11+1,1))-AVERAGE(OFFSET($H$3,0,0,'Données projet'!$E$11+1,1))</f>
        <v>455.26558725507834</v>
      </c>
      <c r="BJ56" s="62">
        <f t="shared" si="38"/>
        <v>278.60310966788552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3.2600000000000025</v>
      </c>
      <c r="BY56" s="13">
        <f>IF('Données projet'!$A$114&gt;35,BY55+BX56-CG55,IF(A56&lt;'Données projet'!$A$114,$BV$205^A56,IF(A56='Données projet'!$A$114,'Données projet'!$B$114,BY55+BX56-CG55)))</f>
        <v>218.98</v>
      </c>
      <c r="BZ56" s="14">
        <f>BY56*VLOOKUP('Données projet'!$B$12,Paramètres!$A$1:$I$89,3,0)*VLOOKUP('Données projet'!$B$12,Paramètres!$A$1:$I$89,5,0)</f>
        <v>113.86960000000001</v>
      </c>
      <c r="CA56" s="14">
        <f t="shared" si="39"/>
        <v>30.240849901251988</v>
      </c>
      <c r="CB56" s="22">
        <f t="shared" si="10"/>
        <v>250.9923669113472</v>
      </c>
      <c r="CC56" s="62">
        <f t="shared" si="11"/>
        <v>489.21360845194437</v>
      </c>
      <c r="CD56" s="62">
        <f ca="1">AVERAGE(OFFSET($CC$3,0,0,'Données projet'!$E$12+1,1))-AVERAGE(OFFSET($H$3,0,0,'Données projet'!$E$12+1,1))</f>
        <v>300.72820267660154</v>
      </c>
      <c r="CE56" s="62">
        <f t="shared" si="40"/>
        <v>228.35388778608589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4.4871794871794863</v>
      </c>
      <c r="CT56" s="13">
        <f>IF('Données projet'!$A$140&gt;35,CT55+CS56-DB55,IF(A56&lt;'Données projet'!$A$140,$CQ$205^A56,IF(A56='Données projet'!$A$140,'Données projet'!$B$140,CT55+CS56-DB55)))</f>
        <v>144.23076923076917</v>
      </c>
      <c r="CU56" s="18">
        <f>CT56*VLOOKUP('Données projet'!$B$13,Paramètres!$A$1:$I$89,3,0)*VLOOKUP('Données projet'!$B$13,Paramètres!$A$1:$I$89,5,0)</f>
        <v>123.74999999999997</v>
      </c>
      <c r="CV56" s="14">
        <f t="shared" si="41"/>
        <v>32.548052685026384</v>
      </c>
      <c r="CW56" s="22">
        <f t="shared" si="13"/>
        <v>272.21910842642092</v>
      </c>
      <c r="CX56" s="62">
        <f t="shared" si="14"/>
        <v>510.44034996701805</v>
      </c>
      <c r="CY56" s="62">
        <f ca="1">AVERAGE(OFFSET($CX$3,0,0,'Données projet'!$E$13+1,1))-AVERAGE(OFFSET($H$3,0,0,'Données projet'!$E$13+1,1))</f>
        <v>384.3367849108829</v>
      </c>
      <c r="CZ56" s="62">
        <f t="shared" si="42"/>
        <v>238.2697272367603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10.542307692307702</v>
      </c>
      <c r="DO56" s="13">
        <f>IF('Données projet'!$A$166&gt;35,DO55+DN56-DW55,IF(A56&lt;'Données projet'!$A$166,$DL$205^A56,IF(A56='Données projet'!$A$166,'Données projet'!$B$166,DO55+DN56-DW55)))</f>
        <v>242.61538461538441</v>
      </c>
      <c r="DP56" s="18">
        <f>DO56*VLOOKUP('Données projet'!$B$14,Paramètres!$A$1:$I$89,3,0)*VLOOKUP('Données projet'!$B$14,Paramètres!$A$1:$I$89,5,0)</f>
        <v>113.54399999999991</v>
      </c>
      <c r="DQ56" s="14">
        <f t="shared" si="43"/>
        <v>30.164431377064304</v>
      </c>
      <c r="DR56" s="22">
        <f t="shared" si="16"/>
        <v>250.29218464838678</v>
      </c>
      <c r="DS56" s="62">
        <f t="shared" si="17"/>
        <v>488.51342618898394</v>
      </c>
      <c r="DT56" s="62">
        <f ca="1">AVERAGE(OFFSET($DS$3,0,0,'Données projet'!$E$14+1,1))-AVERAGE(OFFSET($H$3,0,0,'Données projet'!$E$14+1,1))</f>
        <v>304.1100958939968</v>
      </c>
      <c r="DU56" s="62">
        <f t="shared" si="44"/>
        <v>184.1255966824568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4.4871794871794863</v>
      </c>
      <c r="EJ56" s="13">
        <f>IF('Données projet'!$A$192&gt;35,EJ55+EI56-ER55,IF(A56&lt;'Données projet'!$A$192,$EG$205^A56,IF(A56='Données projet'!$A$192,'Données projet'!$B$192,EJ55+EI56-ER55)))</f>
        <v>144.23076923076917</v>
      </c>
      <c r="EK56" s="18">
        <f>EJ56*VLOOKUP('Données projet'!$B$15,Paramètres!$A$1:$I$89,3,0)*VLOOKUP('Données projet'!$B$15,Paramètres!$A$1:$I$89,5,0)</f>
        <v>146.24999999999994</v>
      </c>
      <c r="EL56" s="14">
        <f t="shared" si="45"/>
        <v>37.72513302139955</v>
      </c>
      <c r="EM56" s="22">
        <f t="shared" si="19"/>
        <v>320.42335667893747</v>
      </c>
      <c r="EN56" s="62">
        <f t="shared" si="20"/>
        <v>558.6445982195346</v>
      </c>
      <c r="EO56" s="62">
        <f ca="1">AVERAGE(OFFSET($EN$3,0,0,'Données projet'!$E$15+1,1))-AVERAGE(OFFSET($H$3,0,0,'Données projet'!$E$15+1,1))</f>
        <v>435.03433721979218</v>
      </c>
      <c r="EP56" s="62">
        <f t="shared" si="46"/>
        <v>267.10015759286387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4.4871794871794863</v>
      </c>
      <c r="FE56" s="13">
        <f>IF('Données projet'!$A$218&gt;35,FE55+FD56-FM55,IF(A56&lt;'Données projet'!$A$218,$FB$205^A56,IF(A56='Données projet'!$A$218,'Données projet'!$B$218,FE55+FD56-FM55)))</f>
        <v>144.23076923076917</v>
      </c>
      <c r="FF56" s="18">
        <f>FE56*VLOOKUP('Données projet'!$B$16,Paramètres!$A$1:$I$89,3,0)*VLOOKUP('Données projet'!$B$16,Paramètres!$A$1:$I$89,5,0)</f>
        <v>150.74999999999994</v>
      </c>
      <c r="FG56" s="14">
        <f t="shared" si="47"/>
        <v>38.748976306073061</v>
      </c>
      <c r="FH56" s="22">
        <f t="shared" si="22"/>
        <v>330.04405039974381</v>
      </c>
      <c r="FI56" s="62">
        <f t="shared" si="23"/>
        <v>568.26529194034094</v>
      </c>
      <c r="FJ56" s="62">
        <f ca="1">AVERAGE(OFFSET($FI$3,0,0,'Données projet'!$E$16+1,1))-AVERAGE(OFFSET($H$3,0,0,'Données projet'!$E$16+1,1))</f>
        <v>445.15313998584293</v>
      </c>
      <c r="FK56" s="62">
        <f t="shared" si="48"/>
        <v>272.85357736694834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3.4</v>
      </c>
      <c r="FZ56" s="13">
        <f>IF('Données projet'!$A$244&gt;35,FZ55+FY56-GH55,IF(A56&lt;'Données projet'!$A$244,$FW$205^A56,IF(A56='Données projet'!$A$244,'Données projet'!$B$244,FZ55+FY56-GH55)))</f>
        <v>126.19999999999996</v>
      </c>
      <c r="GA56" s="18">
        <f>FZ56*VLOOKUP('Données projet'!$B$17,Paramètres!$A$1:$I$89,3,0)*VLOOKUP('Données projet'!$B$17,Paramètres!$A$1:$I$89,5,0)</f>
        <v>110.24831999999998</v>
      </c>
      <c r="GB56" s="14">
        <f t="shared" si="49"/>
        <v>29.389483021072536</v>
      </c>
      <c r="GC56" s="22">
        <f t="shared" si="25"/>
        <v>243.20250692836794</v>
      </c>
      <c r="GD56" s="62">
        <f t="shared" si="26"/>
        <v>481.42374846896507</v>
      </c>
      <c r="GE56" s="62">
        <f ca="1">AVERAGE(OFFSET($GD$3,0,0,'Données projet'!$E$17+1,1))-AVERAGE(OFFSET($H$3,0,0,'Données projet'!$E$17+1,1))</f>
        <v>248.82613595888964</v>
      </c>
      <c r="GF56" s="62">
        <f t="shared" si="50"/>
        <v>255.8298580882084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135.66666666666666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4.9549450549450569</v>
      </c>
      <c r="N57" s="14">
        <f>IF('Données projet'!$A$36&gt;35,N56+M57-V56,IF(A57&lt;'Données projet'!$A$36,$K$205^A57,IF(A57='Données projet'!$A$36,'Données projet'!$B$36,N56+M57-V56)))</f>
        <v>123.23296703296708</v>
      </c>
      <c r="O57" s="14">
        <f>N57*VLOOKUP('Données projet'!$B$9,Paramètres!$A$1:$I$89,3,0)*VLOOKUP('Données projet'!$B$9,Paramètres!$A$1:$I$89,5,0)</f>
        <v>72.091285714285746</v>
      </c>
      <c r="P57" s="14">
        <f t="shared" si="33"/>
        <v>20.191904399149117</v>
      </c>
      <c r="Q57" s="22">
        <f t="shared" si="53"/>
        <v>160.72655611423238</v>
      </c>
      <c r="R57" s="62">
        <f t="shared" si="0"/>
        <v>399.90386923525477</v>
      </c>
      <c r="S57" s="62">
        <f ca="1">AVERAGE(OFFSET($R$3,0,0,'Données projet'!$E$9+1,1))-AVERAGE(OFFSET($H$3,0,0,'Données projet'!$E$9+1,1))</f>
        <v>221.18884567967481</v>
      </c>
      <c r="T57" s="62">
        <f t="shared" si="34"/>
        <v>189.31596996710888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1.7724999999999995</v>
      </c>
      <c r="AI57" s="14">
        <f>IF('Données projet'!$A$62&gt;35,AI56+AH57-AQ56,IF(A57&lt;'Données projet'!$A$62,$AF$205^A57,IF(A57='Données projet'!$A$62,'Données projet'!$B$62,AI56+AH57-AQ56)))</f>
        <v>73.727500000000006</v>
      </c>
      <c r="AJ57" s="14">
        <f>AI57*VLOOKUP('Données projet'!$B$10,Paramètres!$A$1:$I$89,3,0)*VLOOKUP('Données projet'!$B$10,Paramètres!$A$1:$I$89,5,0)</f>
        <v>84.934080000000009</v>
      </c>
      <c r="AK57" s="14">
        <f t="shared" si="35"/>
        <v>23.339358152569286</v>
      </c>
      <c r="AL57" s="22">
        <f t="shared" si="4"/>
        <v>188.57623811572486</v>
      </c>
      <c r="AM57" s="62">
        <f t="shared" si="5"/>
        <v>427.75355123674728</v>
      </c>
      <c r="AN57" s="62">
        <f ca="1">AVERAGE(OFFSET($AM$3,0,0,'Données projet'!$E$10+1,1))-AVERAGE(OFFSET($H$3,0,0,'Données projet'!$E$10+1,1))</f>
        <v>314.72063458462026</v>
      </c>
      <c r="AO57" s="62">
        <f t="shared" si="36"/>
        <v>216.4380325968244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4.4871794871794863</v>
      </c>
      <c r="BD57" s="13">
        <f>IF('Données projet'!$A$88&gt;35,BD56+BC57-BL56,IF(A57&lt;'Données projet'!$A$88,$BA$205^A57,IF(A57='Données projet'!$A$88,'Données projet'!$B$88,BD56+BC57-BL56)))</f>
        <v>148.71794871794864</v>
      </c>
      <c r="BE57" s="14">
        <f>BD57*VLOOKUP('Données projet'!$B$11,Paramètres!$A$1:$I$89,3,0)*VLOOKUP('Données projet'!$B$11,Paramètres!$A$1:$I$89,5,0)</f>
        <v>160.07999999999993</v>
      </c>
      <c r="BF57" s="14">
        <f t="shared" si="37"/>
        <v>40.860559105013273</v>
      </c>
      <c r="BG57" s="22">
        <f t="shared" si="7"/>
        <v>349.97147377456463</v>
      </c>
      <c r="BH57" s="62">
        <f t="shared" si="8"/>
        <v>589.14878689558702</v>
      </c>
      <c r="BI57" s="62">
        <f ca="1">AVERAGE(OFFSET($BH$3,0,0,'Données projet'!$E$11+1,1))-AVERAGE(OFFSET($H$3,0,0,'Données projet'!$E$11+1,1))</f>
        <v>455.26558725507834</v>
      </c>
      <c r="BJ57" s="62">
        <f t="shared" si="38"/>
        <v>278.60310966788552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3.2600000000000025</v>
      </c>
      <c r="BY57" s="13">
        <f>IF('Données projet'!$A$114&gt;35,BY56+BX57-CG56,IF(A57&lt;'Données projet'!$A$114,$BV$205^A57,IF(A57='Données projet'!$A$114,'Données projet'!$B$114,BY56+BX57-CG56)))</f>
        <v>222.23999999999998</v>
      </c>
      <c r="BZ57" s="14">
        <f>BY57*VLOOKUP('Données projet'!$B$12,Paramètres!$A$1:$I$89,3,0)*VLOOKUP('Données projet'!$B$12,Paramètres!$A$1:$I$89,5,0)</f>
        <v>115.56480000000001</v>
      </c>
      <c r="CA57" s="14">
        <f t="shared" si="39"/>
        <v>30.638305361236469</v>
      </c>
      <c r="CB57" s="22">
        <f t="shared" si="10"/>
        <v>254.63707517082017</v>
      </c>
      <c r="CC57" s="62">
        <f t="shared" si="11"/>
        <v>493.81438829184253</v>
      </c>
      <c r="CD57" s="62">
        <f ca="1">AVERAGE(OFFSET($CC$3,0,0,'Données projet'!$E$12+1,1))-AVERAGE(OFFSET($H$3,0,0,'Données projet'!$E$12+1,1))</f>
        <v>300.72820267660154</v>
      </c>
      <c r="CE57" s="62">
        <f t="shared" si="40"/>
        <v>228.35388778608589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4.4871794871794863</v>
      </c>
      <c r="CT57" s="13">
        <f>IF('Données projet'!$A$140&gt;35,CT56+CS57-DB56,IF(A57&lt;'Données projet'!$A$140,$CQ$205^A57,IF(A57='Données projet'!$A$140,'Données projet'!$B$140,CT56+CS57-DB56)))</f>
        <v>148.71794871794864</v>
      </c>
      <c r="CU57" s="18">
        <f>CT57*VLOOKUP('Données projet'!$B$13,Paramètres!$A$1:$I$89,3,0)*VLOOKUP('Données projet'!$B$13,Paramètres!$A$1:$I$89,5,0)</f>
        <v>127.59999999999997</v>
      </c>
      <c r="CV57" s="14">
        <f t="shared" si="41"/>
        <v>33.441189800321091</v>
      </c>
      <c r="CW57" s="22">
        <f t="shared" si="13"/>
        <v>280.48007223555913</v>
      </c>
      <c r="CX57" s="62">
        <f t="shared" si="14"/>
        <v>519.65738535658147</v>
      </c>
      <c r="CY57" s="62">
        <f ca="1">AVERAGE(OFFSET($CX$3,0,0,'Données projet'!$E$13+1,1))-AVERAGE(OFFSET($H$3,0,0,'Données projet'!$E$13+1,1))</f>
        <v>384.3367849108829</v>
      </c>
      <c r="CZ57" s="62">
        <f t="shared" si="42"/>
        <v>238.2697272367603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10.542307692307702</v>
      </c>
      <c r="DO57" s="13">
        <f>IF('Données projet'!$A$166&gt;35,DO56+DN57-DW56,IF(A57&lt;'Données projet'!$A$166,$DL$205^A57,IF(A57='Données projet'!$A$166,'Données projet'!$B$166,DO56+DN57-DW56)))</f>
        <v>253.15769230769212</v>
      </c>
      <c r="DP57" s="18">
        <f>DO57*VLOOKUP('Données projet'!$B$14,Paramètres!$A$1:$I$89,3,0)*VLOOKUP('Données projet'!$B$14,Paramètres!$A$1:$I$89,5,0)</f>
        <v>118.47779999999992</v>
      </c>
      <c r="DQ57" s="14">
        <f t="shared" si="43"/>
        <v>31.319707790273014</v>
      </c>
      <c r="DR57" s="22">
        <f t="shared" si="16"/>
        <v>260.8973260680587</v>
      </c>
      <c r="DS57" s="62">
        <f t="shared" si="17"/>
        <v>500.0746391890811</v>
      </c>
      <c r="DT57" s="62">
        <f ca="1">AVERAGE(OFFSET($DS$3,0,0,'Données projet'!$E$14+1,1))-AVERAGE(OFFSET($H$3,0,0,'Données projet'!$E$14+1,1))</f>
        <v>304.1100958939968</v>
      </c>
      <c r="DU57" s="62">
        <f t="shared" si="44"/>
        <v>184.1255966824568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4.4871794871794863</v>
      </c>
      <c r="EJ57" s="13">
        <f>IF('Données projet'!$A$192&gt;35,EJ56+EI57-ER56,IF(A57&lt;'Données projet'!$A$192,$EG$205^A57,IF(A57='Données projet'!$A$192,'Données projet'!$B$192,EJ56+EI57-ER56)))</f>
        <v>148.71794871794864</v>
      </c>
      <c r="EK57" s="18">
        <f>EJ57*VLOOKUP('Données projet'!$B$15,Paramètres!$A$1:$I$89,3,0)*VLOOKUP('Données projet'!$B$15,Paramètres!$A$1:$I$89,5,0)</f>
        <v>150.79999999999995</v>
      </c>
      <c r="EL57" s="14">
        <f t="shared" si="45"/>
        <v>38.760332171619183</v>
      </c>
      <c r="EM57" s="22">
        <f t="shared" si="19"/>
        <v>330.15091186556998</v>
      </c>
      <c r="EN57" s="62">
        <f t="shared" si="20"/>
        <v>569.32822498659243</v>
      </c>
      <c r="EO57" s="62">
        <f ca="1">AVERAGE(OFFSET($EN$3,0,0,'Données projet'!$E$15+1,1))-AVERAGE(OFFSET($H$3,0,0,'Données projet'!$E$15+1,1))</f>
        <v>435.03433721979218</v>
      </c>
      <c r="EP57" s="62">
        <f t="shared" si="46"/>
        <v>267.10015759286387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4.4871794871794863</v>
      </c>
      <c r="FE57" s="13">
        <f>IF('Données projet'!$A$218&gt;35,FE56+FD57-FM56,IF(A57&lt;'Données projet'!$A$218,$FB$205^A57,IF(A57='Données projet'!$A$218,'Données projet'!$B$218,FE56+FD57-FM56)))</f>
        <v>148.71794871794864</v>
      </c>
      <c r="FF57" s="18">
        <f>FE57*VLOOKUP('Données projet'!$B$16,Paramètres!$A$1:$I$89,3,0)*VLOOKUP('Données projet'!$B$16,Paramètres!$A$1:$I$89,5,0)</f>
        <v>155.43999999999994</v>
      </c>
      <c r="FG57" s="14">
        <f t="shared" si="47"/>
        <v>39.81227029952759</v>
      </c>
      <c r="FH57" s="22">
        <f t="shared" si="22"/>
        <v>340.06437077167715</v>
      </c>
      <c r="FI57" s="62">
        <f t="shared" si="23"/>
        <v>579.24168389269948</v>
      </c>
      <c r="FJ57" s="62">
        <f ca="1">AVERAGE(OFFSET($FI$3,0,0,'Données projet'!$E$16+1,1))-AVERAGE(OFFSET($H$3,0,0,'Données projet'!$E$16+1,1))</f>
        <v>445.15313998584293</v>
      </c>
      <c r="FK57" s="62">
        <f t="shared" si="48"/>
        <v>272.85357736694834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3.4</v>
      </c>
      <c r="FZ57" s="13">
        <f>IF('Données projet'!$A$244&gt;35,FZ56+FY57-GH56,IF(A57&lt;'Données projet'!$A$244,$FW$205^A57,IF(A57='Données projet'!$A$244,'Données projet'!$B$244,FZ56+FY57-GH56)))</f>
        <v>129.59999999999997</v>
      </c>
      <c r="GA57" s="18">
        <f>FZ57*VLOOKUP('Données projet'!$B$17,Paramètres!$A$1:$I$89,3,0)*VLOOKUP('Données projet'!$B$17,Paramètres!$A$1:$I$89,5,0)</f>
        <v>113.21856</v>
      </c>
      <c r="GB57" s="14">
        <f t="shared" si="49"/>
        <v>30.088024911766389</v>
      </c>
      <c r="GC57" s="22">
        <f t="shared" si="25"/>
        <v>249.59230205465974</v>
      </c>
      <c r="GD57" s="62">
        <f t="shared" si="26"/>
        <v>488.76961517568213</v>
      </c>
      <c r="GE57" s="62">
        <f ca="1">AVERAGE(OFFSET($GD$3,0,0,'Données projet'!$E$17+1,1))-AVERAGE(OFFSET($H$3,0,0,'Données projet'!$E$17+1,1))</f>
        <v>248.82613595888964</v>
      </c>
      <c r="GF57" s="62">
        <f t="shared" si="50"/>
        <v>255.8298580882084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135.66666666666666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4.9549450549450569</v>
      </c>
      <c r="N58" s="14">
        <f>IF('Données projet'!$A$36&gt;35,N57+M58-V57,IF(A58&lt;'Données projet'!$A$36,$K$205^A58,IF(A58='Données projet'!$A$36,'Données projet'!$B$36,N57+M58-V57)))</f>
        <v>128.18791208791214</v>
      </c>
      <c r="O58" s="14">
        <f>N58*VLOOKUP('Données projet'!$B$9,Paramètres!$A$1:$I$89,3,0)*VLOOKUP('Données projet'!$B$9,Paramètres!$A$1:$I$89,5,0)</f>
        <v>74.989928571428607</v>
      </c>
      <c r="P58" s="14">
        <f t="shared" si="33"/>
        <v>20.907623104191963</v>
      </c>
      <c r="Q58" s="22">
        <f t="shared" si="53"/>
        <v>167.02156916837251</v>
      </c>
      <c r="R58" s="62">
        <f t="shared" si="0"/>
        <v>407.13836816535564</v>
      </c>
      <c r="S58" s="62">
        <f ca="1">AVERAGE(OFFSET($R$3,0,0,'Données projet'!$E$9+1,1))-AVERAGE(OFFSET($H$3,0,0,'Données projet'!$E$9+1,1))</f>
        <v>221.18884567967481</v>
      </c>
      <c r="T58" s="62">
        <f t="shared" si="34"/>
        <v>189.31596996710888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1.7724999999999995</v>
      </c>
      <c r="AI58" s="14">
        <f>IF('Données projet'!$A$62&gt;35,AI57+AH58-AQ57,IF(A58&lt;'Données projet'!$A$62,$AF$205^A58,IF(A58='Données projet'!$A$62,'Données projet'!$B$62,AI57+AH58-AQ57)))</f>
        <v>75.5</v>
      </c>
      <c r="AJ58" s="14">
        <f>AI58*VLOOKUP('Données projet'!$B$10,Paramètres!$A$1:$I$89,3,0)*VLOOKUP('Données projet'!$B$10,Paramètres!$A$1:$I$89,5,0)</f>
        <v>86.975999999999999</v>
      </c>
      <c r="AK58" s="14">
        <f t="shared" si="35"/>
        <v>23.834464663215773</v>
      </c>
      <c r="AL58" s="22">
        <f t="shared" si="4"/>
        <v>192.99489262176746</v>
      </c>
      <c r="AM58" s="62">
        <f t="shared" si="5"/>
        <v>433.11169161875057</v>
      </c>
      <c r="AN58" s="62">
        <f ca="1">AVERAGE(OFFSET($AM$3,0,0,'Données projet'!$E$10+1,1))-AVERAGE(OFFSET($H$3,0,0,'Données projet'!$E$10+1,1))</f>
        <v>314.72063458462026</v>
      </c>
      <c r="AO58" s="62">
        <f t="shared" si="36"/>
        <v>216.4380325968244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153.2051282051282</v>
      </c>
      <c r="BB58" s="13">
        <f>VLOOKUP(A58,'Données projet'!$A$87:$I$107,9,0)</f>
        <v>4.4871794871794863</v>
      </c>
      <c r="BC58" s="13">
        <f t="array" ref="BC58">INDEX(BB:BB,MIN(IF(ISNUMBER(BB58:BB254),ROW(BB58:BB254),"")))</f>
        <v>4.4871794871794863</v>
      </c>
      <c r="BD58" s="13">
        <f>IF('Données projet'!$A$88&gt;35,BD57+BC58-BL57,IF(A58&lt;'Données projet'!$A$88,$BA$205^A58,IF(A58='Données projet'!$A$88,'Données projet'!$B$88,BD57+BC58-BL57)))</f>
        <v>153.20512820512812</v>
      </c>
      <c r="BE58" s="14">
        <f>BD58*VLOOKUP('Données projet'!$B$11,Paramètres!$A$1:$I$89,3,0)*VLOOKUP('Données projet'!$B$11,Paramètres!$A$1:$I$89,5,0)</f>
        <v>164.90999999999991</v>
      </c>
      <c r="BF58" s="14">
        <f t="shared" si="37"/>
        <v>41.948023895164205</v>
      </c>
      <c r="BG58" s="22">
        <f t="shared" si="7"/>
        <v>360.27772495074413</v>
      </c>
      <c r="BH58" s="62">
        <f t="shared" si="8"/>
        <v>600.39452394772729</v>
      </c>
      <c r="BI58" s="62">
        <f ca="1">AVERAGE(OFFSET($BH$3,0,0,'Données projet'!$E$11+1,1))-AVERAGE(OFFSET($H$3,0,0,'Données projet'!$E$11+1,1))</f>
        <v>455.26558725507834</v>
      </c>
      <c r="BJ58" s="62">
        <f t="shared" si="38"/>
        <v>278.60310966788552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225.5</v>
      </c>
      <c r="BW58" s="13">
        <f>VLOOKUP(A58,'Données projet'!$A$113:$I$133,9,0)</f>
        <v>3.2600000000000025</v>
      </c>
      <c r="BX58" s="13">
        <f t="array" ref="BX58">INDEX(BW:BW,MIN(IF(ISNUMBER(BW58:BW254),ROW(BW58:BW254),"")))</f>
        <v>3.2600000000000025</v>
      </c>
      <c r="BY58" s="13">
        <f>IF('Données projet'!$A$114&gt;35,BY57+BX58-CG57,IF(A58&lt;'Données projet'!$A$114,$BV$205^A58,IF(A58='Données projet'!$A$114,'Données projet'!$B$114,BY57+BX58-CG57)))</f>
        <v>225.49999999999997</v>
      </c>
      <c r="BZ58" s="14">
        <f>BY58*VLOOKUP('Données projet'!$B$12,Paramètres!$A$1:$I$89,3,0)*VLOOKUP('Données projet'!$B$12,Paramètres!$A$1:$I$89,5,0)</f>
        <v>117.25999999999999</v>
      </c>
      <c r="CA58" s="14">
        <f t="shared" si="39"/>
        <v>31.035082738664709</v>
      </c>
      <c r="CB58" s="22">
        <f t="shared" si="10"/>
        <v>258.28060243650765</v>
      </c>
      <c r="CC58" s="62">
        <f t="shared" si="11"/>
        <v>498.39740143349081</v>
      </c>
      <c r="CD58" s="62">
        <f ca="1">AVERAGE(OFFSET($CC$3,0,0,'Données projet'!$E$12+1,1))-AVERAGE(OFFSET($H$3,0,0,'Données projet'!$E$12+1,1))</f>
        <v>300.72820267660154</v>
      </c>
      <c r="CE58" s="62">
        <f t="shared" si="40"/>
        <v>228.35388778608589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153.2051282051282</v>
      </c>
      <c r="CR58" s="13">
        <f>VLOOKUP(A58,'Données projet'!$A$139:$I$159,9,0)</f>
        <v>4.4871794871794863</v>
      </c>
      <c r="CS58" s="13">
        <f t="array" ref="CS58">INDEX(CR:CR,MIN(IF(ISNUMBER(CR58:CR254),ROW(CR58:CR254),"")))</f>
        <v>4.4871794871794863</v>
      </c>
      <c r="CT58" s="13">
        <f>IF('Données projet'!$A$140&gt;35,CT57+CS58-DB57,IF(A58&lt;'Données projet'!$A$140,$CQ$205^A58,IF(A58='Données projet'!$A$140,'Données projet'!$B$140,CT57+CS58-DB57)))</f>
        <v>153.20512820512812</v>
      </c>
      <c r="CU58" s="18">
        <f>CT58*VLOOKUP('Données projet'!$B$13,Paramètres!$A$1:$I$89,3,0)*VLOOKUP('Données projet'!$B$13,Paramètres!$A$1:$I$89,5,0)</f>
        <v>131.44999999999993</v>
      </c>
      <c r="CV58" s="14">
        <f t="shared" si="41"/>
        <v>34.331195156222883</v>
      </c>
      <c r="CW58" s="22">
        <f t="shared" si="13"/>
        <v>288.73558156375475</v>
      </c>
      <c r="CX58" s="62">
        <f t="shared" si="14"/>
        <v>528.85238056073786</v>
      </c>
      <c r="CY58" s="62">
        <f ca="1">AVERAGE(OFFSET($CX$3,0,0,'Données projet'!$E$13+1,1))-AVERAGE(OFFSET($H$3,0,0,'Données projet'!$E$13+1,1))</f>
        <v>384.3367849108829</v>
      </c>
      <c r="CZ58" s="62">
        <f t="shared" si="42"/>
        <v>238.2697272367603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10.542307692307702</v>
      </c>
      <c r="DO58" s="13">
        <f>IF('Données projet'!$A$166&gt;35,DO57+DN58-DW57,IF(A58&lt;'Données projet'!$A$166,$DL$205^A58,IF(A58='Données projet'!$A$166,'Données projet'!$B$166,DO57+DN58-DW57)))</f>
        <v>263.69999999999982</v>
      </c>
      <c r="DP58" s="18">
        <f>DO58*VLOOKUP('Données projet'!$B$14,Paramètres!$A$1:$I$89,3,0)*VLOOKUP('Données projet'!$B$14,Paramètres!$A$1:$I$89,5,0)</f>
        <v>123.41159999999991</v>
      </c>
      <c r="DQ58" s="14">
        <f t="shared" si="43"/>
        <v>32.46939610718038</v>
      </c>
      <c r="DR58" s="22">
        <f t="shared" si="16"/>
        <v>271.49273488667239</v>
      </c>
      <c r="DS58" s="62">
        <f t="shared" si="17"/>
        <v>511.60953388365556</v>
      </c>
      <c r="DT58" s="62">
        <f ca="1">AVERAGE(OFFSET($DS$3,0,0,'Données projet'!$E$14+1,1))-AVERAGE(OFFSET($H$3,0,0,'Données projet'!$E$14+1,1))</f>
        <v>304.1100958939968</v>
      </c>
      <c r="DU58" s="62">
        <f t="shared" si="44"/>
        <v>184.1255966824568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153.2051282051282</v>
      </c>
      <c r="EH58" s="13">
        <f>VLOOKUP(A58,'Données projet'!$A$191:$I$211,9,0)</f>
        <v>4.4871794871794863</v>
      </c>
      <c r="EI58" s="13">
        <f t="array" ref="EI58">INDEX(EH:EH,MIN(IF(ISNUMBER(EH58:EH254),ROW(EH58:EH254),"")))</f>
        <v>4.4871794871794863</v>
      </c>
      <c r="EJ58" s="13">
        <f>IF('Données projet'!$A$192&gt;35,EJ57+EI58-ER57,IF(A58&lt;'Données projet'!$A$192,$EG$205^A58,IF(A58='Données projet'!$A$192,'Données projet'!$B$192,EJ57+EI58-ER57)))</f>
        <v>153.20512820512812</v>
      </c>
      <c r="EK58" s="18">
        <f>EJ58*VLOOKUP('Données projet'!$B$15,Paramètres!$A$1:$I$89,3,0)*VLOOKUP('Données projet'!$B$15,Paramètres!$A$1:$I$89,5,0)</f>
        <v>155.34999999999994</v>
      </c>
      <c r="EL58" s="14">
        <f t="shared" si="45"/>
        <v>39.79190142604034</v>
      </c>
      <c r="EM58" s="22">
        <f t="shared" si="19"/>
        <v>339.87214498368684</v>
      </c>
      <c r="EN58" s="62">
        <f t="shared" si="20"/>
        <v>579.98894398067</v>
      </c>
      <c r="EO58" s="62">
        <f ca="1">AVERAGE(OFFSET($EN$3,0,0,'Données projet'!$E$15+1,1))-AVERAGE(OFFSET($H$3,0,0,'Données projet'!$E$15+1,1))</f>
        <v>435.03433721979218</v>
      </c>
      <c r="EP58" s="62">
        <f t="shared" si="46"/>
        <v>267.10015759286387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153.2051282051282</v>
      </c>
      <c r="FC58" s="13">
        <f>VLOOKUP(A58,'Données projet'!$A$217:$I$237,9,0)</f>
        <v>4.4871794871794863</v>
      </c>
      <c r="FD58" s="13">
        <f t="array" ref="FD58">INDEX(FC:FC,MIN(IF(ISNUMBER(FC58:FC254),ROW(FC58:FC254),"")))</f>
        <v>4.4871794871794863</v>
      </c>
      <c r="FE58" s="13">
        <f>IF('Données projet'!$A$218&gt;35,FE57+FD58-FM57,IF(A58&lt;'Données projet'!$A$218,$FB$205^A58,IF(A58='Données projet'!$A$218,'Données projet'!$B$218,FE57+FD58-FM57)))</f>
        <v>153.20512820512812</v>
      </c>
      <c r="FF58" s="18">
        <f>FE58*VLOOKUP('Données projet'!$B$16,Paramètres!$A$1:$I$89,3,0)*VLOOKUP('Données projet'!$B$16,Paramètres!$A$1:$I$89,5,0)</f>
        <v>160.12999999999991</v>
      </c>
      <c r="FG58" s="14">
        <f t="shared" si="47"/>
        <v>40.871835883430627</v>
      </c>
      <c r="FH58" s="22">
        <f t="shared" si="22"/>
        <v>350.07819749697484</v>
      </c>
      <c r="FI58" s="62">
        <f t="shared" si="23"/>
        <v>590.194996493958</v>
      </c>
      <c r="FJ58" s="62">
        <f ca="1">AVERAGE(OFFSET($FI$3,0,0,'Données projet'!$E$16+1,1))-AVERAGE(OFFSET($H$3,0,0,'Données projet'!$E$16+1,1))</f>
        <v>445.15313998584293</v>
      </c>
      <c r="FK58" s="62">
        <f t="shared" si="48"/>
        <v>272.85357736694834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133</v>
      </c>
      <c r="FX58" s="13">
        <f>VLOOKUP(A58,'Données projet'!$A$243:$I$263,9,0)</f>
        <v>3.4</v>
      </c>
      <c r="FY58" s="13">
        <f t="array" ref="FY58">INDEX(FX:FX,MIN(IF(ISNUMBER(FX58:FX254),ROW(FX58:FX254),"")))</f>
        <v>3.4</v>
      </c>
      <c r="FZ58" s="13">
        <f>IF('Données projet'!$A$244&gt;35,FZ57+FY58-GH57,IF(A58&lt;'Données projet'!$A$244,$FW$205^A58,IF(A58='Données projet'!$A$244,'Données projet'!$B$244,FZ57+FY58-GH57)))</f>
        <v>132.99999999999997</v>
      </c>
      <c r="GA58" s="18">
        <f>FZ58*VLOOKUP('Données projet'!$B$17,Paramètres!$A$1:$I$89,3,0)*VLOOKUP('Données projet'!$B$17,Paramètres!$A$1:$I$89,5,0)</f>
        <v>116.18879999999999</v>
      </c>
      <c r="GB58" s="14">
        <f t="shared" si="49"/>
        <v>30.784436657961702</v>
      </c>
      <c r="GC58" s="22">
        <f t="shared" si="25"/>
        <v>255.97838717928323</v>
      </c>
      <c r="GD58" s="62">
        <f t="shared" si="26"/>
        <v>496.09518617626634</v>
      </c>
      <c r="GE58" s="62">
        <f ca="1">AVERAGE(OFFSET($GD$3,0,0,'Données projet'!$E$17+1,1))-AVERAGE(OFFSET($H$3,0,0,'Données projet'!$E$17+1,1))</f>
        <v>248.82613595888964</v>
      </c>
      <c r="GF58" s="62">
        <f t="shared" si="50"/>
        <v>255.8298580882084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135.66666666666666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4.9549450549450569</v>
      </c>
      <c r="N59" s="14">
        <f>IF('Données projet'!$A$36&gt;35,N58+M59-V58,IF(A59&lt;'Données projet'!$A$36,$K$205^A59,IF(A59='Données projet'!$A$36,'Données projet'!$B$36,N58+M59-V58)))</f>
        <v>133.1428571428572</v>
      </c>
      <c r="O59" s="14">
        <f>N59*VLOOKUP('Données projet'!$B$9,Paramètres!$A$1:$I$89,3,0)*VLOOKUP('Données projet'!$B$9,Paramètres!$A$1:$I$89,5,0)</f>
        <v>77.888571428571467</v>
      </c>
      <c r="P59" s="14">
        <f t="shared" si="33"/>
        <v>21.620127965814167</v>
      </c>
      <c r="Q59" s="22">
        <f t="shared" si="53"/>
        <v>173.31098477855497</v>
      </c>
      <c r="R59" s="62">
        <f t="shared" si="0"/>
        <v>414.35097167192657</v>
      </c>
      <c r="S59" s="62">
        <f ca="1">AVERAGE(OFFSET($R$3,0,0,'Données projet'!$E$9+1,1))-AVERAGE(OFFSET($H$3,0,0,'Données projet'!$E$9+1,1))</f>
        <v>221.18884567967481</v>
      </c>
      <c r="T59" s="62">
        <f t="shared" si="34"/>
        <v>189.31596996710888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1.7724999999999995</v>
      </c>
      <c r="AI59" s="14">
        <f>IF('Données projet'!$A$62&gt;35,AI58+AH59-AQ58,IF(A59&lt;'Données projet'!$A$62,$AF$205^A59,IF(A59='Données projet'!$A$62,'Données projet'!$B$62,AI58+AH59-AQ58)))</f>
        <v>77.272499999999994</v>
      </c>
      <c r="AJ59" s="14">
        <f>AI59*VLOOKUP('Données projet'!$B$10,Paramètres!$A$1:$I$89,3,0)*VLOOKUP('Données projet'!$B$10,Paramètres!$A$1:$I$89,5,0)</f>
        <v>89.017919999999989</v>
      </c>
      <c r="AK59" s="14">
        <f t="shared" si="35"/>
        <v>24.328219911088187</v>
      </c>
      <c r="AL59" s="22">
        <f t="shared" si="4"/>
        <v>197.41119367847855</v>
      </c>
      <c r="AM59" s="62">
        <f t="shared" si="5"/>
        <v>438.45118057185016</v>
      </c>
      <c r="AN59" s="62">
        <f ca="1">AVERAGE(OFFSET($AM$3,0,0,'Données projet'!$E$10+1,1))-AVERAGE(OFFSET($H$3,0,0,'Données projet'!$E$10+1,1))</f>
        <v>314.72063458462026</v>
      </c>
      <c r="AO59" s="62">
        <f t="shared" si="36"/>
        <v>216.4380325968244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4.2307692307692317</v>
      </c>
      <c r="BD59" s="13">
        <f>IF('Données projet'!$A$88&gt;35,BD58+BC59-BL58,IF(A59&lt;'Données projet'!$A$88,$BA$205^A59,IF(A59='Données projet'!$A$88,'Données projet'!$B$88,BD58+BC59-BL58)))</f>
        <v>157.43589743589735</v>
      </c>
      <c r="BE59" s="14">
        <f>BD59*VLOOKUP('Données projet'!$B$11,Paramètres!$A$1:$I$89,3,0)*VLOOKUP('Données projet'!$B$11,Paramètres!$A$1:$I$89,5,0)</f>
        <v>169.46399999999988</v>
      </c>
      <c r="BF59" s="14">
        <f t="shared" si="37"/>
        <v>42.96995536119595</v>
      </c>
      <c r="BG59" s="22">
        <f t="shared" si="7"/>
        <v>369.98913892074944</v>
      </c>
      <c r="BH59" s="62">
        <f t="shared" si="8"/>
        <v>611.02912581412102</v>
      </c>
      <c r="BI59" s="62">
        <f ca="1">AVERAGE(OFFSET($BH$3,0,0,'Données projet'!$E$11+1,1))-AVERAGE(OFFSET($H$3,0,0,'Données projet'!$E$11+1,1))</f>
        <v>455.26558725507834</v>
      </c>
      <c r="BJ59" s="62">
        <f t="shared" si="38"/>
        <v>278.60310966788552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3</v>
      </c>
      <c r="BY59" s="13">
        <f>IF('Données projet'!$A$114&gt;35,BY58+BX59-CG58,IF(A59&lt;'Données projet'!$A$114,$BV$205^A59,IF(A59='Données projet'!$A$114,'Données projet'!$B$114,BY58+BX59-CG58)))</f>
        <v>228.49999999999997</v>
      </c>
      <c r="BZ59" s="14">
        <f>BY59*VLOOKUP('Données projet'!$B$12,Paramètres!$A$1:$I$89,3,0)*VLOOKUP('Données projet'!$B$12,Paramètres!$A$1:$I$89,5,0)</f>
        <v>118.82</v>
      </c>
      <c r="CA59" s="14">
        <f t="shared" si="39"/>
        <v>31.399625586642003</v>
      </c>
      <c r="CB59" s="22">
        <f t="shared" si="10"/>
        <v>261.63251456340146</v>
      </c>
      <c r="CC59" s="62">
        <f t="shared" si="11"/>
        <v>502.67250145677309</v>
      </c>
      <c r="CD59" s="62">
        <f ca="1">AVERAGE(OFFSET($CC$3,0,0,'Données projet'!$E$12+1,1))-AVERAGE(OFFSET($H$3,0,0,'Données projet'!$E$12+1,1))</f>
        <v>300.72820267660154</v>
      </c>
      <c r="CE59" s="62">
        <f t="shared" si="40"/>
        <v>228.35388778608589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4.2307692307692317</v>
      </c>
      <c r="CT59" s="13">
        <f>IF('Données projet'!$A$140&gt;35,CT58+CS59-DB58,IF(A59&lt;'Données projet'!$A$140,$CQ$205^A59,IF(A59='Données projet'!$A$140,'Données projet'!$B$140,CT58+CS59-DB58)))</f>
        <v>157.43589743589735</v>
      </c>
      <c r="CU59" s="18">
        <f>CT59*VLOOKUP('Données projet'!$B$13,Paramètres!$A$1:$I$89,3,0)*VLOOKUP('Données projet'!$B$13,Paramètres!$A$1:$I$89,5,0)</f>
        <v>135.07999999999993</v>
      </c>
      <c r="CV59" s="14">
        <f t="shared" si="41"/>
        <v>35.167566583022456</v>
      </c>
      <c r="CW59" s="22">
        <f t="shared" si="13"/>
        <v>296.51451179876398</v>
      </c>
      <c r="CX59" s="62">
        <f t="shared" si="14"/>
        <v>537.55449869213567</v>
      </c>
      <c r="CY59" s="62">
        <f ca="1">AVERAGE(OFFSET($CX$3,0,0,'Données projet'!$E$13+1,1))-AVERAGE(OFFSET($H$3,0,0,'Données projet'!$E$13+1,1))</f>
        <v>384.3367849108829</v>
      </c>
      <c r="CZ59" s="62">
        <f t="shared" si="42"/>
        <v>238.2697272367603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10.542307692307702</v>
      </c>
      <c r="DO59" s="13">
        <f>IF('Données projet'!$A$166&gt;35,DO58+DN59-DW58,IF(A59&lt;'Données projet'!$A$166,$DL$205^A59,IF(A59='Données projet'!$A$166,'Données projet'!$B$166,DO58+DN59-DW58)))</f>
        <v>274.24230769230752</v>
      </c>
      <c r="DP59" s="18">
        <f>DO59*VLOOKUP('Données projet'!$B$14,Paramètres!$A$1:$I$89,3,0)*VLOOKUP('Données projet'!$B$14,Paramètres!$A$1:$I$89,5,0)</f>
        <v>128.34539999999993</v>
      </c>
      <c r="DQ59" s="14">
        <f t="shared" si="43"/>
        <v>33.61374529088544</v>
      </c>
      <c r="DR59" s="22">
        <f t="shared" si="16"/>
        <v>282.07884471495868</v>
      </c>
      <c r="DS59" s="62">
        <f t="shared" si="17"/>
        <v>523.11883160833031</v>
      </c>
      <c r="DT59" s="62">
        <f ca="1">AVERAGE(OFFSET($DS$3,0,0,'Données projet'!$E$14+1,1))-AVERAGE(OFFSET($H$3,0,0,'Données projet'!$E$14+1,1))</f>
        <v>304.1100958939968</v>
      </c>
      <c r="DU59" s="62">
        <f t="shared" si="44"/>
        <v>184.1255966824568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4.2307692307692317</v>
      </c>
      <c r="EJ59" s="13">
        <f>IF('Données projet'!$A$192&gt;35,EJ58+EI59-ER58,IF(A59&lt;'Données projet'!$A$192,$EG$205^A59,IF(A59='Données projet'!$A$192,'Données projet'!$B$192,EJ58+EI59-ER58)))</f>
        <v>157.43589743589735</v>
      </c>
      <c r="EK59" s="18">
        <f>EJ59*VLOOKUP('Données projet'!$B$15,Paramètres!$A$1:$I$89,3,0)*VLOOKUP('Données projet'!$B$15,Paramètres!$A$1:$I$89,5,0)</f>
        <v>159.6399999999999</v>
      </c>
      <c r="EL59" s="14">
        <f t="shared" si="45"/>
        <v>40.761305759892423</v>
      </c>
      <c r="EM59" s="22">
        <f t="shared" si="19"/>
        <v>349.03227419847917</v>
      </c>
      <c r="EN59" s="62">
        <f t="shared" si="20"/>
        <v>590.07226109185081</v>
      </c>
      <c r="EO59" s="62">
        <f ca="1">AVERAGE(OFFSET($EN$3,0,0,'Données projet'!$E$15+1,1))-AVERAGE(OFFSET($H$3,0,0,'Données projet'!$E$15+1,1))</f>
        <v>435.03433721979218</v>
      </c>
      <c r="EP59" s="62">
        <f t="shared" si="46"/>
        <v>267.10015759286387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4.2307692307692317</v>
      </c>
      <c r="FE59" s="13">
        <f>IF('Données projet'!$A$218&gt;35,FE58+FD59-FM58,IF(A59&lt;'Données projet'!$A$218,$FB$205^A59,IF(A59='Données projet'!$A$218,'Données projet'!$B$218,FE58+FD59-FM58)))</f>
        <v>157.43589743589735</v>
      </c>
      <c r="FF59" s="18">
        <f>FE59*VLOOKUP('Données projet'!$B$16,Paramètres!$A$1:$I$89,3,0)*VLOOKUP('Données projet'!$B$16,Paramètres!$A$1:$I$89,5,0)</f>
        <v>164.55199999999994</v>
      </c>
      <c r="FG59" s="14">
        <f t="shared" si="47"/>
        <v>41.867549418546126</v>
      </c>
      <c r="FH59" s="22">
        <f t="shared" si="22"/>
        <v>359.51404857063443</v>
      </c>
      <c r="FI59" s="62">
        <f t="shared" si="23"/>
        <v>600.55403546400612</v>
      </c>
      <c r="FJ59" s="62">
        <f ca="1">AVERAGE(OFFSET($FI$3,0,0,'Données projet'!$E$16+1,1))-AVERAGE(OFFSET($H$3,0,0,'Données projet'!$E$16+1,1))</f>
        <v>445.15313998584293</v>
      </c>
      <c r="FK59" s="62">
        <f t="shared" si="48"/>
        <v>272.85357736694834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3.2</v>
      </c>
      <c r="FZ59" s="13">
        <f>IF('Données projet'!$A$244&gt;35,FZ58+FY59-GH58,IF(A59&lt;'Données projet'!$A$244,$FW$205^A59,IF(A59='Données projet'!$A$244,'Données projet'!$B$244,FZ58+FY59-GH58)))</f>
        <v>136.19999999999996</v>
      </c>
      <c r="GA59" s="18">
        <f>FZ59*VLOOKUP('Données projet'!$B$17,Paramètres!$A$1:$I$89,3,0)*VLOOKUP('Données projet'!$B$17,Paramètres!$A$1:$I$89,5,0)</f>
        <v>118.98432</v>
      </c>
      <c r="GB59" s="14">
        <f t="shared" si="49"/>
        <v>31.437991550787316</v>
      </c>
      <c r="GC59" s="22">
        <f t="shared" si="25"/>
        <v>261.98552595095452</v>
      </c>
      <c r="GD59" s="62">
        <f t="shared" si="26"/>
        <v>503.02551284432616</v>
      </c>
      <c r="GE59" s="62">
        <f ca="1">AVERAGE(OFFSET($GD$3,0,0,'Données projet'!$E$17+1,1))-AVERAGE(OFFSET($H$3,0,0,'Données projet'!$E$17+1,1))</f>
        <v>248.82613595888964</v>
      </c>
      <c r="GF59" s="62">
        <f t="shared" si="50"/>
        <v>255.8298580882084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135.66666666666666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4.9549450549450569</v>
      </c>
      <c r="N60" s="14">
        <f>IF('Données projet'!$A$36&gt;35,N59+M60-V59,IF(A60&lt;'Données projet'!$A$36,$K$205^A60,IF(A60='Données projet'!$A$36,'Données projet'!$B$36,N59+M60-V59)))</f>
        <v>138.09780219780225</v>
      </c>
      <c r="O60" s="14">
        <f>N60*VLOOKUP('Données projet'!$B$9,Paramètres!$A$1:$I$89,3,0)*VLOOKUP('Données projet'!$B$9,Paramètres!$A$1:$I$89,5,0)</f>
        <v>80.787214285714327</v>
      </c>
      <c r="P60" s="14">
        <f t="shared" si="33"/>
        <v>22.329552283741958</v>
      </c>
      <c r="Q60" s="22">
        <f t="shared" si="53"/>
        <v>179.59503510846969</v>
      </c>
      <c r="R60" s="62">
        <f t="shared" si="0"/>
        <v>421.54219465216647</v>
      </c>
      <c r="S60" s="62">
        <f ca="1">AVERAGE(OFFSET($R$3,0,0,'Données projet'!$E$9+1,1))-AVERAGE(OFFSET($H$3,0,0,'Données projet'!$E$9+1,1))</f>
        <v>221.18884567967481</v>
      </c>
      <c r="T60" s="62">
        <f t="shared" si="34"/>
        <v>189.31596996710888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1.7724999999999995</v>
      </c>
      <c r="AI60" s="14">
        <f>IF('Données projet'!$A$62&gt;35,AI59+AH60-AQ59,IF(A60&lt;'Données projet'!$A$62,$AF$205^A60,IF(A60='Données projet'!$A$62,'Données projet'!$B$62,AI59+AH60-AQ59)))</f>
        <v>79.044999999999987</v>
      </c>
      <c r="AJ60" s="14">
        <f>AI60*VLOOKUP('Données projet'!$B$10,Paramètres!$A$1:$I$89,3,0)*VLOOKUP('Données projet'!$B$10,Paramètres!$A$1:$I$89,5,0)</f>
        <v>91.05983999999998</v>
      </c>
      <c r="AK60" s="14">
        <f t="shared" si="35"/>
        <v>24.820658459728463</v>
      </c>
      <c r="AL60" s="22">
        <f t="shared" si="4"/>
        <v>201.82520148402705</v>
      </c>
      <c r="AM60" s="62">
        <f t="shared" si="5"/>
        <v>443.77236102772383</v>
      </c>
      <c r="AN60" s="62">
        <f ca="1">AVERAGE(OFFSET($AM$3,0,0,'Données projet'!$E$10+1,1))-AVERAGE(OFFSET($H$3,0,0,'Données projet'!$E$10+1,1))</f>
        <v>314.72063458462026</v>
      </c>
      <c r="AO60" s="62">
        <f t="shared" si="36"/>
        <v>216.4380325968244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4.2307692307692317</v>
      </c>
      <c r="BD60" s="13">
        <f>IF('Données projet'!$A$88&gt;35,BD59+BC60-BL59,IF(A60&lt;'Données projet'!$A$88,$BA$205^A60,IF(A60='Données projet'!$A$88,'Données projet'!$B$88,BD59+BC60-BL59)))</f>
        <v>161.66666666666657</v>
      </c>
      <c r="BE60" s="14">
        <f>BD60*VLOOKUP('Données projet'!$B$11,Paramètres!$A$1:$I$89,3,0)*VLOOKUP('Données projet'!$B$11,Paramètres!$A$1:$I$89,5,0)</f>
        <v>174.01799999999989</v>
      </c>
      <c r="BF60" s="14">
        <f t="shared" si="37"/>
        <v>43.988694800618916</v>
      </c>
      <c r="BG60" s="22">
        <f t="shared" si="7"/>
        <v>379.69499344441101</v>
      </c>
      <c r="BH60" s="62">
        <f t="shared" si="8"/>
        <v>621.6421529881078</v>
      </c>
      <c r="BI60" s="62">
        <f ca="1">AVERAGE(OFFSET($BH$3,0,0,'Données projet'!$E$11+1,1))-AVERAGE(OFFSET($H$3,0,0,'Données projet'!$E$11+1,1))</f>
        <v>455.26558725507834</v>
      </c>
      <c r="BJ60" s="62">
        <f t="shared" si="38"/>
        <v>278.60310966788552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3</v>
      </c>
      <c r="BY60" s="13">
        <f>IF('Données projet'!$A$114&gt;35,BY59+BX60-CG59,IF(A60&lt;'Données projet'!$A$114,$BV$205^A60,IF(A60='Données projet'!$A$114,'Données projet'!$B$114,BY59+BX60-CG59)))</f>
        <v>231.49999999999997</v>
      </c>
      <c r="BZ60" s="14">
        <f>BY60*VLOOKUP('Données projet'!$B$12,Paramètres!$A$1:$I$89,3,0)*VLOOKUP('Données projet'!$B$12,Paramètres!$A$1:$I$89,5,0)</f>
        <v>120.38</v>
      </c>
      <c r="CA60" s="14">
        <f t="shared" si="39"/>
        <v>31.763611738750697</v>
      </c>
      <c r="CB60" s="22">
        <f t="shared" si="10"/>
        <v>264.9834571116574</v>
      </c>
      <c r="CC60" s="62">
        <f t="shared" si="11"/>
        <v>506.93061665535419</v>
      </c>
      <c r="CD60" s="62">
        <f ca="1">AVERAGE(OFFSET($CC$3,0,0,'Données projet'!$E$12+1,1))-AVERAGE(OFFSET($H$3,0,0,'Données projet'!$E$12+1,1))</f>
        <v>300.72820267660154</v>
      </c>
      <c r="CE60" s="62">
        <f t="shared" si="40"/>
        <v>228.35388778608589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4.2307692307692317</v>
      </c>
      <c r="CT60" s="13">
        <f>IF('Données projet'!$A$140&gt;35,CT59+CS60-DB59,IF(A60&lt;'Données projet'!$A$140,$CQ$205^A60,IF(A60='Données projet'!$A$140,'Données projet'!$B$140,CT59+CS60-DB59)))</f>
        <v>161.66666666666657</v>
      </c>
      <c r="CU60" s="18">
        <f>CT60*VLOOKUP('Données projet'!$B$13,Paramètres!$A$1:$I$89,3,0)*VLOOKUP('Données projet'!$B$13,Paramètres!$A$1:$I$89,5,0)</f>
        <v>138.70999999999995</v>
      </c>
      <c r="CV60" s="14">
        <f t="shared" si="41"/>
        <v>36.00132558429457</v>
      </c>
      <c r="CW60" s="22">
        <f t="shared" si="13"/>
        <v>304.2888920593129</v>
      </c>
      <c r="CX60" s="62">
        <f t="shared" si="14"/>
        <v>546.23605160300963</v>
      </c>
      <c r="CY60" s="62">
        <f ca="1">AVERAGE(OFFSET($CX$3,0,0,'Données projet'!$E$13+1,1))-AVERAGE(OFFSET($H$3,0,0,'Données projet'!$E$13+1,1))</f>
        <v>384.3367849108829</v>
      </c>
      <c r="CZ60" s="62">
        <f t="shared" si="42"/>
        <v>238.2697272367603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>
        <f>VLOOKUP(A60,'Données projet'!$A$165:$I$185,2,0)</f>
        <v>284.78461538461539</v>
      </c>
      <c r="DM60" s="13">
        <f>VLOOKUP(A60,'Données projet'!$A$165:$I$185,9,0)</f>
        <v>10.542307692307702</v>
      </c>
      <c r="DN60" s="13">
        <f t="array" ref="DN60">INDEX(DM:DM,MIN(IF(ISNUMBER(DM60:DM256),ROW(DM60:DM256),"")))</f>
        <v>10.542307692307702</v>
      </c>
      <c r="DO60" s="13">
        <f>IF('Données projet'!$A$166&gt;35,DO59+DN60-DW59,IF(A60&lt;'Données projet'!$A$166,$DL$205^A60,IF(A60='Données projet'!$A$166,'Données projet'!$B$166,DO59+DN60-DW59)))</f>
        <v>284.78461538461522</v>
      </c>
      <c r="DP60" s="18">
        <f>DO60*VLOOKUP('Données projet'!$B$14,Paramètres!$A$1:$I$89,3,0)*VLOOKUP('Données projet'!$B$14,Paramètres!$A$1:$I$89,5,0)</f>
        <v>133.27919999999992</v>
      </c>
      <c r="DQ60" s="14">
        <f t="shared" si="43"/>
        <v>34.752984079426945</v>
      </c>
      <c r="DR60" s="22">
        <f t="shared" si="16"/>
        <v>292.65605393833511</v>
      </c>
      <c r="DS60" s="62">
        <f t="shared" si="17"/>
        <v>534.60321348203183</v>
      </c>
      <c r="DT60" s="62">
        <f ca="1">AVERAGE(OFFSET($DS$3,0,0,'Données projet'!$E$14+1,1))-AVERAGE(OFFSET($H$3,0,0,'Données projet'!$E$14+1,1))</f>
        <v>304.1100958939968</v>
      </c>
      <c r="DU60" s="62">
        <f t="shared" si="44"/>
        <v>184.1255966824568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4.2307692307692317</v>
      </c>
      <c r="EJ60" s="13">
        <f>IF('Données projet'!$A$192&gt;35,EJ59+EI60-ER59,IF(A60&lt;'Données projet'!$A$192,$EG$205^A60,IF(A60='Données projet'!$A$192,'Données projet'!$B$192,EJ59+EI60-ER59)))</f>
        <v>161.66666666666657</v>
      </c>
      <c r="EK60" s="18">
        <f>EJ60*VLOOKUP('Données projet'!$B$15,Paramètres!$A$1:$I$89,3,0)*VLOOKUP('Données projet'!$B$15,Paramètres!$A$1:$I$89,5,0)</f>
        <v>163.92999999999992</v>
      </c>
      <c r="EL60" s="14">
        <f t="shared" si="45"/>
        <v>41.727682136850021</v>
      </c>
      <c r="EM60" s="22">
        <f t="shared" si="19"/>
        <v>358.18712972168026</v>
      </c>
      <c r="EN60" s="62">
        <f t="shared" si="20"/>
        <v>600.13428926537699</v>
      </c>
      <c r="EO60" s="62">
        <f ca="1">AVERAGE(OFFSET($EN$3,0,0,'Données projet'!$E$15+1,1))-AVERAGE(OFFSET($H$3,0,0,'Données projet'!$E$15+1,1))</f>
        <v>435.03433721979218</v>
      </c>
      <c r="EP60" s="62">
        <f t="shared" si="46"/>
        <v>267.10015759286387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4.2307692307692317</v>
      </c>
      <c r="FE60" s="13">
        <f>IF('Données projet'!$A$218&gt;35,FE59+FD60-FM59,IF(A60&lt;'Données projet'!$A$218,$FB$205^A60,IF(A60='Données projet'!$A$218,'Données projet'!$B$218,FE59+FD60-FM59)))</f>
        <v>161.66666666666657</v>
      </c>
      <c r="FF60" s="18">
        <f>FE60*VLOOKUP('Données projet'!$B$16,Paramètres!$A$1:$I$89,3,0)*VLOOKUP('Données projet'!$B$16,Paramètres!$A$1:$I$89,5,0)</f>
        <v>168.9739999999999</v>
      </c>
      <c r="FG60" s="14">
        <f t="shared" si="47"/>
        <v>42.860152819367428</v>
      </c>
      <c r="FH60" s="22">
        <f t="shared" si="22"/>
        <v>368.94448282706475</v>
      </c>
      <c r="FI60" s="62">
        <f t="shared" si="23"/>
        <v>610.89164237076147</v>
      </c>
      <c r="FJ60" s="62">
        <f ca="1">AVERAGE(OFFSET($FI$3,0,0,'Données projet'!$E$16+1,1))-AVERAGE(OFFSET($H$3,0,0,'Données projet'!$E$16+1,1))</f>
        <v>445.15313998584293</v>
      </c>
      <c r="FK60" s="62">
        <f t="shared" si="48"/>
        <v>272.85357736694834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3.2</v>
      </c>
      <c r="FZ60" s="13">
        <f>IF('Données projet'!$A$244&gt;35,FZ59+FY60-GH59,IF(A60&lt;'Données projet'!$A$244,$FW$205^A60,IF(A60='Données projet'!$A$244,'Données projet'!$B$244,FZ59+FY60-GH59)))</f>
        <v>139.39999999999995</v>
      </c>
      <c r="GA60" s="18">
        <f>FZ60*VLOOKUP('Données projet'!$B$17,Paramètres!$A$1:$I$89,3,0)*VLOOKUP('Données projet'!$B$17,Paramètres!$A$1:$I$89,5,0)</f>
        <v>121.77983999999996</v>
      </c>
      <c r="GB60" s="14">
        <f t="shared" si="49"/>
        <v>32.089761368755156</v>
      </c>
      <c r="GC60" s="22">
        <f t="shared" si="25"/>
        <v>267.98955571724849</v>
      </c>
      <c r="GD60" s="62">
        <f t="shared" si="26"/>
        <v>509.93671526094528</v>
      </c>
      <c r="GE60" s="62">
        <f ca="1">AVERAGE(OFFSET($GD$3,0,0,'Données projet'!$E$17+1,1))-AVERAGE(OFFSET($H$3,0,0,'Données projet'!$E$17+1,1))</f>
        <v>248.82613595888964</v>
      </c>
      <c r="GF60" s="62">
        <f t="shared" si="50"/>
        <v>255.8298580882084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135.66666666666666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4.9549450549450569</v>
      </c>
      <c r="N61" s="14">
        <f>IF('Données projet'!$A$36&gt;35,N60+M61-V60,IF(A61&lt;'Données projet'!$A$36,$K$205^A61,IF(A61='Données projet'!$A$36,'Données projet'!$B$36,N60+M61-V60)))</f>
        <v>143.05274725274731</v>
      </c>
      <c r="O61" s="14">
        <f>N61*VLOOKUP('Données projet'!$B$9,Paramètres!$A$1:$I$89,3,0)*VLOOKUP('Données projet'!$B$9,Paramètres!$A$1:$I$89,5,0)</f>
        <v>83.685857142857188</v>
      </c>
      <c r="P61" s="14">
        <f t="shared" si="33"/>
        <v>23.036019249899919</v>
      </c>
      <c r="Q61" s="22">
        <f t="shared" si="53"/>
        <v>185.87393471738528</v>
      </c>
      <c r="R61" s="62">
        <f t="shared" si="0"/>
        <v>428.71252949405834</v>
      </c>
      <c r="S61" s="62">
        <f ca="1">AVERAGE(OFFSET($R$3,0,0,'Données projet'!$E$9+1,1))-AVERAGE(OFFSET($H$3,0,0,'Données projet'!$E$9+1,1))</f>
        <v>221.18884567967481</v>
      </c>
      <c r="T61" s="62">
        <f t="shared" si="34"/>
        <v>189.31596996710888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1.7724999999999995</v>
      </c>
      <c r="AI61" s="14">
        <f>IF('Données projet'!$A$62&gt;35,AI60+AH61-AQ60,IF(A61&lt;'Données projet'!$A$62,$AF$205^A61,IF(A61='Données projet'!$A$62,'Données projet'!$B$62,AI60+AH61-AQ60)))</f>
        <v>80.817499999999981</v>
      </c>
      <c r="AJ61" s="14">
        <f>AI61*VLOOKUP('Données projet'!$B$10,Paramètres!$A$1:$I$89,3,0)*VLOOKUP('Données projet'!$B$10,Paramètres!$A$1:$I$89,5,0)</f>
        <v>93.10175999999997</v>
      </c>
      <c r="AK61" s="14">
        <f t="shared" si="35"/>
        <v>25.311813234087357</v>
      </c>
      <c r="AL61" s="22">
        <f t="shared" si="4"/>
        <v>206.23697338270208</v>
      </c>
      <c r="AM61" s="62">
        <f t="shared" si="5"/>
        <v>449.07556815937511</v>
      </c>
      <c r="AN61" s="62">
        <f ca="1">AVERAGE(OFFSET($AM$3,0,0,'Données projet'!$E$10+1,1))-AVERAGE(OFFSET($H$3,0,0,'Données projet'!$E$10+1,1))</f>
        <v>314.72063458462026</v>
      </c>
      <c r="AO61" s="62">
        <f t="shared" si="36"/>
        <v>216.4380325968244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4.2307692307692317</v>
      </c>
      <c r="BD61" s="13">
        <f>IF('Données projet'!$A$88&gt;35,BD60+BC61-BL60,IF(A61&lt;'Données projet'!$A$88,$BA$205^A61,IF(A61='Données projet'!$A$88,'Données projet'!$B$88,BD60+BC61-BL60)))</f>
        <v>165.8974358974358</v>
      </c>
      <c r="BE61" s="14">
        <f>BD61*VLOOKUP('Données projet'!$B$11,Paramètres!$A$1:$I$89,3,0)*VLOOKUP('Données projet'!$B$11,Paramètres!$A$1:$I$89,5,0)</f>
        <v>178.57199999999989</v>
      </c>
      <c r="BF61" s="14">
        <f t="shared" si="37"/>
        <v>45.00433535086087</v>
      </c>
      <c r="BG61" s="22">
        <f t="shared" si="7"/>
        <v>389.39545073608247</v>
      </c>
      <c r="BH61" s="62">
        <f t="shared" si="8"/>
        <v>632.23404551275553</v>
      </c>
      <c r="BI61" s="62">
        <f ca="1">AVERAGE(OFFSET($BH$3,0,0,'Données projet'!$E$11+1,1))-AVERAGE(OFFSET($H$3,0,0,'Données projet'!$E$11+1,1))</f>
        <v>455.26558725507834</v>
      </c>
      <c r="BJ61" s="62">
        <f t="shared" si="38"/>
        <v>278.60310966788552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3</v>
      </c>
      <c r="BY61" s="13">
        <f>IF('Données projet'!$A$114&gt;35,BY60+BX61-CG60,IF(A61&lt;'Données projet'!$A$114,$BV$205^A61,IF(A61='Données projet'!$A$114,'Données projet'!$B$114,BY60+BX61-CG60)))</f>
        <v>234.49999999999997</v>
      </c>
      <c r="BZ61" s="14">
        <f>BY61*VLOOKUP('Données projet'!$B$12,Paramètres!$A$1:$I$89,3,0)*VLOOKUP('Données projet'!$B$12,Paramètres!$A$1:$I$89,5,0)</f>
        <v>121.94</v>
      </c>
      <c r="CA61" s="14">
        <f t="shared" si="39"/>
        <v>32.127049243307034</v>
      </c>
      <c r="CB61" s="22">
        <f t="shared" si="10"/>
        <v>268.33344409875974</v>
      </c>
      <c r="CC61" s="62">
        <f t="shared" si="11"/>
        <v>511.1720388754328</v>
      </c>
      <c r="CD61" s="62">
        <f ca="1">AVERAGE(OFFSET($CC$3,0,0,'Données projet'!$E$12+1,1))-AVERAGE(OFFSET($H$3,0,0,'Données projet'!$E$12+1,1))</f>
        <v>300.72820267660154</v>
      </c>
      <c r="CE61" s="62">
        <f t="shared" si="40"/>
        <v>228.35388778608589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4.2307692307692317</v>
      </c>
      <c r="CT61" s="13">
        <f>IF('Données projet'!$A$140&gt;35,CT60+CS61-DB60,IF(A61&lt;'Données projet'!$A$140,$CQ$205^A61,IF(A61='Données projet'!$A$140,'Données projet'!$B$140,CT60+CS61-DB60)))</f>
        <v>165.8974358974358</v>
      </c>
      <c r="CU61" s="18">
        <f>CT61*VLOOKUP('Données projet'!$B$13,Paramètres!$A$1:$I$89,3,0)*VLOOKUP('Données projet'!$B$13,Paramètres!$A$1:$I$89,5,0)</f>
        <v>142.33999999999992</v>
      </c>
      <c r="CV61" s="14">
        <f t="shared" si="41"/>
        <v>36.832548385780335</v>
      </c>
      <c r="CW61" s="22">
        <f t="shared" si="13"/>
        <v>312.05885510523393</v>
      </c>
      <c r="CX61" s="62">
        <f t="shared" si="14"/>
        <v>554.89744988190694</v>
      </c>
      <c r="CY61" s="62">
        <f ca="1">AVERAGE(OFFSET($CX$3,0,0,'Données projet'!$E$13+1,1))-AVERAGE(OFFSET($H$3,0,0,'Données projet'!$E$13+1,1))</f>
        <v>384.3367849108829</v>
      </c>
      <c r="CZ61" s="62">
        <f t="shared" si="42"/>
        <v>238.2697272367603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10.984615384615381</v>
      </c>
      <c r="DO61" s="13">
        <f>IF('Données projet'!$A$166&gt;35,DO60+DN61-DW60,IF(A61&lt;'Données projet'!$A$166,$DL$205^A61,IF(A61='Données projet'!$A$166,'Données projet'!$B$166,DO60+DN61-DW60)))</f>
        <v>295.7692307692306</v>
      </c>
      <c r="DP61" s="18">
        <f>DO61*VLOOKUP('Données projet'!$B$14,Paramètres!$A$1:$I$89,3,0)*VLOOKUP('Données projet'!$B$14,Paramètres!$A$1:$I$89,5,0)</f>
        <v>138.41999999999993</v>
      </c>
      <c r="DQ61" s="14">
        <f t="shared" si="43"/>
        <v>35.934810934702796</v>
      </c>
      <c r="DR61" s="22">
        <f t="shared" si="16"/>
        <v>303.66796237794057</v>
      </c>
      <c r="DS61" s="62">
        <f t="shared" si="17"/>
        <v>546.50655715461357</v>
      </c>
      <c r="DT61" s="62">
        <f ca="1">AVERAGE(OFFSET($DS$3,0,0,'Données projet'!$E$14+1,1))-AVERAGE(OFFSET($H$3,0,0,'Données projet'!$E$14+1,1))</f>
        <v>304.1100958939968</v>
      </c>
      <c r="DU61" s="62">
        <f t="shared" si="44"/>
        <v>184.1255966824568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4.2307692307692317</v>
      </c>
      <c r="EJ61" s="13">
        <f>IF('Données projet'!$A$192&gt;35,EJ60+EI61-ER60,IF(A61&lt;'Données projet'!$A$192,$EG$205^A61,IF(A61='Données projet'!$A$192,'Données projet'!$B$192,EJ60+EI61-ER60)))</f>
        <v>165.8974358974358</v>
      </c>
      <c r="EK61" s="18">
        <f>EJ61*VLOOKUP('Données projet'!$B$15,Paramètres!$A$1:$I$89,3,0)*VLOOKUP('Données projet'!$B$15,Paramètres!$A$1:$I$89,5,0)</f>
        <v>168.21999999999991</v>
      </c>
      <c r="EL61" s="14">
        <f t="shared" si="45"/>
        <v>42.691118907090257</v>
      </c>
      <c r="EM61" s="22">
        <f t="shared" si="19"/>
        <v>367.33686542984861</v>
      </c>
      <c r="EN61" s="62">
        <f t="shared" si="20"/>
        <v>610.17546020652162</v>
      </c>
      <c r="EO61" s="62">
        <f ca="1">AVERAGE(OFFSET($EN$3,0,0,'Données projet'!$E$15+1,1))-AVERAGE(OFFSET($H$3,0,0,'Données projet'!$E$15+1,1))</f>
        <v>435.03433721979218</v>
      </c>
      <c r="EP61" s="62">
        <f t="shared" si="46"/>
        <v>267.10015759286387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4.2307692307692317</v>
      </c>
      <c r="FE61" s="13">
        <f>IF('Données projet'!$A$218&gt;35,FE60+FD61-FM60,IF(A61&lt;'Données projet'!$A$218,$FB$205^A61,IF(A61='Données projet'!$A$218,'Données projet'!$B$218,FE60+FD61-FM60)))</f>
        <v>165.8974358974358</v>
      </c>
      <c r="FF61" s="18">
        <f>FE61*VLOOKUP('Données projet'!$B$16,Paramètres!$A$1:$I$89,3,0)*VLOOKUP('Données projet'!$B$16,Paramètres!$A$1:$I$89,5,0)</f>
        <v>173.39599999999993</v>
      </c>
      <c r="FG61" s="14">
        <f t="shared" si="47"/>
        <v>43.849736833856177</v>
      </c>
      <c r="FH61" s="22">
        <f t="shared" si="22"/>
        <v>378.369658318966</v>
      </c>
      <c r="FI61" s="62">
        <f t="shared" si="23"/>
        <v>621.20825309563907</v>
      </c>
      <c r="FJ61" s="62">
        <f ca="1">AVERAGE(OFFSET($FI$3,0,0,'Données projet'!$E$16+1,1))-AVERAGE(OFFSET($H$3,0,0,'Données projet'!$E$16+1,1))</f>
        <v>445.15313998584293</v>
      </c>
      <c r="FK61" s="62">
        <f t="shared" si="48"/>
        <v>272.85357736694834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3.2</v>
      </c>
      <c r="FZ61" s="13">
        <f>IF('Données projet'!$A$244&gt;35,FZ60+FY61-GH60,IF(A61&lt;'Données projet'!$A$244,$FW$205^A61,IF(A61='Données projet'!$A$244,'Données projet'!$B$244,FZ60+FY61-GH60)))</f>
        <v>142.59999999999994</v>
      </c>
      <c r="GA61" s="18">
        <f>FZ61*VLOOKUP('Données projet'!$B$17,Paramètres!$A$1:$I$89,3,0)*VLOOKUP('Données projet'!$B$17,Paramètres!$A$1:$I$89,5,0)</f>
        <v>124.57535999999995</v>
      </c>
      <c r="GB61" s="14">
        <f t="shared" si="49"/>
        <v>32.739791806000952</v>
      </c>
      <c r="GC61" s="22">
        <f t="shared" si="25"/>
        <v>273.99055606211817</v>
      </c>
      <c r="GD61" s="62">
        <f t="shared" si="26"/>
        <v>516.82915083879118</v>
      </c>
      <c r="GE61" s="62">
        <f ca="1">AVERAGE(OFFSET($GD$3,0,0,'Données projet'!$E$17+1,1))-AVERAGE(OFFSET($H$3,0,0,'Données projet'!$E$17+1,1))</f>
        <v>248.82613595888964</v>
      </c>
      <c r="GF61" s="62">
        <f t="shared" si="50"/>
        <v>255.8298580882084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135.66666666666666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>
        <f>VLOOKUP(A62,'Données projet'!$A$35:$I$55,2,0)</f>
        <v>148.00769230769231</v>
      </c>
      <c r="L62" s="13">
        <f>VLOOKUP(A62,'Données projet'!$A$35:$I$55,9,0)</f>
        <v>4.9549450549450569</v>
      </c>
      <c r="M62" s="13">
        <f t="array" ref="M62">INDEX(L:L,MIN(IF(ISNUMBER(L62:L258),ROW(L62:L258),"")))</f>
        <v>4.9549450549450569</v>
      </c>
      <c r="N62" s="14">
        <f>IF('Données projet'!$A$36&gt;35,N61+M62-V61,IF(A62&lt;'Données projet'!$A$36,$K$205^A62,IF(A62='Données projet'!$A$36,'Données projet'!$B$36,N61+M62-V61)))</f>
        <v>148.00769230769237</v>
      </c>
      <c r="O62" s="14">
        <f>N62*VLOOKUP('Données projet'!$B$9,Paramètres!$A$1:$I$89,3,0)*VLOOKUP('Données projet'!$B$9,Paramètres!$A$1:$I$89,5,0)</f>
        <v>86.584500000000048</v>
      </c>
      <c r="P62" s="14">
        <f t="shared" si="33"/>
        <v>23.739643038177103</v>
      </c>
      <c r="Q62" s="22">
        <f t="shared" si="53"/>
        <v>192.14788245815853</v>
      </c>
      <c r="R62" s="62">
        <f t="shared" si="0"/>
        <v>435.8624480594662</v>
      </c>
      <c r="S62" s="62">
        <f ca="1">AVERAGE(OFFSET($R$3,0,0,'Données projet'!$E$9+1,1))-AVERAGE(OFFSET($H$3,0,0,'Données projet'!$E$9+1,1))</f>
        <v>221.18884567967481</v>
      </c>
      <c r="T62" s="62">
        <f t="shared" si="34"/>
        <v>189.31596996710888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1.7724999999999995</v>
      </c>
      <c r="AI62" s="14">
        <f>IF('Données projet'!$A$62&gt;35,AI61+AH62-AQ61,IF(A62&lt;'Données projet'!$A$62,$AF$205^A62,IF(A62='Données projet'!$A$62,'Données projet'!$B$62,AI61+AH62-AQ61)))</f>
        <v>82.589999999999975</v>
      </c>
      <c r="AJ62" s="14">
        <f>AI62*VLOOKUP('Données projet'!$B$10,Paramètres!$A$1:$I$89,3,0)*VLOOKUP('Données projet'!$B$10,Paramètres!$A$1:$I$89,5,0)</f>
        <v>95.143679999999961</v>
      </c>
      <c r="AK62" s="14">
        <f t="shared" si="35"/>
        <v>25.801715632414158</v>
      </c>
      <c r="AL62" s="22">
        <f t="shared" si="4"/>
        <v>210.64656405978792</v>
      </c>
      <c r="AM62" s="62">
        <f t="shared" si="5"/>
        <v>454.36112966109556</v>
      </c>
      <c r="AN62" s="62">
        <f ca="1">AVERAGE(OFFSET($AM$3,0,0,'Données projet'!$E$10+1,1))-AVERAGE(OFFSET($H$3,0,0,'Données projet'!$E$10+1,1))</f>
        <v>314.72063458462026</v>
      </c>
      <c r="AO62" s="62">
        <f t="shared" si="36"/>
        <v>216.4380325968244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4.2307692307692317</v>
      </c>
      <c r="BD62" s="13">
        <f>IF('Données projet'!$A$88&gt;35,BD61+BC62-BL61,IF(A62&lt;'Données projet'!$A$88,$BA$205^A62,IF(A62='Données projet'!$A$88,'Données projet'!$B$88,BD61+BC62-BL61)))</f>
        <v>170.12820512820502</v>
      </c>
      <c r="BE62" s="14">
        <f>BD62*VLOOKUP('Données projet'!$B$11,Paramètres!$A$1:$I$89,3,0)*VLOOKUP('Données projet'!$B$11,Paramètres!$A$1:$I$89,5,0)</f>
        <v>183.12599999999989</v>
      </c>
      <c r="BF62" s="14">
        <f t="shared" si="37"/>
        <v>46.016965128245296</v>
      </c>
      <c r="BG62" s="22">
        <f t="shared" si="7"/>
        <v>399.09066426502704</v>
      </c>
      <c r="BH62" s="62">
        <f t="shared" si="8"/>
        <v>642.80522986633468</v>
      </c>
      <c r="BI62" s="62">
        <f ca="1">AVERAGE(OFFSET($BH$3,0,0,'Données projet'!$E$11+1,1))-AVERAGE(OFFSET($H$3,0,0,'Données projet'!$E$11+1,1))</f>
        <v>455.26558725507834</v>
      </c>
      <c r="BJ62" s="62">
        <f t="shared" si="38"/>
        <v>278.60310966788552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3</v>
      </c>
      <c r="BY62" s="13">
        <f>IF('Données projet'!$A$114&gt;35,BY61+BX62-CG61,IF(A62&lt;'Données projet'!$A$114,$BV$205^A62,IF(A62='Données projet'!$A$114,'Données projet'!$B$114,BY61+BX62-CG61)))</f>
        <v>237.49999999999997</v>
      </c>
      <c r="BZ62" s="14">
        <f>BY62*VLOOKUP('Données projet'!$B$12,Paramètres!$A$1:$I$89,3,0)*VLOOKUP('Données projet'!$B$12,Paramètres!$A$1:$I$89,5,0)</f>
        <v>123.5</v>
      </c>
      <c r="CA62" s="14">
        <f t="shared" si="39"/>
        <v>32.489945930859669</v>
      </c>
      <c r="CB62" s="22">
        <f t="shared" si="10"/>
        <v>271.6824891629139</v>
      </c>
      <c r="CC62" s="62">
        <f t="shared" si="11"/>
        <v>515.39705476422159</v>
      </c>
      <c r="CD62" s="62">
        <f ca="1">AVERAGE(OFFSET($CC$3,0,0,'Données projet'!$E$12+1,1))-AVERAGE(OFFSET($H$3,0,0,'Données projet'!$E$12+1,1))</f>
        <v>300.72820267660154</v>
      </c>
      <c r="CE62" s="62">
        <f t="shared" si="40"/>
        <v>228.35388778608589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4.2307692307692317</v>
      </c>
      <c r="CT62" s="13">
        <f>IF('Données projet'!$A$140&gt;35,CT61+CS62-DB61,IF(A62&lt;'Données projet'!$A$140,$CQ$205^A62,IF(A62='Données projet'!$A$140,'Données projet'!$B$140,CT61+CS62-DB61)))</f>
        <v>170.12820512820502</v>
      </c>
      <c r="CU62" s="18">
        <f>CT62*VLOOKUP('Données projet'!$B$13,Paramètres!$A$1:$I$89,3,0)*VLOOKUP('Données projet'!$B$13,Paramètres!$A$1:$I$89,5,0)</f>
        <v>145.96999999999994</v>
      </c>
      <c r="CV62" s="14">
        <f t="shared" si="41"/>
        <v>37.661307103837487</v>
      </c>
      <c r="CW62" s="22">
        <f t="shared" si="13"/>
        <v>319.82452653918352</v>
      </c>
      <c r="CX62" s="62">
        <f t="shared" si="14"/>
        <v>563.53909214049122</v>
      </c>
      <c r="CY62" s="62">
        <f ca="1">AVERAGE(OFFSET($CX$3,0,0,'Données projet'!$E$13+1,1))-AVERAGE(OFFSET($H$3,0,0,'Données projet'!$E$13+1,1))</f>
        <v>384.3367849108829</v>
      </c>
      <c r="CZ62" s="62">
        <f t="shared" si="42"/>
        <v>238.2697272367603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10.984615384615381</v>
      </c>
      <c r="DO62" s="13">
        <f>IF('Données projet'!$A$166&gt;35,DO61+DN62-DW61,IF(A62&lt;'Données projet'!$A$166,$DL$205^A62,IF(A62='Données projet'!$A$166,'Données projet'!$B$166,DO61+DN62-DW61)))</f>
        <v>306.75384615384598</v>
      </c>
      <c r="DP62" s="18">
        <f>DO62*VLOOKUP('Données projet'!$B$14,Paramètres!$A$1:$I$89,3,0)*VLOOKUP('Données projet'!$B$14,Paramètres!$A$1:$I$89,5,0)</f>
        <v>143.56079999999992</v>
      </c>
      <c r="DQ62" s="14">
        <f t="shared" si="43"/>
        <v>37.111538546158371</v>
      </c>
      <c r="DR62" s="22">
        <f t="shared" si="16"/>
        <v>314.67098963455902</v>
      </c>
      <c r="DS62" s="62">
        <f t="shared" si="17"/>
        <v>558.38555523586672</v>
      </c>
      <c r="DT62" s="62">
        <f ca="1">AVERAGE(OFFSET($DS$3,0,0,'Données projet'!$E$14+1,1))-AVERAGE(OFFSET($H$3,0,0,'Données projet'!$E$14+1,1))</f>
        <v>304.1100958939968</v>
      </c>
      <c r="DU62" s="62">
        <f t="shared" si="44"/>
        <v>184.1255966824568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4.2307692307692317</v>
      </c>
      <c r="EJ62" s="13">
        <f>IF('Données projet'!$A$192&gt;35,EJ61+EI62-ER61,IF(A62&lt;'Données projet'!$A$192,$EG$205^A62,IF(A62='Données projet'!$A$192,'Données projet'!$B$192,EJ61+EI62-ER61)))</f>
        <v>170.12820512820502</v>
      </c>
      <c r="EK62" s="18">
        <f>EJ62*VLOOKUP('Données projet'!$B$15,Paramètres!$A$1:$I$89,3,0)*VLOOKUP('Données projet'!$B$15,Paramètres!$A$1:$I$89,5,0)</f>
        <v>172.50999999999991</v>
      </c>
      <c r="EL62" s="14">
        <f t="shared" si="45"/>
        <v>43.651699657770166</v>
      </c>
      <c r="EM62" s="22">
        <f t="shared" si="19"/>
        <v>376.48162690394952</v>
      </c>
      <c r="EN62" s="62">
        <f t="shared" si="20"/>
        <v>620.19619250525716</v>
      </c>
      <c r="EO62" s="62">
        <f ca="1">AVERAGE(OFFSET($EN$3,0,0,'Données projet'!$E$15+1,1))-AVERAGE(OFFSET($H$3,0,0,'Données projet'!$E$15+1,1))</f>
        <v>435.03433721979218</v>
      </c>
      <c r="EP62" s="62">
        <f t="shared" si="46"/>
        <v>267.10015759286387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4.2307692307692317</v>
      </c>
      <c r="FE62" s="13">
        <f>IF('Données projet'!$A$218&gt;35,FE61+FD62-FM61,IF(A62&lt;'Données projet'!$A$218,$FB$205^A62,IF(A62='Données projet'!$A$218,'Données projet'!$B$218,FE61+FD62-FM61)))</f>
        <v>170.12820512820502</v>
      </c>
      <c r="FF62" s="18">
        <f>FE62*VLOOKUP('Données projet'!$B$16,Paramètres!$A$1:$I$89,3,0)*VLOOKUP('Données projet'!$B$16,Paramètres!$A$1:$I$89,5,0)</f>
        <v>177.8179999999999</v>
      </c>
      <c r="FG62" s="14">
        <f t="shared" si="47"/>
        <v>44.836387317687525</v>
      </c>
      <c r="FH62" s="22">
        <f t="shared" si="22"/>
        <v>387.7897245783056</v>
      </c>
      <c r="FI62" s="62">
        <f t="shared" si="23"/>
        <v>631.50429017961324</v>
      </c>
      <c r="FJ62" s="62">
        <f ca="1">AVERAGE(OFFSET($FI$3,0,0,'Données projet'!$E$16+1,1))-AVERAGE(OFFSET($H$3,0,0,'Données projet'!$E$16+1,1))</f>
        <v>445.15313998584293</v>
      </c>
      <c r="FK62" s="62">
        <f t="shared" si="48"/>
        <v>272.85357736694834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3.2</v>
      </c>
      <c r="FZ62" s="13">
        <f>IF('Données projet'!$A$244&gt;35,FZ61+FY62-GH61,IF(A62&lt;'Données projet'!$A$244,$FW$205^A62,IF(A62='Données projet'!$A$244,'Données projet'!$B$244,FZ61+FY62-GH61)))</f>
        <v>145.79999999999993</v>
      </c>
      <c r="GA62" s="18">
        <f>FZ62*VLOOKUP('Données projet'!$B$17,Paramètres!$A$1:$I$89,3,0)*VLOOKUP('Données projet'!$B$17,Paramètres!$A$1:$I$89,5,0)</f>
        <v>127.37087999999996</v>
      </c>
      <c r="GB62" s="14">
        <f t="shared" si="49"/>
        <v>33.388126388800494</v>
      </c>
      <c r="GC62" s="22">
        <f t="shared" si="25"/>
        <v>279.98860279382745</v>
      </c>
      <c r="GD62" s="62">
        <f t="shared" si="26"/>
        <v>523.70316839513509</v>
      </c>
      <c r="GE62" s="62">
        <f ca="1">AVERAGE(OFFSET($GD$3,0,0,'Données projet'!$E$17+1,1))-AVERAGE(OFFSET($H$3,0,0,'Données projet'!$E$17+1,1))</f>
        <v>248.82613595888964</v>
      </c>
      <c r="GF62" s="62">
        <f t="shared" si="50"/>
        <v>255.8298580882084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135.66666666666666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5.1989010989010991</v>
      </c>
      <c r="N63" s="14">
        <f>IF('Données projet'!$A$36&gt;35,N62+M63-V62,IF(A63&lt;'Données projet'!$A$36,$K$205^A63,IF(A63='Données projet'!$A$36,'Données projet'!$B$36,N62+M63-V62)))</f>
        <v>153.20659340659347</v>
      </c>
      <c r="O63" s="14">
        <f>N63*VLOOKUP('Données projet'!$B$9,Paramètres!$A$1:$I$89,3,0)*VLOOKUP('Données projet'!$B$9,Paramètres!$A$1:$I$89,5,0)</f>
        <v>89.625857142857186</v>
      </c>
      <c r="P63" s="14">
        <f t="shared" si="33"/>
        <v>24.474968880469344</v>
      </c>
      <c r="Q63" s="22">
        <f t="shared" si="53"/>
        <v>198.72560532396037</v>
      </c>
      <c r="R63" s="62">
        <f t="shared" si="0"/>
        <v>443.30094561447277</v>
      </c>
      <c r="S63" s="62">
        <f ca="1">AVERAGE(OFFSET($R$3,0,0,'Données projet'!$E$9+1,1))-AVERAGE(OFFSET($H$3,0,0,'Données projet'!$E$9+1,1))</f>
        <v>221.18884567967481</v>
      </c>
      <c r="T63" s="62">
        <f t="shared" si="34"/>
        <v>189.31596996710888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84.362499999999997</v>
      </c>
      <c r="AG63" s="13">
        <f>VLOOKUP(A63,'Données projet'!$A$61:$I$81,9,0)</f>
        <v>1.7724999999999995</v>
      </c>
      <c r="AH63" s="13">
        <f t="array" ref="AH63">INDEX(AG:AG,MIN(IF(ISNUMBER(AG63:AG259),ROW(AG63:AG259),"")))</f>
        <v>1.7724999999999995</v>
      </c>
      <c r="AI63" s="14">
        <f>IF('Données projet'!$A$62&gt;35,AI62+AH63-AQ62,IF(A63&lt;'Données projet'!$A$62,$AF$205^A63,IF(A63='Données projet'!$A$62,'Données projet'!$B$62,AI62+AH63-AQ62)))</f>
        <v>84.362499999999969</v>
      </c>
      <c r="AJ63" s="14">
        <f>AI63*VLOOKUP('Données projet'!$B$10,Paramètres!$A$1:$I$89,3,0)*VLOOKUP('Données projet'!$B$10,Paramètres!$A$1:$I$89,5,0)</f>
        <v>97.185599999999965</v>
      </c>
      <c r="AK63" s="14">
        <f t="shared" si="35"/>
        <v>26.290395628270069</v>
      </c>
      <c r="AL63" s="22">
        <f t="shared" si="4"/>
        <v>215.05402571923696</v>
      </c>
      <c r="AM63" s="62">
        <f t="shared" si="5"/>
        <v>459.62936600974933</v>
      </c>
      <c r="AN63" s="62">
        <f ca="1">AVERAGE(OFFSET($AM$3,0,0,'Données projet'!$E$10+1,1))-AVERAGE(OFFSET($H$3,0,0,'Données projet'!$E$10+1,1))</f>
        <v>314.72063458462026</v>
      </c>
      <c r="AO63" s="62">
        <f t="shared" si="36"/>
        <v>216.4380325968244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8.25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174.35897435897436</v>
      </c>
      <c r="BB63" s="13">
        <f>VLOOKUP(A63,'Données projet'!$A$87:$I$107,9,0)</f>
        <v>4.2307692307692317</v>
      </c>
      <c r="BC63" s="13">
        <f t="array" ref="BC63">INDEX(BB:BB,MIN(IF(ISNUMBER(BB63:BB259),ROW(BB63:BB259),"")))</f>
        <v>4.2307692307692317</v>
      </c>
      <c r="BD63" s="13">
        <f>IF('Données projet'!$A$88&gt;35,BD62+BC63-BL62,IF(A63&lt;'Données projet'!$A$88,$BA$205^A63,IF(A63='Données projet'!$A$88,'Données projet'!$B$88,BD62+BC63-BL62)))</f>
        <v>174.35897435897425</v>
      </c>
      <c r="BE63" s="14">
        <f>BD63*VLOOKUP('Données projet'!$B$11,Paramètres!$A$1:$I$89,3,0)*VLOOKUP('Données projet'!$B$11,Paramètres!$A$1:$I$89,5,0)</f>
        <v>187.67999999999986</v>
      </c>
      <c r="BF63" s="14">
        <f t="shared" si="37"/>
        <v>47.02666761672112</v>
      </c>
      <c r="BG63" s="22">
        <f t="shared" si="7"/>
        <v>408.78077943245563</v>
      </c>
      <c r="BH63" s="62">
        <f t="shared" si="8"/>
        <v>653.35611972296806</v>
      </c>
      <c r="BI63" s="62">
        <f ca="1">AVERAGE(OFFSET($BH$3,0,0,'Données projet'!$E$11+1,1))-AVERAGE(OFFSET($H$3,0,0,'Données projet'!$E$11+1,1))</f>
        <v>455.26558725507834</v>
      </c>
      <c r="BJ63" s="62">
        <f t="shared" si="38"/>
        <v>278.60310966788552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19.23076923076923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240.5</v>
      </c>
      <c r="BW63" s="13">
        <f>VLOOKUP(A63,'Données projet'!$A$113:$I$133,9,0)</f>
        <v>3</v>
      </c>
      <c r="BX63" s="13">
        <f t="array" ref="BX63">INDEX(BW:BW,MIN(IF(ISNUMBER(BW63:BW259),ROW(BW63:BW259),"")))</f>
        <v>3</v>
      </c>
      <c r="BY63" s="13">
        <f>IF('Données projet'!$A$114&gt;35,BY62+BX63-CG62,IF(A63&lt;'Données projet'!$A$114,$BV$205^A63,IF(A63='Données projet'!$A$114,'Données projet'!$B$114,BY62+BX63-CG62)))</f>
        <v>240.49999999999997</v>
      </c>
      <c r="BZ63" s="14">
        <f>BY63*VLOOKUP('Données projet'!$B$12,Paramètres!$A$1:$I$89,3,0)*VLOOKUP('Données projet'!$B$12,Paramètres!$A$1:$I$89,5,0)</f>
        <v>125.05999999999999</v>
      </c>
      <c r="CA63" s="14">
        <f t="shared" si="39"/>
        <v>32.852309422756704</v>
      </c>
      <c r="CB63" s="22">
        <f t="shared" si="10"/>
        <v>275.03060557796795</v>
      </c>
      <c r="CC63" s="62">
        <f t="shared" si="11"/>
        <v>519.60594586848038</v>
      </c>
      <c r="CD63" s="62">
        <f ca="1">AVERAGE(OFFSET($CC$3,0,0,'Données projet'!$E$12+1,1))-AVERAGE(OFFSET($H$3,0,0,'Données projet'!$E$12+1,1))</f>
        <v>300.72820267660154</v>
      </c>
      <c r="CE63" s="62">
        <f t="shared" si="40"/>
        <v>228.35388778608589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174.35897435897436</v>
      </c>
      <c r="CR63" s="13">
        <f>VLOOKUP(A63,'Données projet'!$A$139:$I$159,9,0)</f>
        <v>4.2307692307692317</v>
      </c>
      <c r="CS63" s="13">
        <f t="array" ref="CS63">INDEX(CR:CR,MIN(IF(ISNUMBER(CR63:CR259),ROW(CR63:CR259),"")))</f>
        <v>4.2307692307692317</v>
      </c>
      <c r="CT63" s="13">
        <f>IF('Données projet'!$A$140&gt;35,CT62+CS63-DB62,IF(A63&lt;'Données projet'!$A$140,$CQ$205^A63,IF(A63='Données projet'!$A$140,'Données projet'!$B$140,CT62+CS63-DB62)))</f>
        <v>174.35897435897425</v>
      </c>
      <c r="CU63" s="18">
        <f>CT63*VLOOKUP('Données projet'!$B$13,Paramètres!$A$1:$I$89,3,0)*VLOOKUP('Données projet'!$B$13,Paramètres!$A$1:$I$89,5,0)</f>
        <v>149.59999999999991</v>
      </c>
      <c r="CV63" s="14">
        <f t="shared" si="41"/>
        <v>38.487670063585483</v>
      </c>
      <c r="CW63" s="22">
        <f t="shared" si="13"/>
        <v>327.58602536074454</v>
      </c>
      <c r="CX63" s="62">
        <f t="shared" si="14"/>
        <v>572.16136565125692</v>
      </c>
      <c r="CY63" s="62">
        <f ca="1">AVERAGE(OFFSET($CX$3,0,0,'Données projet'!$E$13+1,1))-AVERAGE(OFFSET($H$3,0,0,'Données projet'!$E$13+1,1))</f>
        <v>384.3367849108829</v>
      </c>
      <c r="CZ63" s="62">
        <f t="shared" si="42"/>
        <v>238.2697272367603</v>
      </c>
      <c r="DA63" s="16">
        <f>IF(ISNA(VLOOKUP(A63,'Données projet'!$A$139:$I$159,3,0)),0,VLOOKUP(A63,'Données projet'!$A$139:$I$159,3,0))</f>
        <v>4</v>
      </c>
      <c r="DB63" s="16">
        <f>IF(ISNA(VLOOKUP(A63,'Données projet'!$A$139:$I$159,4,0)),0,VLOOKUP(A63,'Données projet'!$A$139:$I$159,4,0))</f>
        <v>19.23076923076923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10.984615384615381</v>
      </c>
      <c r="DO63" s="13">
        <f>IF('Données projet'!$A$166&gt;35,DO62+DN63-DW62,IF(A63&lt;'Données projet'!$A$166,$DL$205^A63,IF(A63='Données projet'!$A$166,'Données projet'!$B$166,DO62+DN63-DW62)))</f>
        <v>317.73846153846137</v>
      </c>
      <c r="DP63" s="18">
        <f>DO63*VLOOKUP('Données projet'!$B$14,Paramètres!$A$1:$I$89,3,0)*VLOOKUP('Données projet'!$B$14,Paramètres!$A$1:$I$89,5,0)</f>
        <v>148.70159999999993</v>
      </c>
      <c r="DQ63" s="14">
        <f t="shared" si="43"/>
        <v>38.283370432550541</v>
      </c>
      <c r="DR63" s="22">
        <f t="shared" si="16"/>
        <v>325.66549017002541</v>
      </c>
      <c r="DS63" s="62">
        <f t="shared" si="17"/>
        <v>570.24083046053784</v>
      </c>
      <c r="DT63" s="62">
        <f ca="1">AVERAGE(OFFSET($DS$3,0,0,'Données projet'!$E$14+1,1))-AVERAGE(OFFSET($H$3,0,0,'Données projet'!$E$14+1,1))</f>
        <v>304.1100958939968</v>
      </c>
      <c r="DU63" s="62">
        <f t="shared" si="44"/>
        <v>184.1255966824568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174.35897435897436</v>
      </c>
      <c r="EH63" s="13">
        <f>VLOOKUP(A63,'Données projet'!$A$191:$I$211,9,0)</f>
        <v>4.2307692307692317</v>
      </c>
      <c r="EI63" s="13">
        <f t="array" ref="EI63">INDEX(EH:EH,MIN(IF(ISNUMBER(EH63:EH259),ROW(EH63:EH259),"")))</f>
        <v>4.2307692307692317</v>
      </c>
      <c r="EJ63" s="13">
        <f>IF('Données projet'!$A$192&gt;35,EJ62+EI63-ER62,IF(A63&lt;'Données projet'!$A$192,$EG$205^A63,IF(A63='Données projet'!$A$192,'Données projet'!$B$192,EJ62+EI63-ER62)))</f>
        <v>174.35897435897425</v>
      </c>
      <c r="EK63" s="18">
        <f>EJ63*VLOOKUP('Données projet'!$B$15,Paramètres!$A$1:$I$89,3,0)*VLOOKUP('Données projet'!$B$15,Paramètres!$A$1:$I$89,5,0)</f>
        <v>176.7999999999999</v>
      </c>
      <c r="EL63" s="14">
        <f t="shared" si="45"/>
        <v>44.609503581775463</v>
      </c>
      <c r="EM63" s="22">
        <f t="shared" si="19"/>
        <v>385.62155207159208</v>
      </c>
      <c r="EN63" s="62">
        <f t="shared" si="20"/>
        <v>630.19689236210445</v>
      </c>
      <c r="EO63" s="62">
        <f ca="1">AVERAGE(OFFSET($EN$3,0,0,'Données projet'!$E$15+1,1))-AVERAGE(OFFSET($H$3,0,0,'Données projet'!$E$15+1,1))</f>
        <v>435.03433721979218</v>
      </c>
      <c r="EP63" s="62">
        <f t="shared" si="46"/>
        <v>267.10015759286387</v>
      </c>
      <c r="EQ63" s="16">
        <f>IF(ISNA(VLOOKUP(A63,'Données projet'!$A$191:$I$211,3,0)),0,VLOOKUP(A63,'Données projet'!$A$191:$I$211,3,0))</f>
        <v>4</v>
      </c>
      <c r="ER63" s="16">
        <f>IF(ISNA(VLOOKUP(A63,'Données projet'!$A$191:$I$211,4,0)),0,VLOOKUP(A63,'Données projet'!$A$191:$I$211,4,0))</f>
        <v>19.23076923076923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174.35897435897436</v>
      </c>
      <c r="FC63" s="13">
        <f>VLOOKUP(A63,'Données projet'!$A$217:$I$237,9,0)</f>
        <v>4.2307692307692317</v>
      </c>
      <c r="FD63" s="13">
        <f t="array" ref="FD63">INDEX(FC:FC,MIN(IF(ISNUMBER(FC63:FC259),ROW(FC63:FC259),"")))</f>
        <v>4.2307692307692317</v>
      </c>
      <c r="FE63" s="13">
        <f>IF('Données projet'!$A$218&gt;35,FE62+FD63-FM62,IF(A63&lt;'Données projet'!$A$218,$FB$205^A63,IF(A63='Données projet'!$A$218,'Données projet'!$B$218,FE62+FD63-FM62)))</f>
        <v>174.35897435897425</v>
      </c>
      <c r="FF63" s="18">
        <f>FE63*VLOOKUP('Données projet'!$B$16,Paramètres!$A$1:$I$89,3,0)*VLOOKUP('Données projet'!$B$16,Paramètres!$A$1:$I$89,5,0)</f>
        <v>182.23999999999992</v>
      </c>
      <c r="FG63" s="14">
        <f t="shared" si="47"/>
        <v>45.820185613006778</v>
      </c>
      <c r="FH63" s="22">
        <f t="shared" si="22"/>
        <v>397.20482327598666</v>
      </c>
      <c r="FI63" s="62">
        <f t="shared" si="23"/>
        <v>641.78016356649903</v>
      </c>
      <c r="FJ63" s="62">
        <f ca="1">AVERAGE(OFFSET($FI$3,0,0,'Données projet'!$E$16+1,1))-AVERAGE(OFFSET($H$3,0,0,'Données projet'!$E$16+1,1))</f>
        <v>445.15313998584293</v>
      </c>
      <c r="FK63" s="62">
        <f t="shared" si="48"/>
        <v>272.85357736694834</v>
      </c>
      <c r="FL63" s="16">
        <f>IF(ISNA(VLOOKUP(A63,'Données projet'!$A$217:$I$237,3,0)),0,VLOOKUP(A63,'Données projet'!$A$217:$I$237,3,0))</f>
        <v>4</v>
      </c>
      <c r="FM63" s="16">
        <f>IF(ISNA(VLOOKUP(A63,'Données projet'!$A$217:$I$237,4,0)),0,VLOOKUP(A63,'Données projet'!$A$217:$I$237,4,0))</f>
        <v>19.23076923076923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149</v>
      </c>
      <c r="FX63" s="13">
        <f>VLOOKUP(A63,'Données projet'!$A$243:$I$263,9,0)</f>
        <v>3.2</v>
      </c>
      <c r="FY63" s="13">
        <f t="array" ref="FY63">INDEX(FX:FX,MIN(IF(ISNUMBER(FX63:FX259),ROW(FX63:FX259),"")))</f>
        <v>3.2</v>
      </c>
      <c r="FZ63" s="13">
        <f>IF('Données projet'!$A$244&gt;35,FZ62+FY63-GH62,IF(A63&lt;'Données projet'!$A$244,$FW$205^A63,IF(A63='Données projet'!$A$244,'Données projet'!$B$244,FZ62+FY63-GH62)))</f>
        <v>148.99999999999991</v>
      </c>
      <c r="GA63" s="18">
        <f>FZ63*VLOOKUP('Données projet'!$B$17,Paramètres!$A$1:$I$89,3,0)*VLOOKUP('Données projet'!$B$17,Paramètres!$A$1:$I$89,5,0)</f>
        <v>130.16639999999992</v>
      </c>
      <c r="GB63" s="14">
        <f t="shared" si="49"/>
        <v>34.034806623706274</v>
      </c>
      <c r="GC63" s="22">
        <f t="shared" si="25"/>
        <v>285.98376820295493</v>
      </c>
      <c r="GD63" s="62">
        <f t="shared" si="26"/>
        <v>530.55910849346731</v>
      </c>
      <c r="GE63" s="62">
        <f ca="1">AVERAGE(OFFSET($GD$3,0,0,'Données projet'!$E$17+1,1))-AVERAGE(OFFSET($H$3,0,0,'Données projet'!$E$17+1,1))</f>
        <v>248.82613595888964</v>
      </c>
      <c r="GF63" s="62">
        <f t="shared" si="50"/>
        <v>255.8298580882084</v>
      </c>
      <c r="GG63" s="16">
        <f>IF(ISNA(VLOOKUP(A63,'Données projet'!$A$243:$I$263,3,0)),0,VLOOKUP(A63,'Données projet'!$A$243:$I$263,3,0))</f>
        <v>4</v>
      </c>
      <c r="GH63" s="16">
        <f>IF(ISNA(VLOOKUP(A63,'Données projet'!$A$243:$I$263,4,0)),0,VLOOKUP(A63,'Données projet'!$A$243:$I$263,4,0))</f>
        <v>16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135.66666666666666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5.1989010989010991</v>
      </c>
      <c r="N64" s="14">
        <f>IF('Données projet'!$A$36&gt;35,N63+M64-V63,IF(A64&lt;'Données projet'!$A$36,$K$205^A64,IF(A64='Données projet'!$A$36,'Données projet'!$B$36,N63+M64-V63)))</f>
        <v>158.40549450549457</v>
      </c>
      <c r="O64" s="14">
        <f>N64*VLOOKUP('Données projet'!$B$9,Paramètres!$A$1:$I$89,3,0)*VLOOKUP('Données projet'!$B$9,Paramètres!$A$1:$I$89,5,0)</f>
        <v>92.667214285714337</v>
      </c>
      <c r="P64" s="14">
        <f t="shared" si="33"/>
        <v>25.207395393497098</v>
      </c>
      <c r="Q64" s="22">
        <f t="shared" si="53"/>
        <v>205.29827852462654</v>
      </c>
      <c r="R64" s="62">
        <f t="shared" si="0"/>
        <v>450.71946098788976</v>
      </c>
      <c r="S64" s="62">
        <f ca="1">AVERAGE(OFFSET($R$3,0,0,'Données projet'!$E$9+1,1))-AVERAGE(OFFSET($H$3,0,0,'Données projet'!$E$9+1,1))</f>
        <v>221.18884567967481</v>
      </c>
      <c r="T64" s="62">
        <f t="shared" si="34"/>
        <v>189.31596996710888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1.6750000000000014</v>
      </c>
      <c r="AI64" s="14">
        <f>IF('Données projet'!$A$62&gt;35,AI63+AH64-AQ63,IF(A64&lt;'Données projet'!$A$62,$AF$205^A64,IF(A64='Données projet'!$A$62,'Données projet'!$B$62,AI63+AH64-AQ63)))</f>
        <v>77.787499999999966</v>
      </c>
      <c r="AJ64" s="14">
        <f>AI64*VLOOKUP('Données projet'!$B$10,Paramètres!$A$1:$I$89,3,0)*VLOOKUP('Données projet'!$B$10,Paramètres!$A$1:$I$89,5,0)</f>
        <v>89.611199999999954</v>
      </c>
      <c r="AK64" s="14">
        <f t="shared" si="35"/>
        <v>24.471432182378969</v>
      </c>
      <c r="AL64" s="22">
        <f t="shared" si="4"/>
        <v>198.6939177176433</v>
      </c>
      <c r="AM64" s="62">
        <f t="shared" si="5"/>
        <v>444.11510018090655</v>
      </c>
      <c r="AN64" s="62">
        <f ca="1">AVERAGE(OFFSET($AM$3,0,0,'Données projet'!$E$10+1,1))-AVERAGE(OFFSET($H$3,0,0,'Données projet'!$E$10+1,1))</f>
        <v>314.72063458462026</v>
      </c>
      <c r="AO64" s="62">
        <f t="shared" si="36"/>
        <v>216.4380325968244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3.9743589743589722</v>
      </c>
      <c r="BD64" s="13">
        <f>IF('Données projet'!$A$88&gt;35,BD63+BC64-BL63,IF(A64&lt;'Données projet'!$A$88,$BA$205^A64,IF(A64='Données projet'!$A$88,'Données projet'!$B$88,BD63+BC64-BL63)))</f>
        <v>159.102564102564</v>
      </c>
      <c r="BE64" s="14">
        <f>BD64*VLOOKUP('Données projet'!$B$11,Paramètres!$A$1:$I$89,3,0)*VLOOKUP('Données projet'!$B$11,Paramètres!$A$1:$I$89,5,0)</f>
        <v>171.2579999999999</v>
      </c>
      <c r="BF64" s="14">
        <f t="shared" si="37"/>
        <v>43.371652725826173</v>
      </c>
      <c r="BG64" s="22">
        <f t="shared" si="7"/>
        <v>373.81331183081375</v>
      </c>
      <c r="BH64" s="62">
        <f t="shared" si="8"/>
        <v>619.23449429407697</v>
      </c>
      <c r="BI64" s="62">
        <f ca="1">AVERAGE(OFFSET($BH$3,0,0,'Données projet'!$E$11+1,1))-AVERAGE(OFFSET($H$3,0,0,'Données projet'!$E$11+1,1))</f>
        <v>455.26558725507834</v>
      </c>
      <c r="BJ64" s="62">
        <f t="shared" si="38"/>
        <v>278.60310966788552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2.7600000000000025</v>
      </c>
      <c r="BY64" s="13">
        <f>IF('Données projet'!$A$114&gt;35,BY63+BX64-CG63,IF(A64&lt;'Données projet'!$A$114,$BV$205^A64,IF(A64='Données projet'!$A$114,'Données projet'!$B$114,BY63+BX64-CG63)))</f>
        <v>243.25999999999996</v>
      </c>
      <c r="BZ64" s="14">
        <f>BY64*VLOOKUP('Données projet'!$B$12,Paramètres!$A$1:$I$89,3,0)*VLOOKUP('Données projet'!$B$12,Paramètres!$A$1:$I$89,5,0)</f>
        <v>126.49519999999998</v>
      </c>
      <c r="CA64" s="14">
        <f t="shared" si="39"/>
        <v>33.185219299075669</v>
      </c>
      <c r="CB64" s="22">
        <f t="shared" si="10"/>
        <v>278.11006361255676</v>
      </c>
      <c r="CC64" s="62">
        <f t="shared" si="11"/>
        <v>523.53124607582004</v>
      </c>
      <c r="CD64" s="62">
        <f ca="1">AVERAGE(OFFSET($CC$3,0,0,'Données projet'!$E$12+1,1))-AVERAGE(OFFSET($H$3,0,0,'Données projet'!$E$12+1,1))</f>
        <v>300.72820267660154</v>
      </c>
      <c r="CE64" s="62">
        <f t="shared" si="40"/>
        <v>228.35388778608589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3.9743589743589722</v>
      </c>
      <c r="CT64" s="13">
        <f>IF('Données projet'!$A$140&gt;35,CT63+CS64-DB63,IF(A64&lt;'Données projet'!$A$140,$CQ$205^A64,IF(A64='Données projet'!$A$140,'Données projet'!$B$140,CT63+CS64-DB63)))</f>
        <v>159.102564102564</v>
      </c>
      <c r="CU64" s="18">
        <f>CT64*VLOOKUP('Données projet'!$B$13,Paramètres!$A$1:$I$89,3,0)*VLOOKUP('Données projet'!$B$13,Paramètres!$A$1:$I$89,5,0)</f>
        <v>136.50999999999993</v>
      </c>
      <c r="CV64" s="14">
        <f t="shared" si="41"/>
        <v>35.49632463497089</v>
      </c>
      <c r="CW64" s="22">
        <f t="shared" si="13"/>
        <v>299.57768207257419</v>
      </c>
      <c r="CX64" s="62">
        <f t="shared" si="14"/>
        <v>544.99886453583736</v>
      </c>
      <c r="CY64" s="62">
        <f ca="1">AVERAGE(OFFSET($CX$3,0,0,'Données projet'!$E$13+1,1))-AVERAGE(OFFSET($H$3,0,0,'Données projet'!$E$13+1,1))</f>
        <v>384.3367849108829</v>
      </c>
      <c r="CZ64" s="62">
        <f t="shared" si="42"/>
        <v>238.2697272367603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10.984615384615381</v>
      </c>
      <c r="DO64" s="13">
        <f>IF('Données projet'!$A$166&gt;35,DO63+DN64-DW63,IF(A64&lt;'Données projet'!$A$166,$DL$205^A64,IF(A64='Données projet'!$A$166,'Données projet'!$B$166,DO63+DN64-DW63)))</f>
        <v>328.72307692307675</v>
      </c>
      <c r="DP64" s="18">
        <f>DO64*VLOOKUP('Données projet'!$B$14,Paramètres!$A$1:$I$89,3,0)*VLOOKUP('Données projet'!$B$14,Paramètres!$A$1:$I$89,5,0)</f>
        <v>153.84239999999991</v>
      </c>
      <c r="DQ64" s="14">
        <f t="shared" si="43"/>
        <v>39.450495242764717</v>
      </c>
      <c r="DR64" s="22">
        <f t="shared" si="16"/>
        <v>336.65179254781509</v>
      </c>
      <c r="DS64" s="62">
        <f t="shared" si="17"/>
        <v>582.07297501107837</v>
      </c>
      <c r="DT64" s="62">
        <f ca="1">AVERAGE(OFFSET($DS$3,0,0,'Données projet'!$E$14+1,1))-AVERAGE(OFFSET($H$3,0,0,'Données projet'!$E$14+1,1))</f>
        <v>304.1100958939968</v>
      </c>
      <c r="DU64" s="62">
        <f t="shared" si="44"/>
        <v>184.1255966824568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3.9743589743589722</v>
      </c>
      <c r="EJ64" s="13">
        <f>IF('Données projet'!$A$192&gt;35,EJ63+EI64-ER63,IF(A64&lt;'Données projet'!$A$192,$EG$205^A64,IF(A64='Données projet'!$A$192,'Données projet'!$B$192,EJ63+EI64-ER63)))</f>
        <v>159.102564102564</v>
      </c>
      <c r="EK64" s="18">
        <f>EJ64*VLOOKUP('Données projet'!$B$15,Paramètres!$A$1:$I$89,3,0)*VLOOKUP('Données projet'!$B$15,Paramètres!$A$1:$I$89,5,0)</f>
        <v>161.3299999999999</v>
      </c>
      <c r="EL64" s="14">
        <f t="shared" si="45"/>
        <v>41.142355937045345</v>
      </c>
      <c r="EM64" s="22">
        <f t="shared" si="19"/>
        <v>352.63935325702045</v>
      </c>
      <c r="EN64" s="62">
        <f t="shared" si="20"/>
        <v>598.06053572028372</v>
      </c>
      <c r="EO64" s="62">
        <f ca="1">AVERAGE(OFFSET($EN$3,0,0,'Données projet'!$E$15+1,1))-AVERAGE(OFFSET($H$3,0,0,'Données projet'!$E$15+1,1))</f>
        <v>435.03433721979218</v>
      </c>
      <c r="EP64" s="62">
        <f t="shared" si="46"/>
        <v>267.10015759286387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3.9743589743589722</v>
      </c>
      <c r="FE64" s="13">
        <f>IF('Données projet'!$A$218&gt;35,FE63+FD64-FM63,IF(A64&lt;'Données projet'!$A$218,$FB$205^A64,IF(A64='Données projet'!$A$218,'Données projet'!$B$218,FE63+FD64-FM63)))</f>
        <v>159.102564102564</v>
      </c>
      <c r="FF64" s="18">
        <f>FE64*VLOOKUP('Données projet'!$B$16,Paramètres!$A$1:$I$89,3,0)*VLOOKUP('Données projet'!$B$16,Paramètres!$A$1:$I$89,5,0)</f>
        <v>166.29399999999993</v>
      </c>
      <c r="FG64" s="14">
        <f t="shared" si="47"/>
        <v>42.258941127557407</v>
      </c>
      <c r="FH64" s="22">
        <f t="shared" si="22"/>
        <v>363.22970579716235</v>
      </c>
      <c r="FI64" s="62">
        <f t="shared" si="23"/>
        <v>608.65088826042552</v>
      </c>
      <c r="FJ64" s="62">
        <f ca="1">AVERAGE(OFFSET($FI$3,0,0,'Données projet'!$E$16+1,1))-AVERAGE(OFFSET($H$3,0,0,'Données projet'!$E$16+1,1))</f>
        <v>445.15313998584293</v>
      </c>
      <c r="FK64" s="62">
        <f t="shared" si="48"/>
        <v>272.85357736694834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2.6</v>
      </c>
      <c r="FZ64" s="13">
        <f>IF('Données projet'!$A$244&gt;35,FZ63+FY64-GH63,IF(A64&lt;'Données projet'!$A$244,$FW$205^A64,IF(A64='Données projet'!$A$244,'Données projet'!$B$244,FZ63+FY64-GH63)))</f>
        <v>135.59999999999991</v>
      </c>
      <c r="GA64" s="18">
        <f>FZ64*VLOOKUP('Données projet'!$B$17,Paramètres!$A$1:$I$89,3,0)*VLOOKUP('Données projet'!$B$17,Paramètres!$A$1:$I$89,5,0)</f>
        <v>118.46015999999993</v>
      </c>
      <c r="GB64" s="14">
        <f t="shared" si="49"/>
        <v>31.315587396029649</v>
      </c>
      <c r="GC64" s="22">
        <f t="shared" si="25"/>
        <v>260.85942671475146</v>
      </c>
      <c r="GD64" s="62">
        <f t="shared" si="26"/>
        <v>506.28060917801469</v>
      </c>
      <c r="GE64" s="62">
        <f ca="1">AVERAGE(OFFSET($GD$3,0,0,'Données projet'!$E$17+1,1))-AVERAGE(OFFSET($H$3,0,0,'Données projet'!$E$17+1,1))</f>
        <v>248.82613595888964</v>
      </c>
      <c r="GF64" s="62">
        <f t="shared" si="50"/>
        <v>255.8298580882084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135.66666666666666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5.1989010989010991</v>
      </c>
      <c r="N65" s="14">
        <f>IF('Données projet'!$A$36&gt;35,N64+M65-V64,IF(A65&lt;'Données projet'!$A$36,$K$205^A65,IF(A65='Données projet'!$A$36,'Données projet'!$B$36,N64+M65-V64)))</f>
        <v>163.60439560439568</v>
      </c>
      <c r="O65" s="14">
        <f>N65*VLOOKUP('Données projet'!$B$9,Paramètres!$A$1:$I$89,3,0)*VLOOKUP('Données projet'!$B$9,Paramètres!$A$1:$I$89,5,0)</f>
        <v>95.708571428571474</v>
      </c>
      <c r="P65" s="14">
        <f t="shared" si="33"/>
        <v>25.937028646080538</v>
      </c>
      <c r="Q65" s="22">
        <f t="shared" si="53"/>
        <v>211.86608679668555</v>
      </c>
      <c r="R65" s="62">
        <f t="shared" si="0"/>
        <v>458.1184379620222</v>
      </c>
      <c r="S65" s="62">
        <f ca="1">AVERAGE(OFFSET($R$3,0,0,'Données projet'!$E$9+1,1))-AVERAGE(OFFSET($H$3,0,0,'Données projet'!$E$9+1,1))</f>
        <v>221.18884567967481</v>
      </c>
      <c r="T65" s="62">
        <f t="shared" si="34"/>
        <v>189.31596996710888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1.6750000000000014</v>
      </c>
      <c r="AI65" s="14">
        <f>IF('Données projet'!$A$62&gt;35,AI64+AH65-AQ64,IF(A65&lt;'Données projet'!$A$62,$AF$205^A65,IF(A65='Données projet'!$A$62,'Données projet'!$B$62,AI64+AH65-AQ64)))</f>
        <v>79.462499999999963</v>
      </c>
      <c r="AJ65" s="14">
        <f>AI65*VLOOKUP('Données projet'!$B$10,Paramètres!$A$1:$I$89,3,0)*VLOOKUP('Données projet'!$B$10,Paramètres!$A$1:$I$89,5,0)</f>
        <v>91.540799999999948</v>
      </c>
      <c r="AK65" s="14">
        <f t="shared" si="35"/>
        <v>24.93646092914312</v>
      </c>
      <c r="AL65" s="22">
        <f t="shared" si="4"/>
        <v>202.86456278492415</v>
      </c>
      <c r="AM65" s="62">
        <f t="shared" si="5"/>
        <v>449.11691395026082</v>
      </c>
      <c r="AN65" s="62">
        <f ca="1">AVERAGE(OFFSET($AM$3,0,0,'Données projet'!$E$10+1,1))-AVERAGE(OFFSET($H$3,0,0,'Données projet'!$E$10+1,1))</f>
        <v>314.72063458462026</v>
      </c>
      <c r="AO65" s="62">
        <f t="shared" si="36"/>
        <v>216.4380325968244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3.9743589743589722</v>
      </c>
      <c r="BD65" s="13">
        <f>IF('Données projet'!$A$88&gt;35,BD64+BC65-BL64,IF(A65&lt;'Données projet'!$A$88,$BA$205^A65,IF(A65='Données projet'!$A$88,'Données projet'!$B$88,BD64+BC65-BL64)))</f>
        <v>163.07692307692298</v>
      </c>
      <c r="BE65" s="14">
        <f>BD65*VLOOKUP('Données projet'!$B$11,Paramètres!$A$1:$I$89,3,0)*VLOOKUP('Données projet'!$B$11,Paramètres!$A$1:$I$89,5,0)</f>
        <v>175.53599999999989</v>
      </c>
      <c r="BF65" s="14">
        <f t="shared" si="37"/>
        <v>44.327581520891087</v>
      </c>
      <c r="BG65" s="22">
        <f t="shared" si="7"/>
        <v>382.92907114888516</v>
      </c>
      <c r="BH65" s="62">
        <f t="shared" si="8"/>
        <v>629.18142231422189</v>
      </c>
      <c r="BI65" s="62">
        <f ca="1">AVERAGE(OFFSET($BH$3,0,0,'Données projet'!$E$11+1,1))-AVERAGE(OFFSET($H$3,0,0,'Données projet'!$E$11+1,1))</f>
        <v>455.26558725507834</v>
      </c>
      <c r="BJ65" s="62">
        <f t="shared" si="38"/>
        <v>278.60310966788552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2.7600000000000025</v>
      </c>
      <c r="BY65" s="13">
        <f>IF('Données projet'!$A$114&gt;35,BY64+BX65-CG64,IF(A65&lt;'Données projet'!$A$114,$BV$205^A65,IF(A65='Données projet'!$A$114,'Données projet'!$B$114,BY64+BX65-CG64)))</f>
        <v>246.01999999999995</v>
      </c>
      <c r="BZ65" s="14">
        <f>BY65*VLOOKUP('Données projet'!$B$12,Paramètres!$A$1:$I$89,3,0)*VLOOKUP('Données projet'!$B$12,Paramètres!$A$1:$I$89,5,0)</f>
        <v>127.93039999999999</v>
      </c>
      <c r="CA65" s="14">
        <f t="shared" si="39"/>
        <v>33.517689794522084</v>
      </c>
      <c r="CB65" s="22">
        <f t="shared" si="10"/>
        <v>281.18875639212592</v>
      </c>
      <c r="CC65" s="62">
        <f t="shared" si="11"/>
        <v>527.4411075574626</v>
      </c>
      <c r="CD65" s="62">
        <f ca="1">AVERAGE(OFFSET($CC$3,0,0,'Données projet'!$E$12+1,1))-AVERAGE(OFFSET($H$3,0,0,'Données projet'!$E$12+1,1))</f>
        <v>300.72820267660154</v>
      </c>
      <c r="CE65" s="62">
        <f t="shared" si="40"/>
        <v>228.35388778608589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3.9743589743589722</v>
      </c>
      <c r="CT65" s="13">
        <f>IF('Données projet'!$A$140&gt;35,CT64+CS65-DB64,IF(A65&lt;'Données projet'!$A$140,$CQ$205^A65,IF(A65='Données projet'!$A$140,'Données projet'!$B$140,CT64+CS65-DB64)))</f>
        <v>163.07692307692298</v>
      </c>
      <c r="CU65" s="18">
        <f>CT65*VLOOKUP('Données projet'!$B$13,Paramètres!$A$1:$I$89,3,0)*VLOOKUP('Données projet'!$B$13,Paramètres!$A$1:$I$89,5,0)</f>
        <v>139.91999999999993</v>
      </c>
      <c r="CV65" s="14">
        <f t="shared" si="41"/>
        <v>36.278678008775699</v>
      </c>
      <c r="CW65" s="22">
        <f t="shared" si="13"/>
        <v>306.87936419861757</v>
      </c>
      <c r="CX65" s="62">
        <f t="shared" si="14"/>
        <v>553.1317153639543</v>
      </c>
      <c r="CY65" s="62">
        <f ca="1">AVERAGE(OFFSET($CX$3,0,0,'Données projet'!$E$13+1,1))-AVERAGE(OFFSET($H$3,0,0,'Données projet'!$E$13+1,1))</f>
        <v>384.3367849108829</v>
      </c>
      <c r="CZ65" s="62">
        <f t="shared" si="42"/>
        <v>238.2697272367603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10.984615384615381</v>
      </c>
      <c r="DO65" s="13">
        <f>IF('Données projet'!$A$166&gt;35,DO64+DN65-DW64,IF(A65&lt;'Données projet'!$A$166,$DL$205^A65,IF(A65='Données projet'!$A$166,'Données projet'!$B$166,DO64+DN65-DW64)))</f>
        <v>339.70769230769213</v>
      </c>
      <c r="DP65" s="18">
        <f>DO65*VLOOKUP('Données projet'!$B$14,Paramètres!$A$1:$I$89,3,0)*VLOOKUP('Données projet'!$B$14,Paramètres!$A$1:$I$89,5,0)</f>
        <v>158.98319999999993</v>
      </c>
      <c r="DQ65" s="14">
        <f t="shared" si="43"/>
        <v>40.613088302497808</v>
      </c>
      <c r="DR65" s="22">
        <f t="shared" si="16"/>
        <v>347.63020212685018</v>
      </c>
      <c r="DS65" s="62">
        <f t="shared" si="17"/>
        <v>593.88255329218691</v>
      </c>
      <c r="DT65" s="62">
        <f ca="1">AVERAGE(OFFSET($DS$3,0,0,'Données projet'!$E$14+1,1))-AVERAGE(OFFSET($H$3,0,0,'Données projet'!$E$14+1,1))</f>
        <v>304.1100958939968</v>
      </c>
      <c r="DU65" s="62">
        <f t="shared" si="44"/>
        <v>184.1255966824568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3.9743589743589722</v>
      </c>
      <c r="EJ65" s="13">
        <f>IF('Données projet'!$A$192&gt;35,EJ64+EI65-ER64,IF(A65&lt;'Données projet'!$A$192,$EG$205^A65,IF(A65='Données projet'!$A$192,'Données projet'!$B$192,EJ64+EI65-ER64)))</f>
        <v>163.07692307692298</v>
      </c>
      <c r="EK65" s="18">
        <f>EJ65*VLOOKUP('Données projet'!$B$15,Paramètres!$A$1:$I$89,3,0)*VLOOKUP('Données projet'!$B$15,Paramètres!$A$1:$I$89,5,0)</f>
        <v>165.35999999999993</v>
      </c>
      <c r="EL65" s="14">
        <f t="shared" si="45"/>
        <v>42.049150127842054</v>
      </c>
      <c r="EM65" s="22">
        <f t="shared" si="19"/>
        <v>361.23760313932479</v>
      </c>
      <c r="EN65" s="62">
        <f t="shared" si="20"/>
        <v>607.48995430466152</v>
      </c>
      <c r="EO65" s="62">
        <f ca="1">AVERAGE(OFFSET($EN$3,0,0,'Données projet'!$E$15+1,1))-AVERAGE(OFFSET($H$3,0,0,'Données projet'!$E$15+1,1))</f>
        <v>435.03433721979218</v>
      </c>
      <c r="EP65" s="62">
        <f t="shared" si="46"/>
        <v>267.10015759286387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3.9743589743589722</v>
      </c>
      <c r="FE65" s="13">
        <f>IF('Données projet'!$A$218&gt;35,FE64+FD65-FM64,IF(A65&lt;'Données projet'!$A$218,$FB$205^A65,IF(A65='Données projet'!$A$218,'Données projet'!$B$218,FE64+FD65-FM64)))</f>
        <v>163.07692307692298</v>
      </c>
      <c r="FF65" s="18">
        <f>FE65*VLOOKUP('Données projet'!$B$16,Paramètres!$A$1:$I$89,3,0)*VLOOKUP('Données projet'!$B$16,Paramètres!$A$1:$I$89,5,0)</f>
        <v>170.44799999999992</v>
      </c>
      <c r="FG65" s="14">
        <f t="shared" si="47"/>
        <v>43.190345308259261</v>
      </c>
      <c r="FH65" s="22">
        <f t="shared" si="22"/>
        <v>372.08678474521804</v>
      </c>
      <c r="FI65" s="62">
        <f t="shared" si="23"/>
        <v>618.33913591055466</v>
      </c>
      <c r="FJ65" s="62">
        <f ca="1">AVERAGE(OFFSET($FI$3,0,0,'Données projet'!$E$16+1,1))-AVERAGE(OFFSET($H$3,0,0,'Données projet'!$E$16+1,1))</f>
        <v>445.15313998584293</v>
      </c>
      <c r="FK65" s="62">
        <f t="shared" si="48"/>
        <v>272.85357736694834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2.6</v>
      </c>
      <c r="FZ65" s="13">
        <f>IF('Données projet'!$A$244&gt;35,FZ64+FY65-GH64,IF(A65&lt;'Données projet'!$A$244,$FW$205^A65,IF(A65='Données projet'!$A$244,'Données projet'!$B$244,FZ64+FY65-GH64)))</f>
        <v>138.1999999999999</v>
      </c>
      <c r="GA65" s="18">
        <f>FZ65*VLOOKUP('Données projet'!$B$17,Paramètres!$A$1:$I$89,3,0)*VLOOKUP('Données projet'!$B$17,Paramètres!$A$1:$I$89,5,0)</f>
        <v>120.73151999999993</v>
      </c>
      <c r="GB65" s="14">
        <f t="shared" si="49"/>
        <v>31.845553926050336</v>
      </c>
      <c r="GC65" s="22">
        <f t="shared" si="25"/>
        <v>265.73840375453756</v>
      </c>
      <c r="GD65" s="62">
        <f t="shared" si="26"/>
        <v>511.99075491987423</v>
      </c>
      <c r="GE65" s="62">
        <f ca="1">AVERAGE(OFFSET($GD$3,0,0,'Données projet'!$E$17+1,1))-AVERAGE(OFFSET($H$3,0,0,'Données projet'!$E$17+1,1))</f>
        <v>248.82613595888964</v>
      </c>
      <c r="GF65" s="62">
        <f t="shared" si="50"/>
        <v>255.8298580882084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135.66666666666666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5.1989010989010991</v>
      </c>
      <c r="N66" s="14">
        <f>IF('Données projet'!$A$36&gt;35,N65+M66-V65,IF(A66&lt;'Données projet'!$A$36,$K$205^A66,IF(A66='Données projet'!$A$36,'Données projet'!$B$36,N65+M66-V65)))</f>
        <v>168.80329670329678</v>
      </c>
      <c r="O66" s="14">
        <f>N66*VLOOKUP('Données projet'!$B$9,Paramètres!$A$1:$I$89,3,0)*VLOOKUP('Données projet'!$B$9,Paramètres!$A$1:$I$89,5,0)</f>
        <v>98.749928571428626</v>
      </c>
      <c r="P66" s="14">
        <f t="shared" si="33"/>
        <v>26.663967583086244</v>
      </c>
      <c r="Q66" s="22">
        <f t="shared" si="53"/>
        <v>218.42920246911339</v>
      </c>
      <c r="R66" s="62">
        <f t="shared" si="0"/>
        <v>465.49830341775737</v>
      </c>
      <c r="S66" s="62">
        <f ca="1">AVERAGE(OFFSET($R$3,0,0,'Données projet'!$E$9+1,1))-AVERAGE(OFFSET($H$3,0,0,'Données projet'!$E$9+1,1))</f>
        <v>221.18884567967481</v>
      </c>
      <c r="T66" s="62">
        <f t="shared" si="34"/>
        <v>189.31596996710888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1.6750000000000014</v>
      </c>
      <c r="AI66" s="14">
        <f>IF('Données projet'!$A$62&gt;35,AI65+AH66-AQ65,IF(A66&lt;'Données projet'!$A$62,$AF$205^A66,IF(A66='Données projet'!$A$62,'Données projet'!$B$62,AI65+AH66-AQ65)))</f>
        <v>81.13749999999996</v>
      </c>
      <c r="AJ66" s="14">
        <f>AI66*VLOOKUP('Données projet'!$B$10,Paramètres!$A$1:$I$89,3,0)*VLOOKUP('Données projet'!$B$10,Paramètres!$A$1:$I$89,5,0)</f>
        <v>93.470399999999941</v>
      </c>
      <c r="AK66" s="14">
        <f t="shared" si="35"/>
        <v>25.400349986061777</v>
      </c>
      <c r="AL66" s="22">
        <f t="shared" si="4"/>
        <v>207.03322289239085</v>
      </c>
      <c r="AM66" s="62">
        <f t="shared" si="5"/>
        <v>454.10232384103483</v>
      </c>
      <c r="AN66" s="62">
        <f ca="1">AVERAGE(OFFSET($AM$3,0,0,'Données projet'!$E$10+1,1))-AVERAGE(OFFSET($H$3,0,0,'Données projet'!$E$10+1,1))</f>
        <v>314.72063458462026</v>
      </c>
      <c r="AO66" s="62">
        <f t="shared" si="36"/>
        <v>216.4380325968244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3.9743589743589722</v>
      </c>
      <c r="BD66" s="13">
        <f>IF('Données projet'!$A$88&gt;35,BD65+BC66-BL65,IF(A66&lt;'Données projet'!$A$88,$BA$205^A66,IF(A66='Données projet'!$A$88,'Données projet'!$B$88,BD65+BC66-BL65)))</f>
        <v>167.05128205128196</v>
      </c>
      <c r="BE66" s="14">
        <f>BD66*VLOOKUP('Données projet'!$B$11,Paramètres!$A$1:$I$89,3,0)*VLOOKUP('Données projet'!$B$11,Paramètres!$A$1:$I$89,5,0)</f>
        <v>179.81399999999991</v>
      </c>
      <c r="BF66" s="14">
        <f t="shared" si="37"/>
        <v>45.280802103765367</v>
      </c>
      <c r="BG66" s="22">
        <f t="shared" si="7"/>
        <v>392.04011366405786</v>
      </c>
      <c r="BH66" s="62">
        <f t="shared" si="8"/>
        <v>639.10921461270186</v>
      </c>
      <c r="BI66" s="62">
        <f ca="1">AVERAGE(OFFSET($BH$3,0,0,'Données projet'!$E$11+1,1))-AVERAGE(OFFSET($H$3,0,0,'Données projet'!$E$11+1,1))</f>
        <v>455.26558725507834</v>
      </c>
      <c r="BJ66" s="62">
        <f t="shared" si="38"/>
        <v>278.60310966788552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2.7600000000000025</v>
      </c>
      <c r="BY66" s="13">
        <f>IF('Données projet'!$A$114&gt;35,BY65+BX66-CG65,IF(A66&lt;'Données projet'!$A$114,$BV$205^A66,IF(A66='Données projet'!$A$114,'Données projet'!$B$114,BY65+BX66-CG65)))</f>
        <v>248.77999999999994</v>
      </c>
      <c r="BZ66" s="14">
        <f>BY66*VLOOKUP('Données projet'!$B$12,Paramètres!$A$1:$I$89,3,0)*VLOOKUP('Données projet'!$B$12,Paramètres!$A$1:$I$89,5,0)</f>
        <v>129.3656</v>
      </c>
      <c r="CA66" s="14">
        <f t="shared" si="39"/>
        <v>33.849726408738</v>
      </c>
      <c r="CB66" s="22">
        <f t="shared" si="10"/>
        <v>284.26669349521865</v>
      </c>
      <c r="CC66" s="62">
        <f t="shared" si="11"/>
        <v>531.3357944438626</v>
      </c>
      <c r="CD66" s="62">
        <f ca="1">AVERAGE(OFFSET($CC$3,0,0,'Données projet'!$E$12+1,1))-AVERAGE(OFFSET($H$3,0,0,'Données projet'!$E$12+1,1))</f>
        <v>300.72820267660154</v>
      </c>
      <c r="CE66" s="62">
        <f t="shared" si="40"/>
        <v>228.35388778608589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3.9743589743589722</v>
      </c>
      <c r="CT66" s="13">
        <f>IF('Données projet'!$A$140&gt;35,CT65+CS66-DB65,IF(A66&lt;'Données projet'!$A$140,$CQ$205^A66,IF(A66='Données projet'!$A$140,'Données projet'!$B$140,CT65+CS66-DB65)))</f>
        <v>167.05128205128196</v>
      </c>
      <c r="CU66" s="18">
        <f>CT66*VLOOKUP('Données projet'!$B$13,Paramètres!$A$1:$I$89,3,0)*VLOOKUP('Données projet'!$B$13,Paramètres!$A$1:$I$89,5,0)</f>
        <v>143.32999999999993</v>
      </c>
      <c r="CV66" s="14">
        <f t="shared" si="41"/>
        <v>37.058814921526867</v>
      </c>
      <c r="CW66" s="22">
        <f t="shared" si="13"/>
        <v>314.17718598832579</v>
      </c>
      <c r="CX66" s="62">
        <f t="shared" si="14"/>
        <v>561.2462869369698</v>
      </c>
      <c r="CY66" s="62">
        <f ca="1">AVERAGE(OFFSET($CX$3,0,0,'Données projet'!$E$13+1,1))-AVERAGE(OFFSET($H$3,0,0,'Données projet'!$E$13+1,1))</f>
        <v>384.3367849108829</v>
      </c>
      <c r="CZ66" s="62">
        <f t="shared" si="42"/>
        <v>238.2697272367603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>
        <f>VLOOKUP(A66,'Données projet'!$A$165:$I$185,2,0)</f>
        <v>350.69230769230768</v>
      </c>
      <c r="DM66" s="13">
        <f>VLOOKUP(A66,'Données projet'!$A$165:$I$185,9,0)</f>
        <v>10.984615384615381</v>
      </c>
      <c r="DN66" s="13">
        <f t="array" ref="DN66">INDEX(DM:DM,MIN(IF(ISNUMBER(DM66:DM262),ROW(DM66:DM262),"")))</f>
        <v>10.984615384615381</v>
      </c>
      <c r="DO66" s="13">
        <f>IF('Données projet'!$A$166&gt;35,DO65+DN66-DW65,IF(A66&lt;'Données projet'!$A$166,$DL$205^A66,IF(A66='Données projet'!$A$166,'Données projet'!$B$166,DO65+DN66-DW65)))</f>
        <v>350.69230769230751</v>
      </c>
      <c r="DP66" s="18">
        <f>DO66*VLOOKUP('Données projet'!$B$14,Paramètres!$A$1:$I$89,3,0)*VLOOKUP('Données projet'!$B$14,Paramètres!$A$1:$I$89,5,0)</f>
        <v>164.12399999999991</v>
      </c>
      <c r="DQ66" s="14">
        <f t="shared" si="43"/>
        <v>41.771312955270531</v>
      </c>
      <c r="DR66" s="22">
        <f t="shared" si="16"/>
        <v>358.60100339709601</v>
      </c>
      <c r="DS66" s="62">
        <f t="shared" si="17"/>
        <v>605.67010434574001</v>
      </c>
      <c r="DT66" s="62">
        <f ca="1">AVERAGE(OFFSET($DS$3,0,0,'Données projet'!$E$14+1,1))-AVERAGE(OFFSET($H$3,0,0,'Données projet'!$E$14+1,1))</f>
        <v>304.1100958939968</v>
      </c>
      <c r="DU66" s="62">
        <f t="shared" si="44"/>
        <v>184.1255966824568</v>
      </c>
      <c r="DV66" s="16">
        <f>IF(ISNA(VLOOKUP(A66,'Données projet'!$A$165:$I$185,3,0)),0,VLOOKUP(A66,'Données projet'!$A$165:$I$185,3,0))</f>
        <v>2</v>
      </c>
      <c r="DW66" s="16">
        <f>IF(ISNA(VLOOKUP(A66,'Données projet'!$A$165:$I$185,4,0)),0,VLOOKUP(A66,'Données projet'!$A$165:$I$185,4,0))</f>
        <v>108.08461538461538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3.9743589743589722</v>
      </c>
      <c r="EJ66" s="13">
        <f>IF('Données projet'!$A$192&gt;35,EJ65+EI66-ER65,IF(A66&lt;'Données projet'!$A$192,$EG$205^A66,IF(A66='Données projet'!$A$192,'Données projet'!$B$192,EJ65+EI66-ER65)))</f>
        <v>167.05128205128196</v>
      </c>
      <c r="EK66" s="18">
        <f>EJ66*VLOOKUP('Données projet'!$B$15,Paramètres!$A$1:$I$89,3,0)*VLOOKUP('Données projet'!$B$15,Paramètres!$A$1:$I$89,5,0)</f>
        <v>169.3899999999999</v>
      </c>
      <c r="EL66" s="14">
        <f t="shared" si="45"/>
        <v>42.953375308169967</v>
      </c>
      <c r="EM66" s="22">
        <f t="shared" si="19"/>
        <v>369.83137866172916</v>
      </c>
      <c r="EN66" s="62">
        <f t="shared" si="20"/>
        <v>616.90047961037317</v>
      </c>
      <c r="EO66" s="62">
        <f ca="1">AVERAGE(OFFSET($EN$3,0,0,'Données projet'!$E$15+1,1))-AVERAGE(OFFSET($H$3,0,0,'Données projet'!$E$15+1,1))</f>
        <v>435.03433721979218</v>
      </c>
      <c r="EP66" s="62">
        <f t="shared" si="46"/>
        <v>267.10015759286387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3.9743589743589722</v>
      </c>
      <c r="FE66" s="13">
        <f>IF('Données projet'!$A$218&gt;35,FE65+FD66-FM65,IF(A66&lt;'Données projet'!$A$218,$FB$205^A66,IF(A66='Données projet'!$A$218,'Données projet'!$B$218,FE65+FD66-FM65)))</f>
        <v>167.05128205128196</v>
      </c>
      <c r="FF66" s="18">
        <f>FE66*VLOOKUP('Données projet'!$B$16,Paramètres!$A$1:$I$89,3,0)*VLOOKUP('Données projet'!$B$16,Paramètres!$A$1:$I$89,5,0)</f>
        <v>174.60199999999992</v>
      </c>
      <c r="FG66" s="14">
        <f t="shared" si="47"/>
        <v>44.119110756694013</v>
      </c>
      <c r="FH66" s="22">
        <f t="shared" si="22"/>
        <v>380.93926790124192</v>
      </c>
      <c r="FI66" s="62">
        <f t="shared" si="23"/>
        <v>628.00836884988587</v>
      </c>
      <c r="FJ66" s="62">
        <f ca="1">AVERAGE(OFFSET($FI$3,0,0,'Données projet'!$E$16+1,1))-AVERAGE(OFFSET($H$3,0,0,'Données projet'!$E$16+1,1))</f>
        <v>445.15313998584293</v>
      </c>
      <c r="FK66" s="62">
        <f t="shared" si="48"/>
        <v>272.85357736694834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2.6</v>
      </c>
      <c r="FZ66" s="13">
        <f>IF('Données projet'!$A$244&gt;35,FZ65+FY66-GH65,IF(A66&lt;'Données projet'!$A$244,$FW$205^A66,IF(A66='Données projet'!$A$244,'Données projet'!$B$244,FZ65+FY66-GH65)))</f>
        <v>140.7999999999999</v>
      </c>
      <c r="GA66" s="18">
        <f>FZ66*VLOOKUP('Données projet'!$B$17,Paramètres!$A$1:$I$89,3,0)*VLOOKUP('Données projet'!$B$17,Paramètres!$A$1:$I$89,5,0)</f>
        <v>123.00287999999993</v>
      </c>
      <c r="GB66" s="14">
        <f t="shared" si="49"/>
        <v>32.374361095906139</v>
      </c>
      <c r="GC66" s="22">
        <f t="shared" si="25"/>
        <v>270.61536157536972</v>
      </c>
      <c r="GD66" s="62">
        <f t="shared" si="26"/>
        <v>517.68446252401372</v>
      </c>
      <c r="GE66" s="62">
        <f ca="1">AVERAGE(OFFSET($GD$3,0,0,'Données projet'!$E$17+1,1))-AVERAGE(OFFSET($H$3,0,0,'Données projet'!$E$17+1,1))</f>
        <v>248.82613595888964</v>
      </c>
      <c r="GF66" s="62">
        <f t="shared" si="50"/>
        <v>255.8298580882084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135.66666666666666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5.1989010989010991</v>
      </c>
      <c r="N67" s="14">
        <f>IF('Données projet'!$A$36&gt;35,N66+M67-V66,IF(A67&lt;'Données projet'!$A$36,$K$205^A67,IF(A67='Données projet'!$A$36,'Données projet'!$B$36,N66+M67-V66)))</f>
        <v>174.00219780219788</v>
      </c>
      <c r="O67" s="14">
        <f>N67*VLOOKUP('Données projet'!$B$9,Paramètres!$A$1:$I$89,3,0)*VLOOKUP('Données projet'!$B$9,Paramètres!$A$1:$I$89,5,0)</f>
        <v>101.79128571428578</v>
      </c>
      <c r="P67" s="14">
        <f t="shared" si="33"/>
        <v>27.388304708404629</v>
      </c>
      <c r="Q67" s="22">
        <f t="shared" ref="Q67:Q98" si="54">(O67+P67)*0.475*44/12</f>
        <v>224.98778665285246</v>
      </c>
      <c r="R67" s="62">
        <f t="shared" ref="R67:R130" si="55">Q67+(I67+J67)*44/12</f>
        <v>472.85946860204228</v>
      </c>
      <c r="S67" s="62">
        <f ca="1">AVERAGE(OFFSET($R$3,0,0,'Données projet'!$E$9+1,1))-AVERAGE(OFFSET($H$3,0,0,'Données projet'!$E$9+1,1))</f>
        <v>221.18884567967481</v>
      </c>
      <c r="T67" s="62">
        <f t="shared" si="34"/>
        <v>189.31596996710888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1.6750000000000014</v>
      </c>
      <c r="AI67" s="14">
        <f>IF('Données projet'!$A$62&gt;35,AI66+AH67-AQ66,IF(A67&lt;'Données projet'!$A$62,$AF$205^A67,IF(A67='Données projet'!$A$62,'Données projet'!$B$62,AI66+AH67-AQ66)))</f>
        <v>82.812499999999957</v>
      </c>
      <c r="AJ67" s="14">
        <f>AI67*VLOOKUP('Données projet'!$B$10,Paramètres!$A$1:$I$89,3,0)*VLOOKUP('Données projet'!$B$10,Paramètres!$A$1:$I$89,5,0)</f>
        <v>95.399999999999949</v>
      </c>
      <c r="AK67" s="14">
        <f t="shared" si="35"/>
        <v>25.863125591712326</v>
      </c>
      <c r="AL67" s="22">
        <f t="shared" si="4"/>
        <v>211.1999437388989</v>
      </c>
      <c r="AM67" s="62">
        <f t="shared" si="5"/>
        <v>459.07162568808872</v>
      </c>
      <c r="AN67" s="62">
        <f ca="1">AVERAGE(OFFSET($AM$3,0,0,'Données projet'!$E$10+1,1))-AVERAGE(OFFSET($H$3,0,0,'Données projet'!$E$10+1,1))</f>
        <v>314.72063458462026</v>
      </c>
      <c r="AO67" s="62">
        <f t="shared" si="36"/>
        <v>216.4380325968244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3.9743589743589722</v>
      </c>
      <c r="BD67" s="13">
        <f>IF('Données projet'!$A$88&gt;35,BD66+BC67-BL66,IF(A67&lt;'Données projet'!$A$88,$BA$205^A67,IF(A67='Données projet'!$A$88,'Données projet'!$B$88,BD66+BC67-BL66)))</f>
        <v>171.02564102564094</v>
      </c>
      <c r="BE67" s="14">
        <f>BD67*VLOOKUP('Données projet'!$B$11,Paramètres!$A$1:$I$89,3,0)*VLOOKUP('Données projet'!$B$11,Paramètres!$A$1:$I$89,5,0)</f>
        <v>184.0919999999999</v>
      </c>
      <c r="BF67" s="14">
        <f t="shared" si="37"/>
        <v>46.231386320256519</v>
      </c>
      <c r="BG67" s="22">
        <f t="shared" si="7"/>
        <v>401.14656450777994</v>
      </c>
      <c r="BH67" s="62">
        <f t="shared" si="8"/>
        <v>649.01824645696979</v>
      </c>
      <c r="BI67" s="62">
        <f ca="1">AVERAGE(OFFSET($BH$3,0,0,'Données projet'!$E$11+1,1))-AVERAGE(OFFSET($H$3,0,0,'Données projet'!$E$11+1,1))</f>
        <v>455.26558725507834</v>
      </c>
      <c r="BJ67" s="62">
        <f t="shared" si="38"/>
        <v>278.60310966788552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2.7600000000000025</v>
      </c>
      <c r="BY67" s="13">
        <f>IF('Données projet'!$A$114&gt;35,BY66+BX67-CG66,IF(A67&lt;'Données projet'!$A$114,$BV$205^A67,IF(A67='Données projet'!$A$114,'Données projet'!$B$114,BY66+BX67-CG66)))</f>
        <v>251.53999999999994</v>
      </c>
      <c r="BZ67" s="14">
        <f>BY67*VLOOKUP('Données projet'!$B$12,Paramètres!$A$1:$I$89,3,0)*VLOOKUP('Données projet'!$B$12,Paramètres!$A$1:$I$89,5,0)</f>
        <v>130.80079999999998</v>
      </c>
      <c r="CA67" s="14">
        <f t="shared" si="39"/>
        <v>34.181334512311345</v>
      </c>
      <c r="CB67" s="22">
        <f t="shared" si="10"/>
        <v>287.34388427560884</v>
      </c>
      <c r="CC67" s="62">
        <f t="shared" si="11"/>
        <v>535.21556622479864</v>
      </c>
      <c r="CD67" s="62">
        <f ca="1">AVERAGE(OFFSET($CC$3,0,0,'Données projet'!$E$12+1,1))-AVERAGE(OFFSET($H$3,0,0,'Données projet'!$E$12+1,1))</f>
        <v>300.72820267660154</v>
      </c>
      <c r="CE67" s="62">
        <f t="shared" si="40"/>
        <v>228.35388778608589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3.9743589743589722</v>
      </c>
      <c r="CT67" s="13">
        <f>IF('Données projet'!$A$140&gt;35,CT66+CS67-DB66,IF(A67&lt;'Données projet'!$A$140,$CQ$205^A67,IF(A67='Données projet'!$A$140,'Données projet'!$B$140,CT66+CS67-DB66)))</f>
        <v>171.02564102564094</v>
      </c>
      <c r="CU67" s="18">
        <f>CT67*VLOOKUP('Données projet'!$B$13,Paramètres!$A$1:$I$89,3,0)*VLOOKUP('Données projet'!$B$13,Paramètres!$A$1:$I$89,5,0)</f>
        <v>146.73999999999995</v>
      </c>
      <c r="CV67" s="14">
        <f t="shared" si="41"/>
        <v>37.836794173430199</v>
      </c>
      <c r="CW67" s="22">
        <f t="shared" si="13"/>
        <v>321.4712498520575</v>
      </c>
      <c r="CX67" s="62">
        <f t="shared" si="14"/>
        <v>569.34293180124735</v>
      </c>
      <c r="CY67" s="62">
        <f ca="1">AVERAGE(OFFSET($CX$3,0,0,'Données projet'!$E$13+1,1))-AVERAGE(OFFSET($H$3,0,0,'Données projet'!$E$13+1,1))</f>
        <v>384.3367849108829</v>
      </c>
      <c r="CZ67" s="62">
        <f t="shared" si="42"/>
        <v>238.2697272367603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9.6897435897435908</v>
      </c>
      <c r="DO67" s="13">
        <f>IF('Données projet'!$A$166&gt;35,DO66+DN67-DW66,IF(A67&lt;'Données projet'!$A$166,$DL$205^A67,IF(A67='Données projet'!$A$166,'Données projet'!$B$166,DO66+DN67-DW66)))</f>
        <v>252.29743589743575</v>
      </c>
      <c r="DP67" s="18">
        <f>DO67*VLOOKUP('Données projet'!$B$14,Paramètres!$A$1:$I$89,3,0)*VLOOKUP('Données projet'!$B$14,Paramètres!$A$1:$I$89,5,0)</f>
        <v>118.07519999999992</v>
      </c>
      <c r="DQ67" s="14">
        <f t="shared" si="43"/>
        <v>31.225649693095828</v>
      </c>
      <c r="DR67" s="22">
        <f t="shared" si="16"/>
        <v>260.03231321547509</v>
      </c>
      <c r="DS67" s="62">
        <f t="shared" si="17"/>
        <v>507.90399516466493</v>
      </c>
      <c r="DT67" s="62">
        <f ca="1">AVERAGE(OFFSET($DS$3,0,0,'Données projet'!$E$14+1,1))-AVERAGE(OFFSET($H$3,0,0,'Données projet'!$E$14+1,1))</f>
        <v>304.1100958939968</v>
      </c>
      <c r="DU67" s="62">
        <f t="shared" si="44"/>
        <v>184.1255966824568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3.9743589743589722</v>
      </c>
      <c r="EJ67" s="13">
        <f>IF('Données projet'!$A$192&gt;35,EJ66+EI67-ER66,IF(A67&lt;'Données projet'!$A$192,$EG$205^A67,IF(A67='Données projet'!$A$192,'Données projet'!$B$192,EJ66+EI67-ER66)))</f>
        <v>171.02564102564094</v>
      </c>
      <c r="EK67" s="18">
        <f>EJ67*VLOOKUP('Données projet'!$B$15,Paramètres!$A$1:$I$89,3,0)*VLOOKUP('Données projet'!$B$15,Paramètres!$A$1:$I$89,5,0)</f>
        <v>173.41999999999993</v>
      </c>
      <c r="EL67" s="14">
        <f t="shared" si="45"/>
        <v>43.855099630972404</v>
      </c>
      <c r="EM67" s="22">
        <f t="shared" si="19"/>
        <v>378.42079852394346</v>
      </c>
      <c r="EN67" s="62">
        <f t="shared" si="20"/>
        <v>626.29248047313331</v>
      </c>
      <c r="EO67" s="62">
        <f ca="1">AVERAGE(OFFSET($EN$3,0,0,'Données projet'!$E$15+1,1))-AVERAGE(OFFSET($H$3,0,0,'Données projet'!$E$15+1,1))</f>
        <v>435.03433721979218</v>
      </c>
      <c r="EP67" s="62">
        <f t="shared" si="46"/>
        <v>267.10015759286387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3.9743589743589722</v>
      </c>
      <c r="FE67" s="13">
        <f>IF('Données projet'!$A$218&gt;35,FE66+FD67-FM66,IF(A67&lt;'Données projet'!$A$218,$FB$205^A67,IF(A67='Données projet'!$A$218,'Données projet'!$B$218,FE66+FD67-FM66)))</f>
        <v>171.02564102564094</v>
      </c>
      <c r="FF67" s="18">
        <f>FE67*VLOOKUP('Données projet'!$B$16,Paramètres!$A$1:$I$89,3,0)*VLOOKUP('Données projet'!$B$16,Paramètres!$A$1:$I$89,5,0)</f>
        <v>178.75599999999994</v>
      </c>
      <c r="FG67" s="14">
        <f t="shared" si="47"/>
        <v>45.045307475445441</v>
      </c>
      <c r="FH67" s="22">
        <f t="shared" si="22"/>
        <v>389.78727718640067</v>
      </c>
      <c r="FI67" s="62">
        <f t="shared" si="23"/>
        <v>637.65895913559052</v>
      </c>
      <c r="FJ67" s="62">
        <f ca="1">AVERAGE(OFFSET($FI$3,0,0,'Données projet'!$E$16+1,1))-AVERAGE(OFFSET($H$3,0,0,'Données projet'!$E$16+1,1))</f>
        <v>445.15313998584293</v>
      </c>
      <c r="FK67" s="62">
        <f t="shared" si="48"/>
        <v>272.85357736694834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2.6</v>
      </c>
      <c r="FZ67" s="13">
        <f>IF('Données projet'!$A$244&gt;35,FZ66+FY67-GH66,IF(A67&lt;'Données projet'!$A$244,$FW$205^A67,IF(A67='Données projet'!$A$244,'Données projet'!$B$244,FZ66+FY67-GH66)))</f>
        <v>143.39999999999989</v>
      </c>
      <c r="GA67" s="18">
        <f>FZ67*VLOOKUP('Données projet'!$B$17,Paramètres!$A$1:$I$89,3,0)*VLOOKUP('Données projet'!$B$17,Paramètres!$A$1:$I$89,5,0)</f>
        <v>125.27423999999992</v>
      </c>
      <c r="GB67" s="14">
        <f t="shared" si="49"/>
        <v>32.902032783270968</v>
      </c>
      <c r="GC67" s="22">
        <f t="shared" si="25"/>
        <v>275.49034176419678</v>
      </c>
      <c r="GD67" s="62">
        <f t="shared" si="26"/>
        <v>523.36202371338663</v>
      </c>
      <c r="GE67" s="62">
        <f ca="1">AVERAGE(OFFSET($GD$3,0,0,'Données projet'!$E$17+1,1))-AVERAGE(OFFSET($H$3,0,0,'Données projet'!$E$17+1,1))</f>
        <v>248.82613595888964</v>
      </c>
      <c r="GF67" s="62">
        <f t="shared" si="50"/>
        <v>255.8298580882084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135.66666666666666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5.1989010989010991</v>
      </c>
      <c r="N68" s="14">
        <f>IF('Données projet'!$A$36&gt;35,N67+M68-V67,IF(A68&lt;'Données projet'!$A$36,$K$205^A68,IF(A68='Données projet'!$A$36,'Données projet'!$B$36,N67+M68-V67)))</f>
        <v>179.20109890109899</v>
      </c>
      <c r="O68" s="14">
        <f>N68*VLOOKUP('Données projet'!$B$9,Paramètres!$A$1:$I$89,3,0)*VLOOKUP('Données projet'!$B$9,Paramètres!$A$1:$I$89,5,0)</f>
        <v>104.83264285714291</v>
      </c>
      <c r="P68" s="14">
        <f t="shared" si="33"/>
        <v>28.110126684008662</v>
      </c>
      <c r="Q68" s="22">
        <f t="shared" si="54"/>
        <v>231.54199028417233</v>
      </c>
      <c r="R68" s="62">
        <f t="shared" si="55"/>
        <v>480.20233024785091</v>
      </c>
      <c r="S68" s="62">
        <f ca="1">AVERAGE(OFFSET($R$3,0,0,'Données projet'!$E$9+1,1))-AVERAGE(OFFSET($H$3,0,0,'Données projet'!$E$9+1,1))</f>
        <v>221.18884567967481</v>
      </c>
      <c r="T68" s="62">
        <f t="shared" si="34"/>
        <v>189.31596996710888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1.6750000000000014</v>
      </c>
      <c r="AI68" s="14">
        <f>IF('Données projet'!$A$62&gt;35,AI67+AH68-AQ67,IF(A68&lt;'Données projet'!$A$62,$AF$205^A68,IF(A68='Données projet'!$A$62,'Données projet'!$B$62,AI67+AH68-AQ67)))</f>
        <v>84.487499999999955</v>
      </c>
      <c r="AJ68" s="14">
        <f>AI68*VLOOKUP('Données projet'!$B$10,Paramètres!$A$1:$I$89,3,0)*VLOOKUP('Données projet'!$B$10,Paramètres!$A$1:$I$89,5,0)</f>
        <v>97.329599999999928</v>
      </c>
      <c r="AK68" s="14">
        <f t="shared" si="35"/>
        <v>26.324812862564265</v>
      </c>
      <c r="AL68" s="22">
        <f t="shared" ref="AL68:AL131" si="58">(AJ68+AK68)*0.475*44/12</f>
        <v>215.36476906896596</v>
      </c>
      <c r="AM68" s="62">
        <f t="shared" ref="AM68:AM131" si="59">AL68+(AD68+AE68)*44/12</f>
        <v>464.02510903264454</v>
      </c>
      <c r="AN68" s="62">
        <f ca="1">AVERAGE(OFFSET($AM$3,0,0,'Données projet'!$E$10+1,1))-AVERAGE(OFFSET($H$3,0,0,'Données projet'!$E$10+1,1))</f>
        <v>314.72063458462026</v>
      </c>
      <c r="AO68" s="62">
        <f t="shared" si="36"/>
        <v>216.4380325968244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175</v>
      </c>
      <c r="BB68" s="13">
        <f>VLOOKUP(A68,'Données projet'!$A$87:$I$107,9,0)</f>
        <v>3.9743589743589722</v>
      </c>
      <c r="BC68" s="13">
        <f t="array" ref="BC68">INDEX(BB:BB,MIN(IF(ISNUMBER(BB68:BB264),ROW(BB68:BB264),"")))</f>
        <v>3.9743589743589722</v>
      </c>
      <c r="BD68" s="13">
        <f>IF('Données projet'!$A$88&gt;35,BD67+BC68-BL67,IF(A68&lt;'Données projet'!$A$88,$BA$205^A68,IF(A68='Données projet'!$A$88,'Données projet'!$B$88,BD67+BC68-BL67)))</f>
        <v>174.99999999999991</v>
      </c>
      <c r="BE68" s="14">
        <f>BD68*VLOOKUP('Données projet'!$B$11,Paramètres!$A$1:$I$89,3,0)*VLOOKUP('Données projet'!$B$11,Paramètres!$A$1:$I$89,5,0)</f>
        <v>188.36999999999989</v>
      </c>
      <c r="BF68" s="14">
        <f t="shared" si="37"/>
        <v>47.179402486491256</v>
      </c>
      <c r="BG68" s="22">
        <f t="shared" ref="BG68:BG131" si="61">(BE68+BF68)*0.475*44/12</f>
        <v>410.24854266397205</v>
      </c>
      <c r="BH68" s="62">
        <f t="shared" ref="BH68:BH131" si="62">BG68+(AY68+AZ68)*44/12</f>
        <v>658.90888262765066</v>
      </c>
      <c r="BI68" s="62">
        <f ca="1">AVERAGE(OFFSET($BH$3,0,0,'Données projet'!$E$11+1,1))-AVERAGE(OFFSET($H$3,0,0,'Données projet'!$E$11+1,1))</f>
        <v>455.26558725507834</v>
      </c>
      <c r="BJ68" s="62">
        <f t="shared" si="38"/>
        <v>278.60310966788552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254.3</v>
      </c>
      <c r="BW68" s="13">
        <f>VLOOKUP(A68,'Données projet'!$A$113:$I$133,9,0)</f>
        <v>2.7600000000000025</v>
      </c>
      <c r="BX68" s="13">
        <f t="array" ref="BX68">INDEX(BW:BW,MIN(IF(ISNUMBER(BW68:BW264),ROW(BW68:BW264),"")))</f>
        <v>2.7600000000000025</v>
      </c>
      <c r="BY68" s="13">
        <f>IF('Données projet'!$A$114&gt;35,BY67+BX68-CG67,IF(A68&lt;'Données projet'!$A$114,$BV$205^A68,IF(A68='Données projet'!$A$114,'Données projet'!$B$114,BY67+BX68-CG67)))</f>
        <v>254.29999999999993</v>
      </c>
      <c r="BZ68" s="14">
        <f>BY68*VLOOKUP('Données projet'!$B$12,Paramètres!$A$1:$I$89,3,0)*VLOOKUP('Données projet'!$B$12,Paramètres!$A$1:$I$89,5,0)</f>
        <v>132.23599999999996</v>
      </c>
      <c r="CA68" s="14">
        <f t="shared" si="39"/>
        <v>34.512519351186441</v>
      </c>
      <c r="CB68" s="22">
        <f t="shared" ref="CB68:CB131" si="64">(BZ68+CA68)*0.475*44/12</f>
        <v>290.42033786998297</v>
      </c>
      <c r="CC68" s="62">
        <f t="shared" ref="CC68:CC131" si="65">CB68+(BT68+BU68)*44/12</f>
        <v>539.08067783366153</v>
      </c>
      <c r="CD68" s="62">
        <f ca="1">AVERAGE(OFFSET($CC$3,0,0,'Données projet'!$E$12+1,1))-AVERAGE(OFFSET($H$3,0,0,'Données projet'!$E$12+1,1))</f>
        <v>300.72820267660154</v>
      </c>
      <c r="CE68" s="62">
        <f t="shared" si="40"/>
        <v>228.35388778608589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175</v>
      </c>
      <c r="CR68" s="13">
        <f>VLOOKUP(A68,'Données projet'!$A$139:$I$159,9,0)</f>
        <v>3.9743589743589722</v>
      </c>
      <c r="CS68" s="13">
        <f t="array" ref="CS68">INDEX(CR:CR,MIN(IF(ISNUMBER(CR68:CR264),ROW(CR68:CR264),"")))</f>
        <v>3.9743589743589722</v>
      </c>
      <c r="CT68" s="13">
        <f>IF('Données projet'!$A$140&gt;35,CT67+CS68-DB67,IF(A68&lt;'Données projet'!$A$140,$CQ$205^A68,IF(A68='Données projet'!$A$140,'Données projet'!$B$140,CT67+CS68-DB67)))</f>
        <v>174.99999999999991</v>
      </c>
      <c r="CU68" s="18">
        <f>CT68*VLOOKUP('Données projet'!$B$13,Paramètres!$A$1:$I$89,3,0)*VLOOKUP('Données projet'!$B$13,Paramètres!$A$1:$I$89,5,0)</f>
        <v>150.14999999999995</v>
      </c>
      <c r="CV68" s="14">
        <f t="shared" si="41"/>
        <v>38.612671675922336</v>
      </c>
      <c r="CW68" s="22">
        <f t="shared" ref="CW68:CW131" si="67">(CU68+CV68)*0.475*44/12</f>
        <v>328.76165316889802</v>
      </c>
      <c r="CX68" s="62">
        <f t="shared" ref="CX68:CX131" si="68">CW68+(CO68+CP68)*44/12</f>
        <v>577.42199313257652</v>
      </c>
      <c r="CY68" s="62">
        <f ca="1">AVERAGE(OFFSET($CX$3,0,0,'Données projet'!$E$13+1,1))-AVERAGE(OFFSET($H$3,0,0,'Données projet'!$E$13+1,1))</f>
        <v>384.3367849108829</v>
      </c>
      <c r="CZ68" s="62">
        <f t="shared" si="42"/>
        <v>238.2697272367603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9.6897435897435908</v>
      </c>
      <c r="DO68" s="13">
        <f>IF('Données projet'!$A$166&gt;35,DO67+DN68-DW67,IF(A68&lt;'Données projet'!$A$166,$DL$205^A68,IF(A68='Données projet'!$A$166,'Données projet'!$B$166,DO67+DN68-DW67)))</f>
        <v>261.98717948717933</v>
      </c>
      <c r="DP68" s="18">
        <f>DO68*VLOOKUP('Données projet'!$B$14,Paramètres!$A$1:$I$89,3,0)*VLOOKUP('Données projet'!$B$14,Paramètres!$A$1:$I$89,5,0)</f>
        <v>122.60999999999993</v>
      </c>
      <c r="DQ68" s="14">
        <f t="shared" si="43"/>
        <v>32.282974526111182</v>
      </c>
      <c r="DR68" s="22">
        <f t="shared" ref="DR68:DR131" si="70">(DP68+DQ68)*0.475*44/12</f>
        <v>269.77193063297682</v>
      </c>
      <c r="DS68" s="62">
        <f t="shared" ref="DS68:DS131" si="71">DR68+(DJ68+DK68)*44/12</f>
        <v>518.43227059665537</v>
      </c>
      <c r="DT68" s="62">
        <f ca="1">AVERAGE(OFFSET($DS$3,0,0,'Données projet'!$E$14+1,1))-AVERAGE(OFFSET($H$3,0,0,'Données projet'!$E$14+1,1))</f>
        <v>304.1100958939968</v>
      </c>
      <c r="DU68" s="62">
        <f t="shared" si="44"/>
        <v>184.1255966824568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175</v>
      </c>
      <c r="EH68" s="13">
        <f>VLOOKUP(A68,'Données projet'!$A$191:$I$211,9,0)</f>
        <v>3.9743589743589722</v>
      </c>
      <c r="EI68" s="13">
        <f t="array" ref="EI68">INDEX(EH:EH,MIN(IF(ISNUMBER(EH68:EH264),ROW(EH68:EH264),"")))</f>
        <v>3.9743589743589722</v>
      </c>
      <c r="EJ68" s="13">
        <f>IF('Données projet'!$A$192&gt;35,EJ67+EI68-ER67,IF(A68&lt;'Données projet'!$A$192,$EG$205^A68,IF(A68='Données projet'!$A$192,'Données projet'!$B$192,EJ67+EI68-ER67)))</f>
        <v>174.99999999999991</v>
      </c>
      <c r="EK68" s="18">
        <f>EJ68*VLOOKUP('Données projet'!$B$15,Paramètres!$A$1:$I$89,3,0)*VLOOKUP('Données projet'!$B$15,Paramètres!$A$1:$I$89,5,0)</f>
        <v>177.4499999999999</v>
      </c>
      <c r="EL68" s="14">
        <f t="shared" si="45"/>
        <v>44.754387900936756</v>
      </c>
      <c r="EM68" s="22">
        <f t="shared" ref="EM68:EM131" si="73">(EK68+EL68)*0.475*44/12</f>
        <v>387.00597559413131</v>
      </c>
      <c r="EN68" s="62">
        <f t="shared" ref="EN68:EN131" si="74">EM68+(EE68+EF68)*44/12</f>
        <v>635.66631555780987</v>
      </c>
      <c r="EO68" s="62">
        <f ca="1">AVERAGE(OFFSET($EN$3,0,0,'Données projet'!$E$15+1,1))-AVERAGE(OFFSET($H$3,0,0,'Données projet'!$E$15+1,1))</f>
        <v>435.03433721979218</v>
      </c>
      <c r="EP68" s="62">
        <f t="shared" si="46"/>
        <v>267.10015759286387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175</v>
      </c>
      <c r="FC68" s="13">
        <f>VLOOKUP(A68,'Données projet'!$A$217:$I$237,9,0)</f>
        <v>3.9743589743589722</v>
      </c>
      <c r="FD68" s="13">
        <f t="array" ref="FD68">INDEX(FC:FC,MIN(IF(ISNUMBER(FC68:FC264),ROW(FC68:FC264),"")))</f>
        <v>3.9743589743589722</v>
      </c>
      <c r="FE68" s="13">
        <f>IF('Données projet'!$A$218&gt;35,FE67+FD68-FM67,IF(A68&lt;'Données projet'!$A$218,$FB$205^A68,IF(A68='Données projet'!$A$218,'Données projet'!$B$218,FE67+FD68-FM67)))</f>
        <v>174.99999999999991</v>
      </c>
      <c r="FF68" s="18">
        <f>FE68*VLOOKUP('Données projet'!$B$16,Paramètres!$A$1:$I$89,3,0)*VLOOKUP('Données projet'!$B$16,Paramètres!$A$1:$I$89,5,0)</f>
        <v>182.90999999999991</v>
      </c>
      <c r="FG68" s="14">
        <f t="shared" si="47"/>
        <v>45.969002027971243</v>
      </c>
      <c r="FH68" s="22">
        <f t="shared" ref="FH68:FH131" si="76">(FF68+FG68)*0.475*44/12</f>
        <v>398.63092853204972</v>
      </c>
      <c r="FI68" s="62">
        <f t="shared" ref="FI68:FI131" si="77">FH68+(EZ68+FA68)*44/12</f>
        <v>647.29126849572822</v>
      </c>
      <c r="FJ68" s="62">
        <f ca="1">AVERAGE(OFFSET($FI$3,0,0,'Données projet'!$E$16+1,1))-AVERAGE(OFFSET($H$3,0,0,'Données projet'!$E$16+1,1))</f>
        <v>445.15313998584293</v>
      </c>
      <c r="FK68" s="62">
        <f t="shared" si="48"/>
        <v>272.85357736694834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146</v>
      </c>
      <c r="FX68" s="13">
        <f>VLOOKUP(A68,'Données projet'!$A$243:$I$263,9,0)</f>
        <v>2.6</v>
      </c>
      <c r="FY68" s="13">
        <f t="array" ref="FY68">INDEX(FX:FX,MIN(IF(ISNUMBER(FX68:FX264),ROW(FX68:FX264),"")))</f>
        <v>2.6</v>
      </c>
      <c r="FZ68" s="13">
        <f>IF('Données projet'!$A$244&gt;35,FZ67+FY68-GH67,IF(A68&lt;'Données projet'!$A$244,$FW$205^A68,IF(A68='Données projet'!$A$244,'Données projet'!$B$244,FZ67+FY68-GH67)))</f>
        <v>145.99999999999989</v>
      </c>
      <c r="GA68" s="18">
        <f>FZ68*VLOOKUP('Données projet'!$B$17,Paramètres!$A$1:$I$89,3,0)*VLOOKUP('Données projet'!$B$17,Paramètres!$A$1:$I$89,5,0)</f>
        <v>127.54559999999992</v>
      </c>
      <c r="GB68" s="14">
        <f t="shared" si="49"/>
        <v>33.428591950384806</v>
      </c>
      <c r="GC68" s="22">
        <f t="shared" ref="GC68:GC131" si="79">(GA68+GB68)*0.475*44/12</f>
        <v>280.36338431358672</v>
      </c>
      <c r="GD68" s="62">
        <f t="shared" ref="GD68:GD131" si="80">GC68+(FU68+FV68)*44/12</f>
        <v>529.02372427726527</v>
      </c>
      <c r="GE68" s="62">
        <f ca="1">AVERAGE(OFFSET($GD$3,0,0,'Données projet'!$E$17+1,1))-AVERAGE(OFFSET($H$3,0,0,'Données projet'!$E$17+1,1))</f>
        <v>248.82613595888964</v>
      </c>
      <c r="GF68" s="62">
        <f t="shared" si="50"/>
        <v>255.8298580882084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135.66666666666666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184.4</v>
      </c>
      <c r="L69" s="13">
        <f>VLOOKUP(A69,'Données projet'!$A$35:$I$55,9,0)</f>
        <v>5.1989010989010991</v>
      </c>
      <c r="M69" s="13">
        <f t="array" ref="M69">INDEX(L:L,MIN(IF(ISNUMBER(L69:L265),ROW(L69:L265),"")))</f>
        <v>5.1989010989010991</v>
      </c>
      <c r="N69" s="14">
        <f>IF('Données projet'!$A$36&gt;35,N68+M69-V68,IF(A69&lt;'Données projet'!$A$36,$K$205^A69,IF(A69='Données projet'!$A$36,'Données projet'!$B$36,N68+M69-V68)))</f>
        <v>184.40000000000009</v>
      </c>
      <c r="O69" s="14">
        <f>N69*VLOOKUP('Données projet'!$B$9,Paramètres!$A$1:$I$89,3,0)*VLOOKUP('Données projet'!$B$9,Paramètres!$A$1:$I$89,5,0)</f>
        <v>107.87400000000007</v>
      </c>
      <c r="P69" s="14">
        <f t="shared" ref="P69:P132" si="87">EXP(-1.0587+0.8836*LN(O69)+0.284)</f>
        <v>28.829514857540598</v>
      </c>
      <c r="Q69" s="22">
        <f t="shared" si="54"/>
        <v>238.09195504354997</v>
      </c>
      <c r="R69" s="62">
        <f t="shared" si="55"/>
        <v>487.52727156834112</v>
      </c>
      <c r="S69" s="62">
        <f ca="1">AVERAGE(OFFSET($R$3,0,0,'Données projet'!$E$9+1,1))-AVERAGE(OFFSET($H$3,0,0,'Données projet'!$E$9+1,1))</f>
        <v>221.18884567967481</v>
      </c>
      <c r="T69" s="62">
        <f t="shared" ref="T69:T132" si="88">$T$3</f>
        <v>189.31596996710888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1.6750000000000014</v>
      </c>
      <c r="AI69" s="14">
        <f>IF('Données projet'!$A$62&gt;35,AI68+AH69-AQ68,IF(A69&lt;'Données projet'!$A$62,$AF$205^A69,IF(A69='Données projet'!$A$62,'Données projet'!$B$62,AI68+AH69-AQ68)))</f>
        <v>86.162499999999952</v>
      </c>
      <c r="AJ69" s="14">
        <f>AI69*VLOOKUP('Données projet'!$B$10,Paramètres!$A$1:$I$89,3,0)*VLOOKUP('Données projet'!$B$10,Paramètres!$A$1:$I$89,5,0)</f>
        <v>99.259199999999936</v>
      </c>
      <c r="AK69" s="14">
        <f t="shared" ref="AK69:AK132" si="89">EXP(-1.0587+0.8836*LN(AJ69)+0.284)</f>
        <v>26.785435862245482</v>
      </c>
      <c r="AL69" s="22">
        <f t="shared" si="58"/>
        <v>219.52774079341077</v>
      </c>
      <c r="AM69" s="62">
        <f t="shared" si="59"/>
        <v>468.96305731820189</v>
      </c>
      <c r="AN69" s="62">
        <f ca="1">AVERAGE(OFFSET($AM$3,0,0,'Données projet'!$E$10+1,1))-AVERAGE(OFFSET($H$3,0,0,'Données projet'!$E$10+1,1))</f>
        <v>314.72063458462026</v>
      </c>
      <c r="AO69" s="62">
        <f t="shared" ref="AO69:AO132" si="90">$AO$3</f>
        <v>216.4380325968244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3.8461538461538454</v>
      </c>
      <c r="BD69" s="13">
        <f>IF('Données projet'!$A$88&gt;35,BD68+BC69-BL68,IF(A69&lt;'Données projet'!$A$88,$BA$205^A69,IF(A69='Données projet'!$A$88,'Données projet'!$B$88,BD68+BC69-BL68)))</f>
        <v>178.84615384615375</v>
      </c>
      <c r="BE69" s="14">
        <f>BD69*VLOOKUP('Données projet'!$B$11,Paramètres!$A$1:$I$89,3,0)*VLOOKUP('Données projet'!$B$11,Paramètres!$A$1:$I$89,5,0)</f>
        <v>192.50999999999988</v>
      </c>
      <c r="BF69" s="14">
        <f t="shared" ref="BF69:BF132" si="91">EXP(-1.0587+0.8836*LN(BE69)+0.284)</f>
        <v>48.094453640817569</v>
      </c>
      <c r="BG69" s="22">
        <f t="shared" si="61"/>
        <v>419.05275675775698</v>
      </c>
      <c r="BH69" s="62">
        <f t="shared" si="62"/>
        <v>668.48807328254816</v>
      </c>
      <c r="BI69" s="62">
        <f ca="1">AVERAGE(OFFSET($BH$3,0,0,'Données projet'!$E$11+1,1))-AVERAGE(OFFSET($H$3,0,0,'Données projet'!$E$11+1,1))</f>
        <v>455.26558725507834</v>
      </c>
      <c r="BJ69" s="62">
        <f t="shared" ref="BJ69:BJ132" si="92">$BJ$3</f>
        <v>278.60310966788552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2.5199999999999934</v>
      </c>
      <c r="BY69" s="13">
        <f>IF('Données projet'!$A$114&gt;35,BY68+BX69-CG68,IF(A69&lt;'Données projet'!$A$114,$BV$205^A69,IF(A69='Données projet'!$A$114,'Données projet'!$B$114,BY68+BX69-CG68)))</f>
        <v>256.81999999999994</v>
      </c>
      <c r="BZ69" s="14">
        <f>BY69*VLOOKUP('Données projet'!$B$12,Paramètres!$A$1:$I$89,3,0)*VLOOKUP('Données projet'!$B$12,Paramètres!$A$1:$I$89,5,0)</f>
        <v>133.54639999999998</v>
      </c>
      <c r="CA69" s="14">
        <f t="shared" ref="CA69:CA132" si="93">EXP(-1.0587+0.8836*LN(BZ69)+0.284)</f>
        <v>34.814540200675559</v>
      </c>
      <c r="CB69" s="22">
        <f t="shared" si="64"/>
        <v>293.22863751617655</v>
      </c>
      <c r="CC69" s="62">
        <f t="shared" si="65"/>
        <v>542.66395404096761</v>
      </c>
      <c r="CD69" s="62">
        <f ca="1">AVERAGE(OFFSET($CC$3,0,0,'Données projet'!$E$12+1,1))-AVERAGE(OFFSET($H$3,0,0,'Données projet'!$E$12+1,1))</f>
        <v>300.72820267660154</v>
      </c>
      <c r="CE69" s="62">
        <f t="shared" ref="CE69:CE132" si="94">$CE$3</f>
        <v>228.35388778608589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3.8461538461538454</v>
      </c>
      <c r="CT69" s="13">
        <f>IF('Données projet'!$A$140&gt;35,CT68+CS69-DB68,IF(A69&lt;'Données projet'!$A$140,$CQ$205^A69,IF(A69='Données projet'!$A$140,'Données projet'!$B$140,CT68+CS69-DB68)))</f>
        <v>178.84615384615375</v>
      </c>
      <c r="CU69" s="18">
        <f>CT69*VLOOKUP('Données projet'!$B$13,Paramètres!$A$1:$I$89,3,0)*VLOOKUP('Données projet'!$B$13,Paramètres!$A$1:$I$89,5,0)</f>
        <v>153.44999999999993</v>
      </c>
      <c r="CV69" s="14">
        <f t="shared" ref="CV69:CV132" si="95">EXP(-1.0587+0.8836*LN(CU69)+0.284)</f>
        <v>39.36156987993818</v>
      </c>
      <c r="CW69" s="22">
        <f t="shared" si="67"/>
        <v>335.81348420755882</v>
      </c>
      <c r="CX69" s="62">
        <f t="shared" si="68"/>
        <v>585.24880073234999</v>
      </c>
      <c r="CY69" s="62">
        <f ca="1">AVERAGE(OFFSET($CX$3,0,0,'Données projet'!$E$13+1,1))-AVERAGE(OFFSET($H$3,0,0,'Données projet'!$E$13+1,1))</f>
        <v>384.3367849108829</v>
      </c>
      <c r="CZ69" s="62">
        <f t="shared" ref="CZ69:CZ132" si="96">$CZ$3</f>
        <v>238.2697272367603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9.6897435897435908</v>
      </c>
      <c r="DO69" s="13">
        <f>IF('Données projet'!$A$166&gt;35,DO68+DN69-DW68,IF(A69&lt;'Données projet'!$A$166,$DL$205^A69,IF(A69='Données projet'!$A$166,'Données projet'!$B$166,DO68+DN69-DW68)))</f>
        <v>271.67692307692295</v>
      </c>
      <c r="DP69" s="18">
        <f>DO69*VLOOKUP('Données projet'!$B$14,Paramètres!$A$1:$I$89,3,0)*VLOOKUP('Données projet'!$B$14,Paramètres!$A$1:$I$89,5,0)</f>
        <v>127.14479999999995</v>
      </c>
      <c r="DQ69" s="14">
        <f t="shared" ref="DQ69:DQ132" si="97">EXP(-1.0587+0.8836*LN(DP69)+0.284)</f>
        <v>33.335756139335082</v>
      </c>
      <c r="DR69" s="22">
        <f t="shared" si="70"/>
        <v>279.50363527600848</v>
      </c>
      <c r="DS69" s="62">
        <f t="shared" si="71"/>
        <v>528.9389518007996</v>
      </c>
      <c r="DT69" s="62">
        <f ca="1">AVERAGE(OFFSET($DS$3,0,0,'Données projet'!$E$14+1,1))-AVERAGE(OFFSET($H$3,0,0,'Données projet'!$E$14+1,1))</f>
        <v>304.1100958939968</v>
      </c>
      <c r="DU69" s="62">
        <f t="shared" ref="DU69:DU132" si="98">$DU$3</f>
        <v>184.1255966824568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3.8461538461538454</v>
      </c>
      <c r="EJ69" s="13">
        <f>IF('Données projet'!$A$192&gt;35,EJ68+EI69-ER68,IF(A69&lt;'Données projet'!$A$192,$EG$205^A69,IF(A69='Données projet'!$A$192,'Données projet'!$B$192,EJ68+EI69-ER68)))</f>
        <v>178.84615384615375</v>
      </c>
      <c r="EK69" s="18">
        <f>EJ69*VLOOKUP('Données projet'!$B$15,Paramètres!$A$1:$I$89,3,0)*VLOOKUP('Données projet'!$B$15,Paramètres!$A$1:$I$89,5,0)</f>
        <v>181.34999999999991</v>
      </c>
      <c r="EL69" s="14">
        <f t="shared" ref="EL69:EL132" si="99">EXP(-1.0587+0.8836*LN(EK69)+0.284)</f>
        <v>45.622405555921837</v>
      </c>
      <c r="EM69" s="22">
        <f t="shared" si="73"/>
        <v>395.310273009897</v>
      </c>
      <c r="EN69" s="62">
        <f t="shared" si="74"/>
        <v>644.74558953468818</v>
      </c>
      <c r="EO69" s="62">
        <f ca="1">AVERAGE(OFFSET($EN$3,0,0,'Données projet'!$E$15+1,1))-AVERAGE(OFFSET($H$3,0,0,'Données projet'!$E$15+1,1))</f>
        <v>435.03433721979218</v>
      </c>
      <c r="EP69" s="62">
        <f t="shared" ref="EP69:EP132" si="100">$EP$3</f>
        <v>267.10015759286387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3.8461538461538454</v>
      </c>
      <c r="FE69" s="13">
        <f>IF('Données projet'!$A$218&gt;35,FE68+FD69-FM68,IF(A69&lt;'Données projet'!$A$218,$FB$205^A69,IF(A69='Données projet'!$A$218,'Données projet'!$B$218,FE68+FD69-FM68)))</f>
        <v>178.84615384615375</v>
      </c>
      <c r="FF69" s="18">
        <f>FE69*VLOOKUP('Données projet'!$B$16,Paramètres!$A$1:$I$89,3,0)*VLOOKUP('Données projet'!$B$16,Paramètres!$A$1:$I$89,5,0)</f>
        <v>186.92999999999992</v>
      </c>
      <c r="FG69" s="14">
        <f t="shared" ref="FG69:FG132" si="101">EXP(-1.0587+0.8836*LN(FF69)+0.284)</f>
        <v>46.860577294974036</v>
      </c>
      <c r="FH69" s="22">
        <f t="shared" si="76"/>
        <v>407.18525545541297</v>
      </c>
      <c r="FI69" s="62">
        <f t="shared" si="77"/>
        <v>656.62057198020409</v>
      </c>
      <c r="FJ69" s="62">
        <f ca="1">AVERAGE(OFFSET($FI$3,0,0,'Données projet'!$E$16+1,1))-AVERAGE(OFFSET($H$3,0,0,'Données projet'!$E$16+1,1))</f>
        <v>445.15313998584293</v>
      </c>
      <c r="FK69" s="62">
        <f t="shared" ref="FK69:FK132" si="102">$FK$3</f>
        <v>272.85357736694834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2.2000000000000002</v>
      </c>
      <c r="FZ69" s="13">
        <f>IF('Données projet'!$A$244&gt;35,FZ68+FY69-GH68,IF(A69&lt;'Données projet'!$A$244,$FW$205^A69,IF(A69='Données projet'!$A$244,'Données projet'!$B$244,FZ68+FY69-GH68)))</f>
        <v>148.19999999999987</v>
      </c>
      <c r="GA69" s="18">
        <f>FZ69*VLOOKUP('Données projet'!$B$17,Paramètres!$A$1:$I$89,3,0)*VLOOKUP('Données projet'!$B$17,Paramètres!$A$1:$I$89,5,0)</f>
        <v>129.46751999999989</v>
      </c>
      <c r="GB69" s="14">
        <f t="shared" ref="GB69:GB132" si="103">EXP(-1.0587+0.8836*LN(GA69)+0.284)</f>
        <v>33.873289462262882</v>
      </c>
      <c r="GC69" s="22">
        <f t="shared" si="79"/>
        <v>284.48524314677434</v>
      </c>
      <c r="GD69" s="62">
        <f t="shared" si="80"/>
        <v>533.92055967156546</v>
      </c>
      <c r="GE69" s="62">
        <f ca="1">AVERAGE(OFFSET($GD$3,0,0,'Données projet'!$E$17+1,1))-AVERAGE(OFFSET($H$3,0,0,'Données projet'!$E$17+1,1))</f>
        <v>248.82613595888964</v>
      </c>
      <c r="GF69" s="62">
        <f t="shared" ref="GF69:GF132" si="104">$GF$3</f>
        <v>255.8298580882084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135.66666666666666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5.3778846153846125</v>
      </c>
      <c r="N70" s="14">
        <f>IF('Données projet'!$A$36&gt;35,N69+M70-V69,IF(A70&lt;'Données projet'!$A$36,$K$205^A70,IF(A70='Données projet'!$A$36,'Données projet'!$B$36,N69+M70-V69)))</f>
        <v>189.77788461538469</v>
      </c>
      <c r="O70" s="14">
        <f>N70*VLOOKUP('Données projet'!$B$9,Paramètres!$A$1:$I$89,3,0)*VLOOKUP('Données projet'!$B$9,Paramètres!$A$1:$I$89,5,0)</f>
        <v>111.02006250000005</v>
      </c>
      <c r="P70" s="14">
        <f t="shared" si="87"/>
        <v>29.571189989165418</v>
      </c>
      <c r="Q70" s="22">
        <f t="shared" si="54"/>
        <v>244.86309808529651</v>
      </c>
      <c r="R70" s="62">
        <f t="shared" si="55"/>
        <v>495.05994706045288</v>
      </c>
      <c r="S70" s="62">
        <f ca="1">AVERAGE(OFFSET($R$3,0,0,'Données projet'!$E$9+1,1))-AVERAGE(OFFSET($H$3,0,0,'Données projet'!$E$9+1,1))</f>
        <v>221.18884567967481</v>
      </c>
      <c r="T70" s="62">
        <f t="shared" si="88"/>
        <v>189.31596996710888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1.6750000000000014</v>
      </c>
      <c r="AI70" s="14">
        <f>IF('Données projet'!$A$62&gt;35,AI69+AH70-AQ69,IF(A70&lt;'Données projet'!$A$62,$AF$205^A70,IF(A70='Données projet'!$A$62,'Données projet'!$B$62,AI69+AH70-AQ69)))</f>
        <v>87.837499999999949</v>
      </c>
      <c r="AJ70" s="14">
        <f>AI70*VLOOKUP('Données projet'!$B$10,Paramètres!$A$1:$I$89,3,0)*VLOOKUP('Données projet'!$B$10,Paramètres!$A$1:$I$89,5,0)</f>
        <v>101.18879999999993</v>
      </c>
      <c r="AK70" s="14">
        <f t="shared" si="89"/>
        <v>27.245017665270392</v>
      </c>
      <c r="AL70" s="22">
        <f t="shared" si="58"/>
        <v>223.68889910034579</v>
      </c>
      <c r="AM70" s="62">
        <f t="shared" si="59"/>
        <v>473.88574807550219</v>
      </c>
      <c r="AN70" s="62">
        <f ca="1">AVERAGE(OFFSET($AM$3,0,0,'Données projet'!$E$10+1,1))-AVERAGE(OFFSET($H$3,0,0,'Données projet'!$E$10+1,1))</f>
        <v>314.72063458462026</v>
      </c>
      <c r="AO70" s="62">
        <f t="shared" si="90"/>
        <v>216.4380325968244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3.8461538461538454</v>
      </c>
      <c r="BD70" s="13">
        <f>IF('Données projet'!$A$88&gt;35,BD69+BC70-BL69,IF(A70&lt;'Données projet'!$A$88,$BA$205^A70,IF(A70='Données projet'!$A$88,'Données projet'!$B$88,BD69+BC70-BL69)))</f>
        <v>182.69230769230759</v>
      </c>
      <c r="BE70" s="14">
        <f>BD70*VLOOKUP('Données projet'!$B$11,Paramètres!$A$1:$I$89,3,0)*VLOOKUP('Données projet'!$B$11,Paramètres!$A$1:$I$89,5,0)</f>
        <v>196.64999999999989</v>
      </c>
      <c r="BF70" s="14">
        <f t="shared" si="91"/>
        <v>49.007216893605495</v>
      </c>
      <c r="BG70" s="22">
        <f t="shared" si="61"/>
        <v>427.85298608969606</v>
      </c>
      <c r="BH70" s="62">
        <f t="shared" si="62"/>
        <v>678.04983506485246</v>
      </c>
      <c r="BI70" s="62">
        <f ca="1">AVERAGE(OFFSET($BH$3,0,0,'Données projet'!$E$11+1,1))-AVERAGE(OFFSET($H$3,0,0,'Données projet'!$E$11+1,1))</f>
        <v>455.26558725507834</v>
      </c>
      <c r="BJ70" s="62">
        <f t="shared" si="92"/>
        <v>278.60310966788552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2.5199999999999934</v>
      </c>
      <c r="BY70" s="13">
        <f>IF('Données projet'!$A$114&gt;35,BY69+BX70-CG69,IF(A70&lt;'Données projet'!$A$114,$BV$205^A70,IF(A70='Données projet'!$A$114,'Données projet'!$B$114,BY69+BX70-CG69)))</f>
        <v>259.33999999999992</v>
      </c>
      <c r="BZ70" s="14">
        <f>BY70*VLOOKUP('Données projet'!$B$12,Paramètres!$A$1:$I$89,3,0)*VLOOKUP('Données projet'!$B$12,Paramètres!$A$1:$I$89,5,0)</f>
        <v>134.85679999999996</v>
      </c>
      <c r="CA70" s="14">
        <f t="shared" si="93"/>
        <v>35.11621628690127</v>
      </c>
      <c r="CB70" s="22">
        <f t="shared" si="64"/>
        <v>296.03633669968633</v>
      </c>
      <c r="CC70" s="62">
        <f t="shared" si="65"/>
        <v>546.23318567484273</v>
      </c>
      <c r="CD70" s="62">
        <f ca="1">AVERAGE(OFFSET($CC$3,0,0,'Données projet'!$E$12+1,1))-AVERAGE(OFFSET($H$3,0,0,'Données projet'!$E$12+1,1))</f>
        <v>300.72820267660154</v>
      </c>
      <c r="CE70" s="62">
        <f t="shared" si="94"/>
        <v>228.35388778608589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3.8461538461538454</v>
      </c>
      <c r="CT70" s="13">
        <f>IF('Données projet'!$A$140&gt;35,CT69+CS70-DB69,IF(A70&lt;'Données projet'!$A$140,$CQ$205^A70,IF(A70='Données projet'!$A$140,'Données projet'!$B$140,CT69+CS70-DB69)))</f>
        <v>182.69230769230759</v>
      </c>
      <c r="CU70" s="18">
        <f>CT70*VLOOKUP('Données projet'!$B$13,Paramètres!$A$1:$I$89,3,0)*VLOOKUP('Données projet'!$B$13,Paramètres!$A$1:$I$89,5,0)</f>
        <v>156.74999999999994</v>
      </c>
      <c r="CV70" s="14">
        <f t="shared" si="95"/>
        <v>40.108595614480713</v>
      </c>
      <c r="CW70" s="22">
        <f t="shared" si="67"/>
        <v>342.86205402855381</v>
      </c>
      <c r="CX70" s="62">
        <f t="shared" si="68"/>
        <v>593.05890300371016</v>
      </c>
      <c r="CY70" s="62">
        <f ca="1">AVERAGE(OFFSET($CX$3,0,0,'Données projet'!$E$13+1,1))-AVERAGE(OFFSET($H$3,0,0,'Données projet'!$E$13+1,1))</f>
        <v>384.3367849108829</v>
      </c>
      <c r="CZ70" s="62">
        <f t="shared" si="96"/>
        <v>238.2697272367603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9.6897435897435908</v>
      </c>
      <c r="DO70" s="13">
        <f>IF('Données projet'!$A$166&gt;35,DO69+DN70-DW69,IF(A70&lt;'Données projet'!$A$166,$DL$205^A70,IF(A70='Données projet'!$A$166,'Données projet'!$B$166,DO69+DN70-DW69)))</f>
        <v>281.36666666666656</v>
      </c>
      <c r="DP70" s="18">
        <f>DO70*VLOOKUP('Données projet'!$B$14,Paramètres!$A$1:$I$89,3,0)*VLOOKUP('Données projet'!$B$14,Paramètres!$A$1:$I$89,5,0)</f>
        <v>131.67959999999997</v>
      </c>
      <c r="DQ70" s="14">
        <f t="shared" si="97"/>
        <v>34.38417513752983</v>
      </c>
      <c r="DR70" s="22">
        <f t="shared" si="70"/>
        <v>289.22774169786436</v>
      </c>
      <c r="DS70" s="62">
        <f t="shared" si="71"/>
        <v>539.4245906730207</v>
      </c>
      <c r="DT70" s="62">
        <f ca="1">AVERAGE(OFFSET($DS$3,0,0,'Données projet'!$E$14+1,1))-AVERAGE(OFFSET($H$3,0,0,'Données projet'!$E$14+1,1))</f>
        <v>304.1100958939968</v>
      </c>
      <c r="DU70" s="62">
        <f t="shared" si="98"/>
        <v>184.1255966824568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3.8461538461538454</v>
      </c>
      <c r="EJ70" s="13">
        <f>IF('Données projet'!$A$192&gt;35,EJ69+EI70-ER69,IF(A70&lt;'Données projet'!$A$192,$EG$205^A70,IF(A70='Données projet'!$A$192,'Données projet'!$B$192,EJ69+EI70-ER69)))</f>
        <v>182.69230769230759</v>
      </c>
      <c r="EK70" s="18">
        <f>EJ70*VLOOKUP('Données projet'!$B$15,Paramètres!$A$1:$I$89,3,0)*VLOOKUP('Données projet'!$B$15,Paramètres!$A$1:$I$89,5,0)</f>
        <v>185.24999999999991</v>
      </c>
      <c r="EL70" s="14">
        <f t="shared" si="99"/>
        <v>46.488252907182513</v>
      </c>
      <c r="EM70" s="22">
        <f t="shared" si="73"/>
        <v>403.61079048000937</v>
      </c>
      <c r="EN70" s="62">
        <f t="shared" si="74"/>
        <v>653.80763945516571</v>
      </c>
      <c r="EO70" s="62">
        <f ca="1">AVERAGE(OFFSET($EN$3,0,0,'Données projet'!$E$15+1,1))-AVERAGE(OFFSET($H$3,0,0,'Données projet'!$E$15+1,1))</f>
        <v>435.03433721979218</v>
      </c>
      <c r="EP70" s="62">
        <f t="shared" si="100"/>
        <v>267.10015759286387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3.8461538461538454</v>
      </c>
      <c r="FE70" s="13">
        <f>IF('Données projet'!$A$218&gt;35,FE69+FD70-FM69,IF(A70&lt;'Données projet'!$A$218,$FB$205^A70,IF(A70='Données projet'!$A$218,'Données projet'!$B$218,FE69+FD70-FM69)))</f>
        <v>182.69230769230759</v>
      </c>
      <c r="FF70" s="18">
        <f>FE70*VLOOKUP('Données projet'!$B$16,Paramètres!$A$1:$I$89,3,0)*VLOOKUP('Données projet'!$B$16,Paramètres!$A$1:$I$89,5,0)</f>
        <v>190.9499999999999</v>
      </c>
      <c r="FG70" s="14">
        <f t="shared" si="101"/>
        <v>47.749923357177302</v>
      </c>
      <c r="FH70" s="22">
        <f t="shared" si="76"/>
        <v>415.73569984708359</v>
      </c>
      <c r="FI70" s="62">
        <f t="shared" si="77"/>
        <v>665.93254882223994</v>
      </c>
      <c r="FJ70" s="62">
        <f ca="1">AVERAGE(OFFSET($FI$3,0,0,'Données projet'!$E$16+1,1))-AVERAGE(OFFSET($H$3,0,0,'Données projet'!$E$16+1,1))</f>
        <v>445.15313998584293</v>
      </c>
      <c r="FK70" s="62">
        <f t="shared" si="102"/>
        <v>272.85357736694834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2.2000000000000002</v>
      </c>
      <c r="FZ70" s="13">
        <f>IF('Données projet'!$A$244&gt;35,FZ69+FY70-GH69,IF(A70&lt;'Données projet'!$A$244,$FW$205^A70,IF(A70='Données projet'!$A$244,'Données projet'!$B$244,FZ69+FY70-GH69)))</f>
        <v>150.39999999999986</v>
      </c>
      <c r="GA70" s="18">
        <f>FZ70*VLOOKUP('Données projet'!$B$17,Paramètres!$A$1:$I$89,3,0)*VLOOKUP('Données projet'!$B$17,Paramètres!$A$1:$I$89,5,0)</f>
        <v>131.38943999999989</v>
      </c>
      <c r="GB70" s="14">
        <f t="shared" si="103"/>
        <v>34.317219199328726</v>
      </c>
      <c r="GC70" s="22">
        <f t="shared" si="79"/>
        <v>288.60576477216398</v>
      </c>
      <c r="GD70" s="62">
        <f t="shared" si="80"/>
        <v>538.80261374732038</v>
      </c>
      <c r="GE70" s="62">
        <f ca="1">AVERAGE(OFFSET($GD$3,0,0,'Données projet'!$E$17+1,1))-AVERAGE(OFFSET($H$3,0,0,'Données projet'!$E$17+1,1))</f>
        <v>248.82613595888964</v>
      </c>
      <c r="GF70" s="62">
        <f t="shared" si="104"/>
        <v>255.8298580882084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135.66666666666666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5.3778846153846125</v>
      </c>
      <c r="N71" s="14">
        <f>IF('Données projet'!$A$36&gt;35,N70+M71-V70,IF(A71&lt;'Données projet'!$A$36,$K$205^A71,IF(A71='Données projet'!$A$36,'Données projet'!$B$36,N70+M71-V70)))</f>
        <v>195.15576923076929</v>
      </c>
      <c r="O71" s="14">
        <f>N71*VLOOKUP('Données projet'!$B$9,Paramètres!$A$1:$I$89,3,0)*VLOOKUP('Données projet'!$B$9,Paramètres!$A$1:$I$89,5,0)</f>
        <v>114.16612500000004</v>
      </c>
      <c r="P71" s="14">
        <f t="shared" si="87"/>
        <v>30.310422376920027</v>
      </c>
      <c r="Q71" s="22">
        <f t="shared" si="54"/>
        <v>251.62998668146909</v>
      </c>
      <c r="R71" s="62">
        <f t="shared" si="55"/>
        <v>502.57515722150828</v>
      </c>
      <c r="S71" s="62">
        <f ca="1">AVERAGE(OFFSET($R$3,0,0,'Données projet'!$E$9+1,1))-AVERAGE(OFFSET($H$3,0,0,'Données projet'!$E$9+1,1))</f>
        <v>221.18884567967481</v>
      </c>
      <c r="T71" s="62">
        <f t="shared" si="88"/>
        <v>189.31596996710888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1.6750000000000014</v>
      </c>
      <c r="AI71" s="14">
        <f>IF('Données projet'!$A$62&gt;35,AI70+AH71-AQ70,IF(A71&lt;'Données projet'!$A$62,$AF$205^A71,IF(A71='Données projet'!$A$62,'Données projet'!$B$62,AI70+AH71-AQ70)))</f>
        <v>89.512499999999946</v>
      </c>
      <c r="AJ71" s="14">
        <f>AI71*VLOOKUP('Données projet'!$B$10,Paramètres!$A$1:$I$89,3,0)*VLOOKUP('Données projet'!$B$10,Paramètres!$A$1:$I$89,5,0)</f>
        <v>103.11839999999994</v>
      </c>
      <c r="AK71" s="14">
        <f t="shared" si="89"/>
        <v>27.703580415769611</v>
      </c>
      <c r="AL71" s="22">
        <f t="shared" si="58"/>
        <v>227.8482825574653</v>
      </c>
      <c r="AM71" s="62">
        <f t="shared" si="59"/>
        <v>478.79345309750448</v>
      </c>
      <c r="AN71" s="62">
        <f ca="1">AVERAGE(OFFSET($AM$3,0,0,'Données projet'!$E$10+1,1))-AVERAGE(OFFSET($H$3,0,0,'Données projet'!$E$10+1,1))</f>
        <v>314.72063458462026</v>
      </c>
      <c r="AO71" s="62">
        <f t="shared" si="90"/>
        <v>216.4380325968244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3.8461538461538454</v>
      </c>
      <c r="BD71" s="13">
        <f>IF('Données projet'!$A$88&gt;35,BD70+BC71-BL70,IF(A71&lt;'Données projet'!$A$88,$BA$205^A71,IF(A71='Données projet'!$A$88,'Données projet'!$B$88,BD70+BC71-BL70)))</f>
        <v>186.53846153846143</v>
      </c>
      <c r="BE71" s="14">
        <f>BD71*VLOOKUP('Données projet'!$B$11,Paramètres!$A$1:$I$89,3,0)*VLOOKUP('Données projet'!$B$11,Paramètres!$A$1:$I$89,5,0)</f>
        <v>200.78999999999985</v>
      </c>
      <c r="BF71" s="14">
        <f t="shared" si="91"/>
        <v>49.917745959946103</v>
      </c>
      <c r="BG71" s="22">
        <f t="shared" si="61"/>
        <v>436.64932421357253</v>
      </c>
      <c r="BH71" s="62">
        <f t="shared" si="62"/>
        <v>687.59449475361168</v>
      </c>
      <c r="BI71" s="62">
        <f ca="1">AVERAGE(OFFSET($BH$3,0,0,'Données projet'!$E$11+1,1))-AVERAGE(OFFSET($H$3,0,0,'Données projet'!$E$11+1,1))</f>
        <v>455.26558725507834</v>
      </c>
      <c r="BJ71" s="62">
        <f t="shared" si="92"/>
        <v>278.60310966788552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2.5199999999999934</v>
      </c>
      <c r="BY71" s="13">
        <f>IF('Données projet'!$A$114&gt;35,BY70+BX71-CG70,IF(A71&lt;'Données projet'!$A$114,$BV$205^A71,IF(A71='Données projet'!$A$114,'Données projet'!$B$114,BY70+BX71-CG70)))</f>
        <v>261.8599999999999</v>
      </c>
      <c r="BZ71" s="14">
        <f>BY71*VLOOKUP('Données projet'!$B$12,Paramètres!$A$1:$I$89,3,0)*VLOOKUP('Données projet'!$B$12,Paramètres!$A$1:$I$89,5,0)</f>
        <v>136.16719999999998</v>
      </c>
      <c r="CA71" s="14">
        <f t="shared" si="93"/>
        <v>35.417551347869569</v>
      </c>
      <c r="CB71" s="22">
        <f t="shared" si="64"/>
        <v>298.84344193087276</v>
      </c>
      <c r="CC71" s="62">
        <f t="shared" si="65"/>
        <v>549.78861247091197</v>
      </c>
      <c r="CD71" s="62">
        <f ca="1">AVERAGE(OFFSET($CC$3,0,0,'Données projet'!$E$12+1,1))-AVERAGE(OFFSET($H$3,0,0,'Données projet'!$E$12+1,1))</f>
        <v>300.72820267660154</v>
      </c>
      <c r="CE71" s="62">
        <f t="shared" si="94"/>
        <v>228.35388778608589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3.8461538461538454</v>
      </c>
      <c r="CT71" s="13">
        <f>IF('Données projet'!$A$140&gt;35,CT70+CS71-DB70,IF(A71&lt;'Données projet'!$A$140,$CQ$205^A71,IF(A71='Données projet'!$A$140,'Données projet'!$B$140,CT70+CS71-DB70)))</f>
        <v>186.53846153846143</v>
      </c>
      <c r="CU71" s="18">
        <f>CT71*VLOOKUP('Données projet'!$B$13,Paramètres!$A$1:$I$89,3,0)*VLOOKUP('Données projet'!$B$13,Paramètres!$A$1:$I$89,5,0)</f>
        <v>160.04999999999993</v>
      </c>
      <c r="CV71" s="14">
        <f t="shared" si="95"/>
        <v>40.853792841174261</v>
      </c>
      <c r="CW71" s="22">
        <f t="shared" si="67"/>
        <v>349.90743919837837</v>
      </c>
      <c r="CX71" s="62">
        <f t="shared" si="68"/>
        <v>600.85260973841753</v>
      </c>
      <c r="CY71" s="62">
        <f ca="1">AVERAGE(OFFSET($CX$3,0,0,'Données projet'!$E$13+1,1))-AVERAGE(OFFSET($H$3,0,0,'Données projet'!$E$13+1,1))</f>
        <v>384.3367849108829</v>
      </c>
      <c r="CZ71" s="62">
        <f t="shared" si="96"/>
        <v>238.2697272367603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9.6897435897435908</v>
      </c>
      <c r="DO71" s="13">
        <f>IF('Données projet'!$A$166&gt;35,DO70+DN71-DW70,IF(A71&lt;'Données projet'!$A$166,$DL$205^A71,IF(A71='Données projet'!$A$166,'Données projet'!$B$166,DO70+DN71-DW70)))</f>
        <v>291.05641025641017</v>
      </c>
      <c r="DP71" s="18">
        <f>DO71*VLOOKUP('Données projet'!$B$14,Paramètres!$A$1:$I$89,3,0)*VLOOKUP('Données projet'!$B$14,Paramètres!$A$1:$I$89,5,0)</f>
        <v>136.21439999999996</v>
      </c>
      <c r="DQ71" s="14">
        <f t="shared" si="97"/>
        <v>35.428398980540805</v>
      </c>
      <c r="DR71" s="22">
        <f t="shared" si="70"/>
        <v>298.94454155777515</v>
      </c>
      <c r="DS71" s="62">
        <f t="shared" si="71"/>
        <v>549.88971209781437</v>
      </c>
      <c r="DT71" s="62">
        <f ca="1">AVERAGE(OFFSET($DS$3,0,0,'Données projet'!$E$14+1,1))-AVERAGE(OFFSET($H$3,0,0,'Données projet'!$E$14+1,1))</f>
        <v>304.1100958939968</v>
      </c>
      <c r="DU71" s="62">
        <f t="shared" si="98"/>
        <v>184.1255966824568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3.8461538461538454</v>
      </c>
      <c r="EJ71" s="13">
        <f>IF('Données projet'!$A$192&gt;35,EJ70+EI71-ER70,IF(A71&lt;'Données projet'!$A$192,$EG$205^A71,IF(A71='Données projet'!$A$192,'Données projet'!$B$192,EJ70+EI71-ER70)))</f>
        <v>186.53846153846143</v>
      </c>
      <c r="EK71" s="18">
        <f>EJ71*VLOOKUP('Données projet'!$B$15,Paramètres!$A$1:$I$89,3,0)*VLOOKUP('Données projet'!$B$15,Paramètres!$A$1:$I$89,5,0)</f>
        <v>189.14999999999989</v>
      </c>
      <c r="EL71" s="14">
        <f t="shared" si="99"/>
        <v>47.351980908861918</v>
      </c>
      <c r="EM71" s="22">
        <f t="shared" si="73"/>
        <v>411.90761674960095</v>
      </c>
      <c r="EN71" s="62">
        <f t="shared" si="74"/>
        <v>662.8527872896401</v>
      </c>
      <c r="EO71" s="62">
        <f ca="1">AVERAGE(OFFSET($EN$3,0,0,'Données projet'!$E$15+1,1))-AVERAGE(OFFSET($H$3,0,0,'Données projet'!$E$15+1,1))</f>
        <v>435.03433721979218</v>
      </c>
      <c r="EP71" s="62">
        <f t="shared" si="100"/>
        <v>267.10015759286387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3.8461538461538454</v>
      </c>
      <c r="FE71" s="13">
        <f>IF('Données projet'!$A$218&gt;35,FE70+FD71-FM70,IF(A71&lt;'Données projet'!$A$218,$FB$205^A71,IF(A71='Données projet'!$A$218,'Données projet'!$B$218,FE70+FD71-FM70)))</f>
        <v>186.53846153846143</v>
      </c>
      <c r="FF71" s="18">
        <f>FE71*VLOOKUP('Données projet'!$B$16,Paramètres!$A$1:$I$89,3,0)*VLOOKUP('Données projet'!$B$16,Paramètres!$A$1:$I$89,5,0)</f>
        <v>194.96999999999991</v>
      </c>
      <c r="FG71" s="14">
        <f t="shared" si="101"/>
        <v>48.637092551596893</v>
      </c>
      <c r="FH71" s="22">
        <f t="shared" si="76"/>
        <v>424.28235286069776</v>
      </c>
      <c r="FI71" s="62">
        <f t="shared" si="77"/>
        <v>675.22752340073691</v>
      </c>
      <c r="FJ71" s="62">
        <f ca="1">AVERAGE(OFFSET($FI$3,0,0,'Données projet'!$E$16+1,1))-AVERAGE(OFFSET($H$3,0,0,'Données projet'!$E$16+1,1))</f>
        <v>445.15313998584293</v>
      </c>
      <c r="FK71" s="62">
        <f t="shared" si="102"/>
        <v>272.85357736694834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2.2000000000000002</v>
      </c>
      <c r="FZ71" s="13">
        <f>IF('Données projet'!$A$244&gt;35,FZ70+FY71-GH70,IF(A71&lt;'Données projet'!$A$244,$FW$205^A71,IF(A71='Données projet'!$A$244,'Données projet'!$B$244,FZ70+FY71-GH70)))</f>
        <v>152.59999999999985</v>
      </c>
      <c r="GA71" s="18">
        <f>FZ71*VLOOKUP('Données projet'!$B$17,Paramètres!$A$1:$I$89,3,0)*VLOOKUP('Données projet'!$B$17,Paramètres!$A$1:$I$89,5,0)</f>
        <v>133.31135999999989</v>
      </c>
      <c r="GB71" s="14">
        <f t="shared" si="103"/>
        <v>34.760393689821598</v>
      </c>
      <c r="GC71" s="22">
        <f t="shared" si="79"/>
        <v>292.72497100977245</v>
      </c>
      <c r="GD71" s="62">
        <f t="shared" si="80"/>
        <v>543.67014154981166</v>
      </c>
      <c r="GE71" s="62">
        <f ca="1">AVERAGE(OFFSET($GD$3,0,0,'Données projet'!$E$17+1,1))-AVERAGE(OFFSET($H$3,0,0,'Données projet'!$E$17+1,1))</f>
        <v>248.82613595888964</v>
      </c>
      <c r="GF71" s="62">
        <f t="shared" si="104"/>
        <v>255.8298580882084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135.66666666666666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5.3778846153846125</v>
      </c>
      <c r="N72" s="14">
        <f>IF('Données projet'!$A$36&gt;35,N71+M72-V71,IF(A72&lt;'Données projet'!$A$36,$K$205^A72,IF(A72='Données projet'!$A$36,'Données projet'!$B$36,N71+M72-V71)))</f>
        <v>200.5336538461539</v>
      </c>
      <c r="O72" s="14">
        <f>N72*VLOOKUP('Données projet'!$B$9,Paramètres!$A$1:$I$89,3,0)*VLOOKUP('Données projet'!$B$9,Paramètres!$A$1:$I$89,5,0)</f>
        <v>117.31218750000004</v>
      </c>
      <c r="P72" s="14">
        <f t="shared" si="87"/>
        <v>31.047287069448931</v>
      </c>
      <c r="Q72" s="22">
        <f t="shared" si="54"/>
        <v>258.39275154179029</v>
      </c>
      <c r="R72" s="62">
        <f t="shared" si="55"/>
        <v>510.07326194055815</v>
      </c>
      <c r="S72" s="62">
        <f ca="1">AVERAGE(OFFSET($R$3,0,0,'Données projet'!$E$9+1,1))-AVERAGE(OFFSET($H$3,0,0,'Données projet'!$E$9+1,1))</f>
        <v>221.18884567967481</v>
      </c>
      <c r="T72" s="62">
        <f t="shared" si="88"/>
        <v>189.31596996710888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1.6750000000000014</v>
      </c>
      <c r="AI72" s="14">
        <f>IF('Données projet'!$A$62&gt;35,AI71+AH72-AQ71,IF(A72&lt;'Données projet'!$A$62,$AF$205^A72,IF(A72='Données projet'!$A$62,'Données projet'!$B$62,AI71+AH72-AQ71)))</f>
        <v>91.187499999999943</v>
      </c>
      <c r="AJ72" s="14">
        <f>AI72*VLOOKUP('Données projet'!$B$10,Paramètres!$A$1:$I$89,3,0)*VLOOKUP('Données projet'!$B$10,Paramètres!$A$1:$I$89,5,0)</f>
        <v>105.04799999999992</v>
      </c>
      <c r="AK72" s="14">
        <f t="shared" si="89"/>
        <v>28.161145381699356</v>
      </c>
      <c r="AL72" s="22">
        <f t="shared" si="58"/>
        <v>232.00592820645954</v>
      </c>
      <c r="AM72" s="62">
        <f t="shared" si="59"/>
        <v>483.68643860522741</v>
      </c>
      <c r="AN72" s="62">
        <f ca="1">AVERAGE(OFFSET($AM$3,0,0,'Données projet'!$E$10+1,1))-AVERAGE(OFFSET($H$3,0,0,'Données projet'!$E$10+1,1))</f>
        <v>314.72063458462026</v>
      </c>
      <c r="AO72" s="62">
        <f t="shared" si="90"/>
        <v>216.4380325968244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3.8461538461538454</v>
      </c>
      <c r="BD72" s="13">
        <f>IF('Données projet'!$A$88&gt;35,BD71+BC72-BL71,IF(A72&lt;'Données projet'!$A$88,$BA$205^A72,IF(A72='Données projet'!$A$88,'Données projet'!$B$88,BD71+BC72-BL71)))</f>
        <v>190.38461538461527</v>
      </c>
      <c r="BE72" s="14">
        <f>BD72*VLOOKUP('Données projet'!$B$11,Paramètres!$A$1:$I$89,3,0)*VLOOKUP('Données projet'!$B$11,Paramètres!$A$1:$I$89,5,0)</f>
        <v>204.92999999999986</v>
      </c>
      <c r="BF72" s="14">
        <f t="shared" si="91"/>
        <v>50.826092213271387</v>
      </c>
      <c r="BG72" s="22">
        <f t="shared" si="61"/>
        <v>445.44186060478069</v>
      </c>
      <c r="BH72" s="62">
        <f t="shared" si="62"/>
        <v>697.12237100354855</v>
      </c>
      <c r="BI72" s="62">
        <f ca="1">AVERAGE(OFFSET($BH$3,0,0,'Données projet'!$E$11+1,1))-AVERAGE(OFFSET($H$3,0,0,'Données projet'!$E$11+1,1))</f>
        <v>455.26558725507834</v>
      </c>
      <c r="BJ72" s="62">
        <f t="shared" si="92"/>
        <v>278.60310966788552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2.5199999999999934</v>
      </c>
      <c r="BY72" s="13">
        <f>IF('Données projet'!$A$114&gt;35,BY71+BX72-CG71,IF(A72&lt;'Données projet'!$A$114,$BV$205^A72,IF(A72='Données projet'!$A$114,'Données projet'!$B$114,BY71+BX72-CG71)))</f>
        <v>264.37999999999988</v>
      </c>
      <c r="BZ72" s="14">
        <f>BY72*VLOOKUP('Données projet'!$B$12,Paramètres!$A$1:$I$89,3,0)*VLOOKUP('Données projet'!$B$12,Paramètres!$A$1:$I$89,5,0)</f>
        <v>137.47759999999994</v>
      </c>
      <c r="CA72" s="14">
        <f t="shared" si="93"/>
        <v>35.71854904549317</v>
      </c>
      <c r="CB72" s="22">
        <f t="shared" si="64"/>
        <v>301.64995958756714</v>
      </c>
      <c r="CC72" s="62">
        <f t="shared" si="65"/>
        <v>553.33046998633495</v>
      </c>
      <c r="CD72" s="62">
        <f ca="1">AVERAGE(OFFSET($CC$3,0,0,'Données projet'!$E$12+1,1))-AVERAGE(OFFSET($H$3,0,0,'Données projet'!$E$12+1,1))</f>
        <v>300.72820267660154</v>
      </c>
      <c r="CE72" s="62">
        <f t="shared" si="94"/>
        <v>228.35388778608589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3.8461538461538454</v>
      </c>
      <c r="CT72" s="13">
        <f>IF('Données projet'!$A$140&gt;35,CT71+CS72-DB71,IF(A72&lt;'Données projet'!$A$140,$CQ$205^A72,IF(A72='Données projet'!$A$140,'Données projet'!$B$140,CT71+CS72-DB71)))</f>
        <v>190.38461538461527</v>
      </c>
      <c r="CU72" s="18">
        <f>CT72*VLOOKUP('Données projet'!$B$13,Paramètres!$A$1:$I$89,3,0)*VLOOKUP('Données projet'!$B$13,Paramètres!$A$1:$I$89,5,0)</f>
        <v>163.34999999999994</v>
      </c>
      <c r="CV72" s="14">
        <f t="shared" si="95"/>
        <v>41.59720360517764</v>
      </c>
      <c r="CW72" s="22">
        <f t="shared" si="67"/>
        <v>356.94971294568427</v>
      </c>
      <c r="CX72" s="62">
        <f t="shared" si="68"/>
        <v>608.63022334445213</v>
      </c>
      <c r="CY72" s="62">
        <f ca="1">AVERAGE(OFFSET($CX$3,0,0,'Données projet'!$E$13+1,1))-AVERAGE(OFFSET($H$3,0,0,'Données projet'!$E$13+1,1))</f>
        <v>384.3367849108829</v>
      </c>
      <c r="CZ72" s="62">
        <f t="shared" si="96"/>
        <v>238.2697272367603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>
        <f>VLOOKUP(A72,'Données projet'!$A$165:$I$185,2,0)</f>
        <v>300.74615384615385</v>
      </c>
      <c r="DM72" s="13">
        <f>VLOOKUP(A72,'Données projet'!$A$165:$I$185,9,0)</f>
        <v>9.6897435897435908</v>
      </c>
      <c r="DN72" s="13">
        <f t="array" ref="DN72">INDEX(DM:DM,MIN(IF(ISNUMBER(DM72:DM268),ROW(DM72:DM268),"")))</f>
        <v>9.6897435897435908</v>
      </c>
      <c r="DO72" s="13">
        <f>IF('Données projet'!$A$166&gt;35,DO71+DN72-DW71,IF(A72&lt;'Données projet'!$A$166,$DL$205^A72,IF(A72='Données projet'!$A$166,'Données projet'!$B$166,DO71+DN72-DW71)))</f>
        <v>300.74615384615379</v>
      </c>
      <c r="DP72" s="18">
        <f>DO72*VLOOKUP('Données projet'!$B$14,Paramètres!$A$1:$I$89,3,0)*VLOOKUP('Données projet'!$B$14,Paramètres!$A$1:$I$89,5,0)</f>
        <v>140.74919999999997</v>
      </c>
      <c r="DQ72" s="14">
        <f t="shared" si="97"/>
        <v>36.468583345471806</v>
      </c>
      <c r="DR72" s="22">
        <f t="shared" si="70"/>
        <v>308.65430599336338</v>
      </c>
      <c r="DS72" s="62">
        <f t="shared" si="71"/>
        <v>560.33481639213119</v>
      </c>
      <c r="DT72" s="62">
        <f ca="1">AVERAGE(OFFSET($DS$3,0,0,'Données projet'!$E$14+1,1))-AVERAGE(OFFSET($H$3,0,0,'Données projet'!$E$14+1,1))</f>
        <v>304.1100958939968</v>
      </c>
      <c r="DU72" s="62">
        <f t="shared" si="98"/>
        <v>184.1255966824568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3.8461538461538454</v>
      </c>
      <c r="EJ72" s="13">
        <f>IF('Données projet'!$A$192&gt;35,EJ71+EI72-ER71,IF(A72&lt;'Données projet'!$A$192,$EG$205^A72,IF(A72='Données projet'!$A$192,'Données projet'!$B$192,EJ71+EI72-ER71)))</f>
        <v>190.38461538461527</v>
      </c>
      <c r="EK72" s="18">
        <f>EJ72*VLOOKUP('Données projet'!$B$15,Paramètres!$A$1:$I$89,3,0)*VLOOKUP('Données projet'!$B$15,Paramètres!$A$1:$I$89,5,0)</f>
        <v>193.0499999999999</v>
      </c>
      <c r="EL72" s="14">
        <f t="shared" si="99"/>
        <v>48.213638293804898</v>
      </c>
      <c r="EM72" s="22">
        <f t="shared" si="73"/>
        <v>420.20083669504334</v>
      </c>
      <c r="EN72" s="62">
        <f t="shared" si="74"/>
        <v>671.8813470938112</v>
      </c>
      <c r="EO72" s="62">
        <f ca="1">AVERAGE(OFFSET($EN$3,0,0,'Données projet'!$E$15+1,1))-AVERAGE(OFFSET($H$3,0,0,'Données projet'!$E$15+1,1))</f>
        <v>435.03433721979218</v>
      </c>
      <c r="EP72" s="62">
        <f t="shared" si="100"/>
        <v>267.10015759286387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3.8461538461538454</v>
      </c>
      <c r="FE72" s="13">
        <f>IF('Données projet'!$A$218&gt;35,FE71+FD72-FM71,IF(A72&lt;'Données projet'!$A$218,$FB$205^A72,IF(A72='Données projet'!$A$218,'Données projet'!$B$218,FE71+FD72-FM71)))</f>
        <v>190.38461538461527</v>
      </c>
      <c r="FF72" s="18">
        <f>FE72*VLOOKUP('Données projet'!$B$16,Paramètres!$A$1:$I$89,3,0)*VLOOKUP('Données projet'!$B$16,Paramètres!$A$1:$I$89,5,0)</f>
        <v>198.9899999999999</v>
      </c>
      <c r="FG72" s="14">
        <f t="shared" si="101"/>
        <v>49.522134933665335</v>
      </c>
      <c r="FH72" s="22">
        <f t="shared" si="76"/>
        <v>432.82530167613362</v>
      </c>
      <c r="FI72" s="62">
        <f t="shared" si="77"/>
        <v>684.50581207490143</v>
      </c>
      <c r="FJ72" s="62">
        <f ca="1">AVERAGE(OFFSET($FI$3,0,0,'Données projet'!$E$16+1,1))-AVERAGE(OFFSET($H$3,0,0,'Données projet'!$E$16+1,1))</f>
        <v>445.15313998584293</v>
      </c>
      <c r="FK72" s="62">
        <f t="shared" si="102"/>
        <v>272.85357736694834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2.2000000000000002</v>
      </c>
      <c r="FZ72" s="13">
        <f>IF('Données projet'!$A$244&gt;35,FZ71+FY72-GH71,IF(A72&lt;'Données projet'!$A$244,$FW$205^A72,IF(A72='Données projet'!$A$244,'Données projet'!$B$244,FZ71+FY72-GH71)))</f>
        <v>154.79999999999984</v>
      </c>
      <c r="GA72" s="18">
        <f>FZ72*VLOOKUP('Données projet'!$B$17,Paramètres!$A$1:$I$89,3,0)*VLOOKUP('Données projet'!$B$17,Paramètres!$A$1:$I$89,5,0)</f>
        <v>135.23327999999987</v>
      </c>
      <c r="GB72" s="14">
        <f t="shared" si="103"/>
        <v>35.202825080004409</v>
      </c>
      <c r="GC72" s="22">
        <f t="shared" si="79"/>
        <v>296.84288301434077</v>
      </c>
      <c r="GD72" s="62">
        <f t="shared" si="80"/>
        <v>548.52339341310858</v>
      </c>
      <c r="GE72" s="62">
        <f ca="1">AVERAGE(OFFSET($GD$3,0,0,'Données projet'!$E$17+1,1))-AVERAGE(OFFSET($H$3,0,0,'Données projet'!$E$17+1,1))</f>
        <v>248.82613595888964</v>
      </c>
      <c r="GF72" s="62">
        <f t="shared" si="104"/>
        <v>255.8298580882084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135.66666666666666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5.3778846153846125</v>
      </c>
      <c r="N73" s="14">
        <f>IF('Données projet'!$A$36&gt;35,N72+M73-V72,IF(A73&lt;'Données projet'!$A$36,$K$205^A73,IF(A73='Données projet'!$A$36,'Données projet'!$B$36,N72+M73-V72)))</f>
        <v>205.9115384615385</v>
      </c>
      <c r="O73" s="14">
        <f>N73*VLOOKUP('Données projet'!$B$9,Paramètres!$A$1:$I$89,3,0)*VLOOKUP('Données projet'!$B$9,Paramètres!$A$1:$I$89,5,0)</f>
        <v>120.45825000000004</v>
      </c>
      <c r="P73" s="14">
        <f t="shared" si="87"/>
        <v>31.781854860937063</v>
      </c>
      <c r="Q73" s="22">
        <f t="shared" si="54"/>
        <v>265.15151596613208</v>
      </c>
      <c r="R73" s="62">
        <f t="shared" si="55"/>
        <v>517.55460972105311</v>
      </c>
      <c r="S73" s="62">
        <f ca="1">AVERAGE(OFFSET($R$3,0,0,'Données projet'!$E$9+1,1))-AVERAGE(OFFSET($H$3,0,0,'Données projet'!$E$9+1,1))</f>
        <v>221.18884567967481</v>
      </c>
      <c r="T73" s="62">
        <f t="shared" si="88"/>
        <v>189.31596996710888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92.862500000000011</v>
      </c>
      <c r="AG73" s="13">
        <f>VLOOKUP(A73,'Données projet'!$A$61:$I$81,9,0)</f>
        <v>1.6750000000000014</v>
      </c>
      <c r="AH73" s="13">
        <f t="array" ref="AH73">INDEX(AG:AG,MIN(IF(ISNUMBER(AG73:AG269),ROW(AG73:AG269),"")))</f>
        <v>1.6750000000000014</v>
      </c>
      <c r="AI73" s="14">
        <f>IF('Données projet'!$A$62&gt;35,AI72+AH73-AQ72,IF(A73&lt;'Données projet'!$A$62,$AF$205^A73,IF(A73='Données projet'!$A$62,'Données projet'!$B$62,AI72+AH73-AQ72)))</f>
        <v>92.86249999999994</v>
      </c>
      <c r="AJ73" s="14">
        <f>AI73*VLOOKUP('Données projet'!$B$10,Paramètres!$A$1:$I$89,3,0)*VLOOKUP('Données projet'!$B$10,Paramètres!$A$1:$I$89,5,0)</f>
        <v>106.97759999999992</v>
      </c>
      <c r="AK73" s="14">
        <f t="shared" si="89"/>
        <v>28.617733004955216</v>
      </c>
      <c r="AL73" s="22">
        <f t="shared" si="58"/>
        <v>236.16187165029689</v>
      </c>
      <c r="AM73" s="62">
        <f t="shared" si="59"/>
        <v>488.56496540521795</v>
      </c>
      <c r="AN73" s="62">
        <f ca="1">AVERAGE(OFFSET($AM$3,0,0,'Données projet'!$E$10+1,1))-AVERAGE(OFFSET($H$3,0,0,'Données projet'!$E$10+1,1))</f>
        <v>314.72063458462026</v>
      </c>
      <c r="AO73" s="62">
        <f t="shared" si="90"/>
        <v>216.4380325968244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8.5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194.23076923076923</v>
      </c>
      <c r="BB73" s="13">
        <f>VLOOKUP(A73,'Données projet'!$A$87:$I$107,9,0)</f>
        <v>3.8461538461538454</v>
      </c>
      <c r="BC73" s="13">
        <f t="array" ref="BC73">INDEX(BB:BB,MIN(IF(ISNUMBER(BB73:BB269),ROW(BB73:BB269),"")))</f>
        <v>3.8461538461538454</v>
      </c>
      <c r="BD73" s="13">
        <f>IF('Données projet'!$A$88&gt;35,BD72+BC73-BL72,IF(A73&lt;'Données projet'!$A$88,$BA$205^A73,IF(A73='Données projet'!$A$88,'Données projet'!$B$88,BD72+BC73-BL72)))</f>
        <v>194.23076923076911</v>
      </c>
      <c r="BE73" s="14">
        <f>BD73*VLOOKUP('Données projet'!$B$11,Paramètres!$A$1:$I$89,3,0)*VLOOKUP('Données projet'!$B$11,Paramètres!$A$1:$I$89,5,0)</f>
        <v>209.06999999999988</v>
      </c>
      <c r="BF73" s="14">
        <f t="shared" si="91"/>
        <v>51.732304832646591</v>
      </c>
      <c r="BG73" s="22">
        <f t="shared" si="61"/>
        <v>454.23068091685923</v>
      </c>
      <c r="BH73" s="62">
        <f t="shared" si="62"/>
        <v>706.63377467178032</v>
      </c>
      <c r="BI73" s="62">
        <f ca="1">AVERAGE(OFFSET($BH$3,0,0,'Données projet'!$E$11+1,1))-AVERAGE(OFFSET($H$3,0,0,'Données projet'!$E$11+1,1))</f>
        <v>455.26558725507834</v>
      </c>
      <c r="BJ73" s="62">
        <f t="shared" si="92"/>
        <v>278.60310966788552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18.589743589743588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266.89999999999998</v>
      </c>
      <c r="BW73" s="13">
        <f>VLOOKUP(A73,'Données projet'!$A$113:$I$133,9,0)</f>
        <v>2.5199999999999934</v>
      </c>
      <c r="BX73" s="13">
        <f t="array" ref="BX73">INDEX(BW:BW,MIN(IF(ISNUMBER(BW73:BW269),ROW(BW73:BW269),"")))</f>
        <v>2.5199999999999934</v>
      </c>
      <c r="BY73" s="13">
        <f>IF('Données projet'!$A$114&gt;35,BY72+BX73-CG72,IF(A73&lt;'Données projet'!$A$114,$BV$205^A73,IF(A73='Données projet'!$A$114,'Données projet'!$B$114,BY72+BX73-CG72)))</f>
        <v>266.89999999999986</v>
      </c>
      <c r="BZ73" s="14">
        <f>BY73*VLOOKUP('Données projet'!$B$12,Paramètres!$A$1:$I$89,3,0)*VLOOKUP('Données projet'!$B$12,Paramètres!$A$1:$I$89,5,0)</f>
        <v>138.78799999999993</v>
      </c>
      <c r="CA73" s="14">
        <f t="shared" si="93"/>
        <v>36.019212967850898</v>
      </c>
      <c r="CB73" s="22">
        <f t="shared" si="64"/>
        <v>304.45589591900688</v>
      </c>
      <c r="CC73" s="62">
        <f t="shared" si="65"/>
        <v>556.85898967392791</v>
      </c>
      <c r="CD73" s="62">
        <f ca="1">AVERAGE(OFFSET($CC$3,0,0,'Données projet'!$E$12+1,1))-AVERAGE(OFFSET($H$3,0,0,'Données projet'!$E$12+1,1))</f>
        <v>300.72820267660154</v>
      </c>
      <c r="CE73" s="62">
        <f t="shared" si="94"/>
        <v>228.35388778608589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194.23076923076923</v>
      </c>
      <c r="CR73" s="13">
        <f>VLOOKUP(A73,'Données projet'!$A$139:$I$159,9,0)</f>
        <v>3.8461538461538454</v>
      </c>
      <c r="CS73" s="13">
        <f t="array" ref="CS73">INDEX(CR:CR,MIN(IF(ISNUMBER(CR73:CR269),ROW(CR73:CR269),"")))</f>
        <v>3.8461538461538454</v>
      </c>
      <c r="CT73" s="13">
        <f>IF('Données projet'!$A$140&gt;35,CT72+CS73-DB72,IF(A73&lt;'Données projet'!$A$140,$CQ$205^A73,IF(A73='Données projet'!$A$140,'Données projet'!$B$140,CT72+CS73-DB72)))</f>
        <v>194.23076923076911</v>
      </c>
      <c r="CU73" s="18">
        <f>CT73*VLOOKUP('Données projet'!$B$13,Paramètres!$A$1:$I$89,3,0)*VLOOKUP('Données projet'!$B$13,Paramètres!$A$1:$I$89,5,0)</f>
        <v>166.64999999999992</v>
      </c>
      <c r="CV73" s="14">
        <f t="shared" si="95"/>
        <v>42.338868155730808</v>
      </c>
      <c r="CW73" s="22">
        <f t="shared" si="67"/>
        <v>363.98894537123101</v>
      </c>
      <c r="CX73" s="62">
        <f t="shared" si="68"/>
        <v>616.3920391261521</v>
      </c>
      <c r="CY73" s="62">
        <f ca="1">AVERAGE(OFFSET($CX$3,0,0,'Données projet'!$E$13+1,1))-AVERAGE(OFFSET($H$3,0,0,'Données projet'!$E$13+1,1))</f>
        <v>384.3367849108829</v>
      </c>
      <c r="CZ73" s="62">
        <f t="shared" si="96"/>
        <v>238.2697272367603</v>
      </c>
      <c r="DA73" s="16">
        <f>IF(ISNA(VLOOKUP(A73,'Données projet'!$A$139:$I$159,3,0)),0,VLOOKUP(A73,'Données projet'!$A$139:$I$159,3,0))</f>
        <v>5</v>
      </c>
      <c r="DB73" s="16">
        <f>IF(ISNA(VLOOKUP(A73,'Données projet'!$A$139:$I$159,4,0)),0,VLOOKUP(A73,'Données projet'!$A$139:$I$159,4,0))</f>
        <v>18.589743589743588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9.9551282051282044</v>
      </c>
      <c r="DO73" s="13">
        <f>IF('Données projet'!$A$166&gt;35,DO72+DN73-DW72,IF(A73&lt;'Données projet'!$A$166,$DL$205^A73,IF(A73='Données projet'!$A$166,'Données projet'!$B$166,DO72+DN73-DW72)))</f>
        <v>310.70128205128196</v>
      </c>
      <c r="DP73" s="18">
        <f>DO73*VLOOKUP('Données projet'!$B$14,Paramètres!$A$1:$I$89,3,0)*VLOOKUP('Données projet'!$B$14,Paramètres!$A$1:$I$89,5,0)</f>
        <v>145.40819999999997</v>
      </c>
      <c r="DQ73" s="14">
        <f t="shared" si="97"/>
        <v>37.533201941228626</v>
      </c>
      <c r="DR73" s="22">
        <f t="shared" si="70"/>
        <v>318.62294171430648</v>
      </c>
      <c r="DS73" s="62">
        <f t="shared" si="71"/>
        <v>571.02603546922751</v>
      </c>
      <c r="DT73" s="62">
        <f ca="1">AVERAGE(OFFSET($DS$3,0,0,'Données projet'!$E$14+1,1))-AVERAGE(OFFSET($H$3,0,0,'Données projet'!$E$14+1,1))</f>
        <v>304.1100958939968</v>
      </c>
      <c r="DU73" s="62">
        <f t="shared" si="98"/>
        <v>184.1255966824568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194.23076923076923</v>
      </c>
      <c r="EH73" s="13">
        <f>VLOOKUP(A73,'Données projet'!$A$191:$I$211,9,0)</f>
        <v>3.8461538461538454</v>
      </c>
      <c r="EI73" s="13">
        <f t="array" ref="EI73">INDEX(EH:EH,MIN(IF(ISNUMBER(EH73:EH269),ROW(EH73:EH269),"")))</f>
        <v>3.8461538461538454</v>
      </c>
      <c r="EJ73" s="13">
        <f>IF('Données projet'!$A$192&gt;35,EJ72+EI73-ER72,IF(A73&lt;'Données projet'!$A$192,$EG$205^A73,IF(A73='Données projet'!$A$192,'Données projet'!$B$192,EJ72+EI73-ER72)))</f>
        <v>194.23076923076911</v>
      </c>
      <c r="EK73" s="18">
        <f>EJ73*VLOOKUP('Données projet'!$B$15,Paramètres!$A$1:$I$89,3,0)*VLOOKUP('Données projet'!$B$15,Paramètres!$A$1:$I$89,5,0)</f>
        <v>196.9499999999999</v>
      </c>
      <c r="EL73" s="14">
        <f t="shared" si="99"/>
        <v>49.073271713279723</v>
      </c>
      <c r="EM73" s="22">
        <f t="shared" si="73"/>
        <v>428.49053156729536</v>
      </c>
      <c r="EN73" s="62">
        <f t="shared" si="74"/>
        <v>680.89362532221639</v>
      </c>
      <c r="EO73" s="62">
        <f ca="1">AVERAGE(OFFSET($EN$3,0,0,'Données projet'!$E$15+1,1))-AVERAGE(OFFSET($H$3,0,0,'Données projet'!$E$15+1,1))</f>
        <v>435.03433721979218</v>
      </c>
      <c r="EP73" s="62">
        <f t="shared" si="100"/>
        <v>267.10015759286387</v>
      </c>
      <c r="EQ73" s="16">
        <f>IF(ISNA(VLOOKUP(A73,'Données projet'!$A$191:$I$211,3,0)),0,VLOOKUP(A73,'Données projet'!$A$191:$I$211,3,0))</f>
        <v>5</v>
      </c>
      <c r="ER73" s="16">
        <f>IF(ISNA(VLOOKUP(A73,'Données projet'!$A$191:$I$211,4,0)),0,VLOOKUP(A73,'Données projet'!$A$191:$I$211,4,0))</f>
        <v>18.589743589743588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194.23076923076923</v>
      </c>
      <c r="FC73" s="13">
        <f>VLOOKUP(A73,'Données projet'!$A$217:$I$237,9,0)</f>
        <v>3.8461538461538454</v>
      </c>
      <c r="FD73" s="13">
        <f t="array" ref="FD73">INDEX(FC:FC,MIN(IF(ISNUMBER(FC73:FC269),ROW(FC73:FC269),"")))</f>
        <v>3.8461538461538454</v>
      </c>
      <c r="FE73" s="13">
        <f>IF('Données projet'!$A$218&gt;35,FE72+FD73-FM72,IF(A73&lt;'Données projet'!$A$218,$FB$205^A73,IF(A73='Données projet'!$A$218,'Données projet'!$B$218,FE72+FD73-FM72)))</f>
        <v>194.23076923076911</v>
      </c>
      <c r="FF73" s="18">
        <f>FE73*VLOOKUP('Données projet'!$B$16,Paramètres!$A$1:$I$89,3,0)*VLOOKUP('Données projet'!$B$16,Paramètres!$A$1:$I$89,5,0)</f>
        <v>203.00999999999988</v>
      </c>
      <c r="FG73" s="14">
        <f t="shared" si="101"/>
        <v>50.405098420745524</v>
      </c>
      <c r="FH73" s="22">
        <f t="shared" si="76"/>
        <v>441.36462974946488</v>
      </c>
      <c r="FI73" s="62">
        <f t="shared" si="77"/>
        <v>693.76772350438591</v>
      </c>
      <c r="FJ73" s="62">
        <f ca="1">AVERAGE(OFFSET($FI$3,0,0,'Données projet'!$E$16+1,1))-AVERAGE(OFFSET($H$3,0,0,'Données projet'!$E$16+1,1))</f>
        <v>445.15313998584293</v>
      </c>
      <c r="FK73" s="62">
        <f t="shared" si="102"/>
        <v>272.85357736694834</v>
      </c>
      <c r="FL73" s="16">
        <f>IF(ISNA(VLOOKUP(A73,'Données projet'!$A$217:$I$237,3,0)),0,VLOOKUP(A73,'Données projet'!$A$217:$I$237,3,0))</f>
        <v>5</v>
      </c>
      <c r="FM73" s="16">
        <f>IF(ISNA(VLOOKUP(A73,'Données projet'!$A$217:$I$237,4,0)),0,VLOOKUP(A73,'Données projet'!$A$217:$I$237,4,0))</f>
        <v>18.589743589743588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157</v>
      </c>
      <c r="FX73" s="13">
        <f>VLOOKUP(A73,'Données projet'!$A$243:$I$263,9,0)</f>
        <v>2.2000000000000002</v>
      </c>
      <c r="FY73" s="13">
        <f t="array" ref="FY73">INDEX(FX:FX,MIN(IF(ISNUMBER(FX73:FX269),ROW(FX73:FX269),"")))</f>
        <v>2.2000000000000002</v>
      </c>
      <c r="FZ73" s="13">
        <f>IF('Données projet'!$A$244&gt;35,FZ72+FY73-GH72,IF(A73&lt;'Données projet'!$A$244,$FW$205^A73,IF(A73='Données projet'!$A$244,'Données projet'!$B$244,FZ72+FY73-GH72)))</f>
        <v>156.99999999999983</v>
      </c>
      <c r="GA73" s="18">
        <f>FZ73*VLOOKUP('Données projet'!$B$17,Paramètres!$A$1:$I$89,3,0)*VLOOKUP('Données projet'!$B$17,Paramètres!$A$1:$I$89,5,0)</f>
        <v>137.15519999999987</v>
      </c>
      <c r="GB73" s="14">
        <f t="shared" si="103"/>
        <v>35.644525151069693</v>
      </c>
      <c r="GC73" s="22">
        <f t="shared" si="79"/>
        <v>300.95952130477946</v>
      </c>
      <c r="GD73" s="62">
        <f t="shared" si="80"/>
        <v>553.36261505970049</v>
      </c>
      <c r="GE73" s="62">
        <f ca="1">AVERAGE(OFFSET($GD$3,0,0,'Données projet'!$E$17+1,1))-AVERAGE(OFFSET($H$3,0,0,'Données projet'!$E$17+1,1))</f>
        <v>248.82613595888964</v>
      </c>
      <c r="GF73" s="62">
        <f t="shared" si="104"/>
        <v>255.8298580882084</v>
      </c>
      <c r="GG73" s="16">
        <f>IF(ISNA(VLOOKUP(A73,'Données projet'!$A$243:$I$263,3,0)),0,VLOOKUP(A73,'Données projet'!$A$243:$I$263,3,0))</f>
        <v>5</v>
      </c>
      <c r="GH73" s="16">
        <f>IF(ISNA(VLOOKUP(A73,'Données projet'!$A$243:$I$263,4,0)),0,VLOOKUP(A73,'Données projet'!$A$243:$I$263,4,0))</f>
        <v>11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135.66666666666666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5.3778846153846125</v>
      </c>
      <c r="N74" s="14">
        <f>IF('Données projet'!$A$36&gt;35,N73+M74-V73,IF(A74&lt;'Données projet'!$A$36,$K$205^A74,IF(A74='Données projet'!$A$36,'Données projet'!$B$36,N73+M74-V73)))</f>
        <v>211.2894230769231</v>
      </c>
      <c r="O74" s="14">
        <f>N74*VLOOKUP('Données projet'!$B$9,Paramètres!$A$1:$I$89,3,0)*VLOOKUP('Données projet'!$B$9,Paramètres!$A$1:$I$89,5,0)</f>
        <v>123.60431250000002</v>
      </c>
      <c r="P74" s="14">
        <f t="shared" si="87"/>
        <v>32.51419263702352</v>
      </c>
      <c r="Q74" s="22">
        <f t="shared" si="54"/>
        <v>271.90639644698263</v>
      </c>
      <c r="R74" s="62">
        <f t="shared" si="55"/>
        <v>525.0195383522821</v>
      </c>
      <c r="S74" s="62">
        <f ca="1">AVERAGE(OFFSET($R$3,0,0,'Données projet'!$E$9+1,1))-AVERAGE(OFFSET($H$3,0,0,'Données projet'!$E$9+1,1))</f>
        <v>221.18884567967481</v>
      </c>
      <c r="T74" s="62">
        <f t="shared" si="88"/>
        <v>189.31596996710888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1.5783333333333318</v>
      </c>
      <c r="AI74" s="14">
        <f>IF('Données projet'!$A$62&gt;35,AI73+AH74-AQ73,IF(A74&lt;'Données projet'!$A$62,$AF$205^A74,IF(A74='Données projet'!$A$62,'Données projet'!$B$62,AI73+AH74-AQ73)))</f>
        <v>85.940833333333273</v>
      </c>
      <c r="AJ74" s="14">
        <f>AI74*VLOOKUP('Données projet'!$B$10,Paramètres!$A$1:$I$89,3,0)*VLOOKUP('Données projet'!$B$10,Paramètres!$A$1:$I$89,5,0)</f>
        <v>99.003839999999926</v>
      </c>
      <c r="AK74" s="14">
        <f t="shared" si="89"/>
        <v>26.724538061641486</v>
      </c>
      <c r="AL74" s="22">
        <f t="shared" si="58"/>
        <v>218.97692512402543</v>
      </c>
      <c r="AM74" s="62">
        <f t="shared" si="59"/>
        <v>472.09006702932493</v>
      </c>
      <c r="AN74" s="62">
        <f ca="1">AVERAGE(OFFSET($AM$3,0,0,'Données projet'!$E$10+1,1))-AVERAGE(OFFSET($H$3,0,0,'Données projet'!$E$10+1,1))</f>
        <v>314.72063458462026</v>
      </c>
      <c r="AO74" s="62">
        <f t="shared" si="90"/>
        <v>216.4380325968244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3.4615384615384643</v>
      </c>
      <c r="BD74" s="13">
        <f>IF('Données projet'!$A$88&gt;35,BD73+BC74-BL73,IF(A74&lt;'Données projet'!$A$88,$BA$205^A74,IF(A74='Données projet'!$A$88,'Données projet'!$B$88,BD73+BC74-BL73)))</f>
        <v>179.10256410256397</v>
      </c>
      <c r="BE74" s="14">
        <f>BD74*VLOOKUP('Données projet'!$B$11,Paramètres!$A$1:$I$89,3,0)*VLOOKUP('Données projet'!$B$11,Paramètres!$A$1:$I$89,5,0)</f>
        <v>192.78599999999986</v>
      </c>
      <c r="BF74" s="14">
        <f t="shared" si="91"/>
        <v>48.155375096305725</v>
      </c>
      <c r="BG74" s="22">
        <f t="shared" si="61"/>
        <v>419.63956162606559</v>
      </c>
      <c r="BH74" s="62">
        <f t="shared" si="62"/>
        <v>672.75270353136511</v>
      </c>
      <c r="BI74" s="62">
        <f ca="1">AVERAGE(OFFSET($BH$3,0,0,'Données projet'!$E$11+1,1))-AVERAGE(OFFSET($H$3,0,0,'Données projet'!$E$11+1,1))</f>
        <v>455.26558725507834</v>
      </c>
      <c r="BJ74" s="62">
        <f t="shared" si="92"/>
        <v>278.60310966788552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2.2600000000000025</v>
      </c>
      <c r="BY74" s="13">
        <f>IF('Données projet'!$A$114&gt;35,BY73+BX74-CG73,IF(A74&lt;'Données projet'!$A$114,$BV$205^A74,IF(A74='Données projet'!$A$114,'Données projet'!$B$114,BY73+BX74-CG73)))</f>
        <v>269.15999999999985</v>
      </c>
      <c r="BZ74" s="14">
        <f>BY74*VLOOKUP('Données projet'!$B$12,Paramètres!$A$1:$I$89,3,0)*VLOOKUP('Données projet'!$B$12,Paramètres!$A$1:$I$89,5,0)</f>
        <v>139.96319999999994</v>
      </c>
      <c r="CA74" s="14">
        <f t="shared" si="93"/>
        <v>36.288575002787859</v>
      </c>
      <c r="CB74" s="22">
        <f t="shared" si="64"/>
        <v>306.9718414631887</v>
      </c>
      <c r="CC74" s="62">
        <f t="shared" si="65"/>
        <v>560.08498336848811</v>
      </c>
      <c r="CD74" s="62">
        <f ca="1">AVERAGE(OFFSET($CC$3,0,0,'Données projet'!$E$12+1,1))-AVERAGE(OFFSET($H$3,0,0,'Données projet'!$E$12+1,1))</f>
        <v>300.72820267660154</v>
      </c>
      <c r="CE74" s="62">
        <f t="shared" si="94"/>
        <v>228.35388778608589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3.4615384615384643</v>
      </c>
      <c r="CT74" s="13">
        <f>IF('Données projet'!$A$140&gt;35,CT73+CS74-DB73,IF(A74&lt;'Données projet'!$A$140,$CQ$205^A74,IF(A74='Données projet'!$A$140,'Données projet'!$B$140,CT73+CS74-DB73)))</f>
        <v>179.10256410256397</v>
      </c>
      <c r="CU74" s="18">
        <f>CT74*VLOOKUP('Données projet'!$B$13,Paramètres!$A$1:$I$89,3,0)*VLOOKUP('Données projet'!$B$13,Paramètres!$A$1:$I$89,5,0)</f>
        <v>153.6699999999999</v>
      </c>
      <c r="CV74" s="14">
        <f t="shared" si="95"/>
        <v>39.411429353242418</v>
      </c>
      <c r="CW74" s="22">
        <f t="shared" si="67"/>
        <v>336.28348945689703</v>
      </c>
      <c r="CX74" s="62">
        <f t="shared" si="68"/>
        <v>589.39663136219656</v>
      </c>
      <c r="CY74" s="62">
        <f ca="1">AVERAGE(OFFSET($CX$3,0,0,'Données projet'!$E$13+1,1))-AVERAGE(OFFSET($H$3,0,0,'Données projet'!$E$13+1,1))</f>
        <v>384.3367849108829</v>
      </c>
      <c r="CZ74" s="62">
        <f t="shared" si="96"/>
        <v>238.2697272367603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9.9551282051282044</v>
      </c>
      <c r="DO74" s="13">
        <f>IF('Données projet'!$A$166&gt;35,DO73+DN74-DW73,IF(A74&lt;'Données projet'!$A$166,$DL$205^A74,IF(A74='Données projet'!$A$166,'Données projet'!$B$166,DO73+DN74-DW73)))</f>
        <v>320.65641025641014</v>
      </c>
      <c r="DP74" s="18">
        <f>DO74*VLOOKUP('Données projet'!$B$14,Paramètres!$A$1:$I$89,3,0)*VLOOKUP('Données projet'!$B$14,Paramètres!$A$1:$I$89,5,0)</f>
        <v>150.06719999999996</v>
      </c>
      <c r="DQ74" s="14">
        <f t="shared" si="97"/>
        <v>38.593856663876636</v>
      </c>
      <c r="DR74" s="22">
        <f t="shared" si="70"/>
        <v>328.58467368958503</v>
      </c>
      <c r="DS74" s="62">
        <f t="shared" si="71"/>
        <v>581.69781559488456</v>
      </c>
      <c r="DT74" s="62">
        <f ca="1">AVERAGE(OFFSET($DS$3,0,0,'Données projet'!$E$14+1,1))-AVERAGE(OFFSET($H$3,0,0,'Données projet'!$E$14+1,1))</f>
        <v>304.1100958939968</v>
      </c>
      <c r="DU74" s="62">
        <f t="shared" si="98"/>
        <v>184.1255966824568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3.4615384615384643</v>
      </c>
      <c r="EJ74" s="13">
        <f>IF('Données projet'!$A$192&gt;35,EJ73+EI74-ER73,IF(A74&lt;'Données projet'!$A$192,$EG$205^A74,IF(A74='Données projet'!$A$192,'Données projet'!$B$192,EJ73+EI74-ER73)))</f>
        <v>179.10256410256397</v>
      </c>
      <c r="EK74" s="18">
        <f>EJ74*VLOOKUP('Données projet'!$B$15,Paramètres!$A$1:$I$89,3,0)*VLOOKUP('Données projet'!$B$15,Paramètres!$A$1:$I$89,5,0)</f>
        <v>181.60999999999987</v>
      </c>
      <c r="EL74" s="14">
        <f t="shared" si="99"/>
        <v>45.680195657252291</v>
      </c>
      <c r="EM74" s="22">
        <f t="shared" si="73"/>
        <v>395.86375743638081</v>
      </c>
      <c r="EN74" s="62">
        <f t="shared" si="74"/>
        <v>648.97689934168034</v>
      </c>
      <c r="EO74" s="62">
        <f ca="1">AVERAGE(OFFSET($EN$3,0,0,'Données projet'!$E$15+1,1))-AVERAGE(OFFSET($H$3,0,0,'Données projet'!$E$15+1,1))</f>
        <v>435.03433721979218</v>
      </c>
      <c r="EP74" s="62">
        <f t="shared" si="100"/>
        <v>267.10015759286387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3.4615384615384643</v>
      </c>
      <c r="FE74" s="13">
        <f>IF('Données projet'!$A$218&gt;35,FE73+FD74-FM73,IF(A74&lt;'Données projet'!$A$218,$FB$205^A74,IF(A74='Données projet'!$A$218,'Données projet'!$B$218,FE73+FD74-FM73)))</f>
        <v>179.10256410256397</v>
      </c>
      <c r="FF74" s="18">
        <f>FE74*VLOOKUP('Données projet'!$B$16,Paramètres!$A$1:$I$89,3,0)*VLOOKUP('Données projet'!$B$16,Paramètres!$A$1:$I$89,5,0)</f>
        <v>187.19799999999989</v>
      </c>
      <c r="FG74" s="14">
        <f t="shared" si="101"/>
        <v>46.919935793880072</v>
      </c>
      <c r="FH74" s="22">
        <f t="shared" si="76"/>
        <v>407.75540484100753</v>
      </c>
      <c r="FI74" s="62">
        <f t="shared" si="77"/>
        <v>660.86854674630695</v>
      </c>
      <c r="FJ74" s="62">
        <f ca="1">AVERAGE(OFFSET($FI$3,0,0,'Données projet'!$E$16+1,1))-AVERAGE(OFFSET($H$3,0,0,'Données projet'!$E$16+1,1))</f>
        <v>445.15313998584293</v>
      </c>
      <c r="FK74" s="62">
        <f t="shared" si="102"/>
        <v>272.85357736694834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1.8</v>
      </c>
      <c r="FZ74" s="13">
        <f>IF('Données projet'!$A$244&gt;35,FZ73+FY74-GH73,IF(A74&lt;'Données projet'!$A$244,$FW$205^A74,IF(A74='Données projet'!$A$244,'Données projet'!$B$244,FZ73+FY74-GH73)))</f>
        <v>147.79999999999984</v>
      </c>
      <c r="GA74" s="18">
        <f>FZ74*VLOOKUP('Données projet'!$B$17,Paramètres!$A$1:$I$89,3,0)*VLOOKUP('Données projet'!$B$17,Paramètres!$A$1:$I$89,5,0)</f>
        <v>129.11807999999988</v>
      </c>
      <c r="GB74" s="14">
        <f t="shared" si="103"/>
        <v>33.792492849789163</v>
      </c>
      <c r="GC74" s="22">
        <f t="shared" si="79"/>
        <v>283.73591438004922</v>
      </c>
      <c r="GD74" s="62">
        <f t="shared" si="80"/>
        <v>536.84905628534875</v>
      </c>
      <c r="GE74" s="62">
        <f ca="1">AVERAGE(OFFSET($GD$3,0,0,'Données projet'!$E$17+1,1))-AVERAGE(OFFSET($H$3,0,0,'Données projet'!$E$17+1,1))</f>
        <v>248.82613595888964</v>
      </c>
      <c r="GF74" s="62">
        <f t="shared" si="104"/>
        <v>255.8298580882084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135.66666666666666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5.3778846153846125</v>
      </c>
      <c r="N75" s="14">
        <f>IF('Données projet'!$A$36&gt;35,N74+M75-V74,IF(A75&lt;'Données projet'!$A$36,$K$205^A75,IF(A75='Données projet'!$A$36,'Données projet'!$B$36,N74+M75-V74)))</f>
        <v>216.6673076923077</v>
      </c>
      <c r="O75" s="14">
        <f>N75*VLOOKUP('Données projet'!$B$9,Paramètres!$A$1:$I$89,3,0)*VLOOKUP('Données projet'!$B$9,Paramètres!$A$1:$I$89,5,0)</f>
        <v>126.75037500000002</v>
      </c>
      <c r="P75" s="14">
        <f t="shared" si="87"/>
        <v>33.244363684506752</v>
      </c>
      <c r="Q75" s="22">
        <f t="shared" si="54"/>
        <v>278.65750320884928</v>
      </c>
      <c r="R75" s="62">
        <f t="shared" si="55"/>
        <v>532.46837551654789</v>
      </c>
      <c r="S75" s="62">
        <f ca="1">AVERAGE(OFFSET($R$3,0,0,'Données projet'!$E$9+1,1))-AVERAGE(OFFSET($H$3,0,0,'Données projet'!$E$9+1,1))</f>
        <v>221.18884567967481</v>
      </c>
      <c r="T75" s="62">
        <f t="shared" si="88"/>
        <v>189.31596996710888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1.5783333333333318</v>
      </c>
      <c r="AI75" s="14">
        <f>IF('Données projet'!$A$62&gt;35,AI74+AH75-AQ74,IF(A75&lt;'Données projet'!$A$62,$AF$205^A75,IF(A75='Données projet'!$A$62,'Données projet'!$B$62,AI74+AH75-AQ74)))</f>
        <v>87.519166666666607</v>
      </c>
      <c r="AJ75" s="14">
        <f>AI75*VLOOKUP('Données projet'!$B$10,Paramètres!$A$1:$I$89,3,0)*VLOOKUP('Données projet'!$B$10,Paramètres!$A$1:$I$89,5,0)</f>
        <v>100.82207999999993</v>
      </c>
      <c r="AK75" s="14">
        <f t="shared" si="89"/>
        <v>27.157753353396636</v>
      </c>
      <c r="AL75" s="22">
        <f t="shared" si="58"/>
        <v>222.89820975716569</v>
      </c>
      <c r="AM75" s="62">
        <f t="shared" si="59"/>
        <v>476.70908206486433</v>
      </c>
      <c r="AN75" s="62">
        <f ca="1">AVERAGE(OFFSET($AM$3,0,0,'Données projet'!$E$10+1,1))-AVERAGE(OFFSET($H$3,0,0,'Données projet'!$E$10+1,1))</f>
        <v>314.72063458462026</v>
      </c>
      <c r="AO75" s="62">
        <f t="shared" si="90"/>
        <v>216.4380325968244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3.4615384615384643</v>
      </c>
      <c r="BD75" s="13">
        <f>IF('Données projet'!$A$88&gt;35,BD74+BC75-BL74,IF(A75&lt;'Données projet'!$A$88,$BA$205^A75,IF(A75='Données projet'!$A$88,'Données projet'!$B$88,BD74+BC75-BL74)))</f>
        <v>182.56410256410243</v>
      </c>
      <c r="BE75" s="14">
        <f>BD75*VLOOKUP('Données projet'!$B$11,Paramètres!$A$1:$I$89,3,0)*VLOOKUP('Données projet'!$B$11,Paramètres!$A$1:$I$89,5,0)</f>
        <v>196.51199999999983</v>
      </c>
      <c r="BF75" s="14">
        <f t="shared" si="91"/>
        <v>48.976827738597933</v>
      </c>
      <c r="BG75" s="22">
        <f t="shared" si="61"/>
        <v>427.55970831139103</v>
      </c>
      <c r="BH75" s="62">
        <f t="shared" si="62"/>
        <v>681.37058061908965</v>
      </c>
      <c r="BI75" s="62">
        <f ca="1">AVERAGE(OFFSET($BH$3,0,0,'Données projet'!$E$11+1,1))-AVERAGE(OFFSET($H$3,0,0,'Données projet'!$E$11+1,1))</f>
        <v>455.26558725507834</v>
      </c>
      <c r="BJ75" s="62">
        <f t="shared" si="92"/>
        <v>278.60310966788552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2.2600000000000025</v>
      </c>
      <c r="BY75" s="13">
        <f>IF('Données projet'!$A$114&gt;35,BY74+BX75-CG74,IF(A75&lt;'Données projet'!$A$114,$BV$205^A75,IF(A75='Données projet'!$A$114,'Données projet'!$B$114,BY74+BX75-CG74)))</f>
        <v>271.41999999999985</v>
      </c>
      <c r="BZ75" s="14">
        <f>BY75*VLOOKUP('Données projet'!$B$12,Paramètres!$A$1:$I$89,3,0)*VLOOKUP('Données projet'!$B$12,Paramètres!$A$1:$I$89,5,0)</f>
        <v>141.13839999999993</v>
      </c>
      <c r="CA75" s="14">
        <f t="shared" si="93"/>
        <v>36.557673901602939</v>
      </c>
      <c r="CB75" s="22">
        <f t="shared" si="64"/>
        <v>309.48732871195836</v>
      </c>
      <c r="CC75" s="62">
        <f t="shared" si="65"/>
        <v>563.29820101965697</v>
      </c>
      <c r="CD75" s="62">
        <f ca="1">AVERAGE(OFFSET($CC$3,0,0,'Données projet'!$E$12+1,1))-AVERAGE(OFFSET($H$3,0,0,'Données projet'!$E$12+1,1))</f>
        <v>300.72820267660154</v>
      </c>
      <c r="CE75" s="62">
        <f t="shared" si="94"/>
        <v>228.35388778608589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3.4615384615384643</v>
      </c>
      <c r="CT75" s="13">
        <f>IF('Données projet'!$A$140&gt;35,CT74+CS75-DB74,IF(A75&lt;'Données projet'!$A$140,$CQ$205^A75,IF(A75='Données projet'!$A$140,'Données projet'!$B$140,CT74+CS75-DB74)))</f>
        <v>182.56410256410243</v>
      </c>
      <c r="CU75" s="18">
        <f>CT75*VLOOKUP('Données projet'!$B$13,Paramètres!$A$1:$I$89,3,0)*VLOOKUP('Données projet'!$B$13,Paramètres!$A$1:$I$89,5,0)</f>
        <v>156.6399999999999</v>
      </c>
      <c r="CV75" s="14">
        <f t="shared" si="95"/>
        <v>40.083724454547024</v>
      </c>
      <c r="CW75" s="22">
        <f t="shared" si="67"/>
        <v>342.62715342500252</v>
      </c>
      <c r="CX75" s="62">
        <f t="shared" si="68"/>
        <v>596.43802573270113</v>
      </c>
      <c r="CY75" s="62">
        <f ca="1">AVERAGE(OFFSET($CX$3,0,0,'Données projet'!$E$13+1,1))-AVERAGE(OFFSET($H$3,0,0,'Données projet'!$E$13+1,1))</f>
        <v>384.3367849108829</v>
      </c>
      <c r="CZ75" s="62">
        <f t="shared" si="96"/>
        <v>238.2697272367603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9.9551282051282044</v>
      </c>
      <c r="DO75" s="13">
        <f>IF('Données projet'!$A$166&gt;35,DO74+DN75-DW74,IF(A75&lt;'Données projet'!$A$166,$DL$205^A75,IF(A75='Données projet'!$A$166,'Données projet'!$B$166,DO74+DN75-DW74)))</f>
        <v>330.61153846153832</v>
      </c>
      <c r="DP75" s="18">
        <f>DO75*VLOOKUP('Données projet'!$B$14,Paramètres!$A$1:$I$89,3,0)*VLOOKUP('Données projet'!$B$14,Paramètres!$A$1:$I$89,5,0)</f>
        <v>154.72619999999992</v>
      </c>
      <c r="DQ75" s="14">
        <f t="shared" si="97"/>
        <v>39.650684697457002</v>
      </c>
      <c r="DR75" s="22">
        <f t="shared" si="70"/>
        <v>338.53974084807078</v>
      </c>
      <c r="DS75" s="62">
        <f t="shared" si="71"/>
        <v>592.35061315576945</v>
      </c>
      <c r="DT75" s="62">
        <f ca="1">AVERAGE(OFFSET($DS$3,0,0,'Données projet'!$E$14+1,1))-AVERAGE(OFFSET($H$3,0,0,'Données projet'!$E$14+1,1))</f>
        <v>304.1100958939968</v>
      </c>
      <c r="DU75" s="62">
        <f t="shared" si="98"/>
        <v>184.1255966824568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3.4615384615384643</v>
      </c>
      <c r="EJ75" s="13">
        <f>IF('Données projet'!$A$192&gt;35,EJ74+EI75-ER74,IF(A75&lt;'Données projet'!$A$192,$EG$205^A75,IF(A75='Données projet'!$A$192,'Données projet'!$B$192,EJ74+EI75-ER74)))</f>
        <v>182.56410256410243</v>
      </c>
      <c r="EK75" s="18">
        <f>EJ75*VLOOKUP('Données projet'!$B$15,Paramètres!$A$1:$I$89,3,0)*VLOOKUP('Données projet'!$B$15,Paramètres!$A$1:$I$89,5,0)</f>
        <v>185.11999999999989</v>
      </c>
      <c r="EL75" s="14">
        <f t="shared" si="99"/>
        <v>46.459425750425297</v>
      </c>
      <c r="EM75" s="22">
        <f t="shared" si="73"/>
        <v>403.33416651532389</v>
      </c>
      <c r="EN75" s="62">
        <f t="shared" si="74"/>
        <v>657.14503882302256</v>
      </c>
      <c r="EO75" s="62">
        <f ca="1">AVERAGE(OFFSET($EN$3,0,0,'Données projet'!$E$15+1,1))-AVERAGE(OFFSET($H$3,0,0,'Données projet'!$E$15+1,1))</f>
        <v>435.03433721979218</v>
      </c>
      <c r="EP75" s="62">
        <f t="shared" si="100"/>
        <v>267.10015759286387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3.4615384615384643</v>
      </c>
      <c r="FE75" s="13">
        <f>IF('Données projet'!$A$218&gt;35,FE74+FD75-FM74,IF(A75&lt;'Données projet'!$A$218,$FB$205^A75,IF(A75='Données projet'!$A$218,'Données projet'!$B$218,FE74+FD75-FM74)))</f>
        <v>182.56410256410243</v>
      </c>
      <c r="FF75" s="18">
        <f>FE75*VLOOKUP('Données projet'!$B$16,Paramètres!$A$1:$I$89,3,0)*VLOOKUP('Données projet'!$B$16,Paramètres!$A$1:$I$89,5,0)</f>
        <v>190.81599999999989</v>
      </c>
      <c r="FG75" s="14">
        <f t="shared" si="101"/>
        <v>47.720313844242689</v>
      </c>
      <c r="FH75" s="22">
        <f t="shared" si="76"/>
        <v>415.45074661205581</v>
      </c>
      <c r="FI75" s="62">
        <f t="shared" si="77"/>
        <v>669.26161891975448</v>
      </c>
      <c r="FJ75" s="62">
        <f ca="1">AVERAGE(OFFSET($FI$3,0,0,'Données projet'!$E$16+1,1))-AVERAGE(OFFSET($H$3,0,0,'Données projet'!$E$16+1,1))</f>
        <v>445.15313998584293</v>
      </c>
      <c r="FK75" s="62">
        <f t="shared" si="102"/>
        <v>272.85357736694834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1.8</v>
      </c>
      <c r="FZ75" s="13">
        <f>IF('Données projet'!$A$244&gt;35,FZ74+FY75-GH74,IF(A75&lt;'Données projet'!$A$244,$FW$205^A75,IF(A75='Données projet'!$A$244,'Données projet'!$B$244,FZ74+FY75-GH74)))</f>
        <v>149.59999999999985</v>
      </c>
      <c r="GA75" s="18">
        <f>FZ75*VLOOKUP('Données projet'!$B$17,Paramètres!$A$1:$I$89,3,0)*VLOOKUP('Données projet'!$B$17,Paramètres!$A$1:$I$89,5,0)</f>
        <v>130.69055999999989</v>
      </c>
      <c r="GB75" s="14">
        <f t="shared" si="103"/>
        <v>34.155878238422694</v>
      </c>
      <c r="GC75" s="22">
        <f t="shared" si="79"/>
        <v>287.107546598586</v>
      </c>
      <c r="GD75" s="62">
        <f t="shared" si="80"/>
        <v>540.91841890628461</v>
      </c>
      <c r="GE75" s="62">
        <f ca="1">AVERAGE(OFFSET($GD$3,0,0,'Données projet'!$E$17+1,1))-AVERAGE(OFFSET($H$3,0,0,'Données projet'!$E$17+1,1))</f>
        <v>248.82613595888964</v>
      </c>
      <c r="GF75" s="62">
        <f t="shared" si="104"/>
        <v>255.8298580882084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135.66666666666666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5.3778846153846125</v>
      </c>
      <c r="N76" s="14">
        <f>IF('Données projet'!$A$36&gt;35,N75+M76-V75,IF(A76&lt;'Données projet'!$A$36,$K$205^A76,IF(A76='Données projet'!$A$36,'Données projet'!$B$36,N75+M76-V75)))</f>
        <v>222.0451923076923</v>
      </c>
      <c r="O76" s="14">
        <f>N76*VLOOKUP('Données projet'!$B$9,Paramètres!$A$1:$I$89,3,0)*VLOOKUP('Données projet'!$B$9,Paramètres!$A$1:$I$89,5,0)</f>
        <v>129.89643750000002</v>
      </c>
      <c r="P76" s="14">
        <f t="shared" si="87"/>
        <v>33.972427969435074</v>
      </c>
      <c r="Q76" s="22">
        <f t="shared" si="54"/>
        <v>285.40494069259944</v>
      </c>
      <c r="R76" s="62">
        <f t="shared" si="55"/>
        <v>539.90143934010712</v>
      </c>
      <c r="S76" s="62">
        <f ca="1">AVERAGE(OFFSET($R$3,0,0,'Données projet'!$E$9+1,1))-AVERAGE(OFFSET($H$3,0,0,'Données projet'!$E$9+1,1))</f>
        <v>221.18884567967481</v>
      </c>
      <c r="T76" s="62">
        <f t="shared" si="88"/>
        <v>189.31596996710888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1.5783333333333318</v>
      </c>
      <c r="AI76" s="14">
        <f>IF('Données projet'!$A$62&gt;35,AI75+AH76-AQ75,IF(A76&lt;'Données projet'!$A$62,$AF$205^A76,IF(A76='Données projet'!$A$62,'Données projet'!$B$62,AI75+AH76-AQ75)))</f>
        <v>89.09749999999994</v>
      </c>
      <c r="AJ76" s="14">
        <f>AI76*VLOOKUP('Données projet'!$B$10,Paramètres!$A$1:$I$89,3,0)*VLOOKUP('Données projet'!$B$10,Paramètres!$A$1:$I$89,5,0)</f>
        <v>102.64031999999992</v>
      </c>
      <c r="AK76" s="14">
        <f t="shared" si="89"/>
        <v>27.590060152433722</v>
      </c>
      <c r="AL76" s="22">
        <f t="shared" si="58"/>
        <v>226.81791209882192</v>
      </c>
      <c r="AM76" s="62">
        <f t="shared" si="59"/>
        <v>481.3144107463296</v>
      </c>
      <c r="AN76" s="62">
        <f ca="1">AVERAGE(OFFSET($AM$3,0,0,'Données projet'!$E$10+1,1))-AVERAGE(OFFSET($H$3,0,0,'Données projet'!$E$10+1,1))</f>
        <v>314.72063458462026</v>
      </c>
      <c r="AO76" s="62">
        <f t="shared" si="90"/>
        <v>216.4380325968244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3.4615384615384643</v>
      </c>
      <c r="BD76" s="13">
        <f>IF('Données projet'!$A$88&gt;35,BD75+BC76-BL75,IF(A76&lt;'Données projet'!$A$88,$BA$205^A76,IF(A76='Données projet'!$A$88,'Données projet'!$B$88,BD75+BC76-BL75)))</f>
        <v>186.02564102564088</v>
      </c>
      <c r="BE76" s="14">
        <f>BD76*VLOOKUP('Données projet'!$B$11,Paramètres!$A$1:$I$89,3,0)*VLOOKUP('Données projet'!$B$11,Paramètres!$A$1:$I$89,5,0)</f>
        <v>200.23799999999983</v>
      </c>
      <c r="BF76" s="14">
        <f t="shared" si="91"/>
        <v>49.796469300889598</v>
      </c>
      <c r="BG76" s="22">
        <f t="shared" si="61"/>
        <v>435.4767006990491</v>
      </c>
      <c r="BH76" s="62">
        <f t="shared" si="62"/>
        <v>689.97319934655684</v>
      </c>
      <c r="BI76" s="62">
        <f ca="1">AVERAGE(OFFSET($BH$3,0,0,'Données projet'!$E$11+1,1))-AVERAGE(OFFSET($H$3,0,0,'Données projet'!$E$11+1,1))</f>
        <v>455.26558725507834</v>
      </c>
      <c r="BJ76" s="62">
        <f t="shared" si="92"/>
        <v>278.60310966788552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2.2600000000000025</v>
      </c>
      <c r="BY76" s="13">
        <f>IF('Données projet'!$A$114&gt;35,BY75+BX76-CG75,IF(A76&lt;'Données projet'!$A$114,$BV$205^A76,IF(A76='Données projet'!$A$114,'Données projet'!$B$114,BY75+BX76-CG75)))</f>
        <v>273.67999999999984</v>
      </c>
      <c r="BZ76" s="14">
        <f>BY76*VLOOKUP('Données projet'!$B$12,Paramètres!$A$1:$I$89,3,0)*VLOOKUP('Données projet'!$B$12,Paramètres!$A$1:$I$89,5,0)</f>
        <v>142.31359999999992</v>
      </c>
      <c r="CA76" s="14">
        <f t="shared" si="93"/>
        <v>36.826512109226599</v>
      </c>
      <c r="CB76" s="22">
        <f t="shared" si="64"/>
        <v>312.00236192356948</v>
      </c>
      <c r="CC76" s="62">
        <f t="shared" si="65"/>
        <v>566.4988605710771</v>
      </c>
      <c r="CD76" s="62">
        <f ca="1">AVERAGE(OFFSET($CC$3,0,0,'Données projet'!$E$12+1,1))-AVERAGE(OFFSET($H$3,0,0,'Données projet'!$E$12+1,1))</f>
        <v>300.72820267660154</v>
      </c>
      <c r="CE76" s="62">
        <f t="shared" si="94"/>
        <v>228.35388778608589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3.4615384615384643</v>
      </c>
      <c r="CT76" s="13">
        <f>IF('Données projet'!$A$140&gt;35,CT75+CS76-DB75,IF(A76&lt;'Données projet'!$A$140,$CQ$205^A76,IF(A76='Données projet'!$A$140,'Données projet'!$B$140,CT75+CS76-DB75)))</f>
        <v>186.02564102564088</v>
      </c>
      <c r="CU76" s="18">
        <f>CT76*VLOOKUP('Données projet'!$B$13,Paramètres!$A$1:$I$89,3,0)*VLOOKUP('Données projet'!$B$13,Paramètres!$A$1:$I$89,5,0)</f>
        <v>159.6099999999999</v>
      </c>
      <c r="CV76" s="14">
        <f t="shared" si="95"/>
        <v>40.754537327723433</v>
      </c>
      <c r="CW76" s="22">
        <f t="shared" si="67"/>
        <v>348.9682358457847</v>
      </c>
      <c r="CX76" s="62">
        <f t="shared" si="68"/>
        <v>603.46473449329233</v>
      </c>
      <c r="CY76" s="62">
        <f ca="1">AVERAGE(OFFSET($CX$3,0,0,'Données projet'!$E$13+1,1))-AVERAGE(OFFSET($H$3,0,0,'Données projet'!$E$13+1,1))</f>
        <v>384.3367849108829</v>
      </c>
      <c r="CZ76" s="62">
        <f t="shared" si="96"/>
        <v>238.2697272367603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9.9551282051282044</v>
      </c>
      <c r="DO76" s="13">
        <f>IF('Données projet'!$A$166&gt;35,DO75+DN76-DW75,IF(A76&lt;'Données projet'!$A$166,$DL$205^A76,IF(A76='Données projet'!$A$166,'Données projet'!$B$166,DO75+DN76-DW75)))</f>
        <v>340.56666666666649</v>
      </c>
      <c r="DP76" s="18">
        <f>DO76*VLOOKUP('Données projet'!$B$14,Paramètres!$A$1:$I$89,3,0)*VLOOKUP('Données projet'!$B$14,Paramètres!$A$1:$I$89,5,0)</f>
        <v>159.38519999999991</v>
      </c>
      <c r="DQ76" s="14">
        <f t="shared" si="97"/>
        <v>40.703814494924693</v>
      </c>
      <c r="DR76" s="22">
        <f t="shared" si="70"/>
        <v>348.48836691199364</v>
      </c>
      <c r="DS76" s="62">
        <f t="shared" si="71"/>
        <v>602.98486555950126</v>
      </c>
      <c r="DT76" s="62">
        <f ca="1">AVERAGE(OFFSET($DS$3,0,0,'Données projet'!$E$14+1,1))-AVERAGE(OFFSET($H$3,0,0,'Données projet'!$E$14+1,1))</f>
        <v>304.1100958939968</v>
      </c>
      <c r="DU76" s="62">
        <f t="shared" si="98"/>
        <v>184.1255966824568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3.4615384615384643</v>
      </c>
      <c r="EJ76" s="13">
        <f>IF('Données projet'!$A$192&gt;35,EJ75+EI76-ER75,IF(A76&lt;'Données projet'!$A$192,$EG$205^A76,IF(A76='Données projet'!$A$192,'Données projet'!$B$192,EJ75+EI76-ER75)))</f>
        <v>186.02564102564088</v>
      </c>
      <c r="EK76" s="18">
        <f>EJ76*VLOOKUP('Données projet'!$B$15,Paramètres!$A$1:$I$89,3,0)*VLOOKUP('Données projet'!$B$15,Paramètres!$A$1:$I$89,5,0)</f>
        <v>188.62999999999985</v>
      </c>
      <c r="EL76" s="14">
        <f t="shared" si="99"/>
        <v>47.236937852852492</v>
      </c>
      <c r="EM76" s="22">
        <f t="shared" si="73"/>
        <v>410.80158342705113</v>
      </c>
      <c r="EN76" s="62">
        <f t="shared" si="74"/>
        <v>665.29808207455881</v>
      </c>
      <c r="EO76" s="62">
        <f ca="1">AVERAGE(OFFSET($EN$3,0,0,'Données projet'!$E$15+1,1))-AVERAGE(OFFSET($H$3,0,0,'Données projet'!$E$15+1,1))</f>
        <v>435.03433721979218</v>
      </c>
      <c r="EP76" s="62">
        <f t="shared" si="100"/>
        <v>267.10015759286387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3.4615384615384643</v>
      </c>
      <c r="FE76" s="13">
        <f>IF('Données projet'!$A$218&gt;35,FE75+FD76-FM75,IF(A76&lt;'Données projet'!$A$218,$FB$205^A76,IF(A76='Données projet'!$A$218,'Données projet'!$B$218,FE75+FD76-FM75)))</f>
        <v>186.02564102564088</v>
      </c>
      <c r="FF76" s="18">
        <f>FE76*VLOOKUP('Données projet'!$B$16,Paramètres!$A$1:$I$89,3,0)*VLOOKUP('Données projet'!$B$16,Paramètres!$A$1:$I$89,5,0)</f>
        <v>194.43399999999986</v>
      </c>
      <c r="FG76" s="14">
        <f t="shared" si="101"/>
        <v>48.518927278356934</v>
      </c>
      <c r="FH76" s="22">
        <f t="shared" si="76"/>
        <v>423.14301500980469</v>
      </c>
      <c r="FI76" s="62">
        <f t="shared" si="77"/>
        <v>677.63951365731236</v>
      </c>
      <c r="FJ76" s="62">
        <f ca="1">AVERAGE(OFFSET($FI$3,0,0,'Données projet'!$E$16+1,1))-AVERAGE(OFFSET($H$3,0,0,'Données projet'!$E$16+1,1))</f>
        <v>445.15313998584293</v>
      </c>
      <c r="FK76" s="62">
        <f t="shared" si="102"/>
        <v>272.85357736694834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1.8</v>
      </c>
      <c r="FZ76" s="13">
        <f>IF('Données projet'!$A$244&gt;35,FZ75+FY76-GH75,IF(A76&lt;'Données projet'!$A$244,$FW$205^A76,IF(A76='Données projet'!$A$244,'Données projet'!$B$244,FZ75+FY76-GH75)))</f>
        <v>151.39999999999986</v>
      </c>
      <c r="GA76" s="18">
        <f>FZ76*VLOOKUP('Données projet'!$B$17,Paramètres!$A$1:$I$89,3,0)*VLOOKUP('Données projet'!$B$17,Paramètres!$A$1:$I$89,5,0)</f>
        <v>132.2630399999999</v>
      </c>
      <c r="GB76" s="14">
        <f t="shared" si="103"/>
        <v>34.518755036434797</v>
      </c>
      <c r="GC76" s="22">
        <f t="shared" si="79"/>
        <v>290.47829302179042</v>
      </c>
      <c r="GD76" s="62">
        <f t="shared" si="80"/>
        <v>544.97479166929816</v>
      </c>
      <c r="GE76" s="62">
        <f ca="1">AVERAGE(OFFSET($GD$3,0,0,'Données projet'!$E$17+1,1))-AVERAGE(OFFSET($H$3,0,0,'Données projet'!$E$17+1,1))</f>
        <v>248.82613595888964</v>
      </c>
      <c r="GF76" s="62">
        <f t="shared" si="104"/>
        <v>255.8298580882084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135.66666666666666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>
        <f>VLOOKUP(A77,'Données projet'!$A$35:$I$55,2,0)</f>
        <v>227.42307692307691</v>
      </c>
      <c r="L77" s="13">
        <f>VLOOKUP(A77,'Données projet'!$A$35:$I$55,9,0)</f>
        <v>5.3778846153846125</v>
      </c>
      <c r="M77" s="13">
        <f t="array" ref="M77">INDEX(L:L,MIN(IF(ISNUMBER(L77:L273),ROW(L77:L273),"")))</f>
        <v>5.3778846153846125</v>
      </c>
      <c r="N77" s="14">
        <f>IF('Données projet'!$A$36&gt;35,N76+M77-V76,IF(A77&lt;'Données projet'!$A$36,$K$205^A77,IF(A77='Données projet'!$A$36,'Données projet'!$B$36,N76+M77-V76)))</f>
        <v>227.42307692307691</v>
      </c>
      <c r="O77" s="14">
        <f>N77*VLOOKUP('Données projet'!$B$9,Paramètres!$A$1:$I$89,3,0)*VLOOKUP('Données projet'!$B$9,Paramètres!$A$1:$I$89,5,0)</f>
        <v>133.04249999999999</v>
      </c>
      <c r="P77" s="14">
        <f t="shared" si="87"/>
        <v>34.698442387497821</v>
      </c>
      <c r="Q77" s="22">
        <f t="shared" si="54"/>
        <v>292.14880799155861</v>
      </c>
      <c r="R77" s="62">
        <f t="shared" si="55"/>
        <v>547.3190388947105</v>
      </c>
      <c r="S77" s="62">
        <f ca="1">AVERAGE(OFFSET($R$3,0,0,'Données projet'!$E$9+1,1))-AVERAGE(OFFSET($H$3,0,0,'Données projet'!$E$9+1,1))</f>
        <v>221.18884567967481</v>
      </c>
      <c r="T77" s="62">
        <f t="shared" si="88"/>
        <v>189.31596996710888</v>
      </c>
      <c r="U77" s="16">
        <f>IF(ISNA(VLOOKUP(A77,'Données projet'!$A$35:$I$55,3,0)),0,VLOOKUP(A77,'Données projet'!$A$35:$I$55,3,0))</f>
        <v>3</v>
      </c>
      <c r="V77" s="16">
        <f>IF(ISNA(VLOOKUP(A77,'Données projet'!$A$35:$I$55,4,0)),0,VLOOKUP(A77,'Données projet'!$A$35:$I$55,4,0))</f>
        <v>114.9153846153846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1.5783333333333318</v>
      </c>
      <c r="AI77" s="14">
        <f>IF('Données projet'!$A$62&gt;35,AI76+AH77-AQ76,IF(A77&lt;'Données projet'!$A$62,$AF$205^A77,IF(A77='Données projet'!$A$62,'Données projet'!$B$62,AI76+AH77-AQ76)))</f>
        <v>90.675833333333273</v>
      </c>
      <c r="AJ77" s="14">
        <f>AI77*VLOOKUP('Données projet'!$B$10,Paramètres!$A$1:$I$89,3,0)*VLOOKUP('Données projet'!$B$10,Paramètres!$A$1:$I$89,5,0)</f>
        <v>104.45855999999993</v>
      </c>
      <c r="AK77" s="14">
        <f t="shared" si="89"/>
        <v>28.021476409089832</v>
      </c>
      <c r="AL77" s="22">
        <f t="shared" si="58"/>
        <v>230.736063412498</v>
      </c>
      <c r="AM77" s="62">
        <f t="shared" si="59"/>
        <v>485.90629431564992</v>
      </c>
      <c r="AN77" s="62">
        <f ca="1">AVERAGE(OFFSET($AM$3,0,0,'Données projet'!$E$10+1,1))-AVERAGE(OFFSET($H$3,0,0,'Données projet'!$E$10+1,1))</f>
        <v>314.72063458462026</v>
      </c>
      <c r="AO77" s="62">
        <f t="shared" si="90"/>
        <v>216.4380325968244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3.4615384615384643</v>
      </c>
      <c r="BD77" s="13">
        <f>IF('Données projet'!$A$88&gt;35,BD76+BC77-BL76,IF(A77&lt;'Données projet'!$A$88,$BA$205^A77,IF(A77='Données projet'!$A$88,'Données projet'!$B$88,BD76+BC77-BL76)))</f>
        <v>189.48717948717933</v>
      </c>
      <c r="BE77" s="14">
        <f>BD77*VLOOKUP('Données projet'!$B$11,Paramètres!$A$1:$I$89,3,0)*VLOOKUP('Données projet'!$B$11,Paramètres!$A$1:$I$89,5,0)</f>
        <v>203.96399999999983</v>
      </c>
      <c r="BF77" s="14">
        <f t="shared" si="91"/>
        <v>50.614337369874121</v>
      </c>
      <c r="BG77" s="22">
        <f t="shared" si="61"/>
        <v>443.39060425253047</v>
      </c>
      <c r="BH77" s="62">
        <f t="shared" si="62"/>
        <v>698.56083515568241</v>
      </c>
      <c r="BI77" s="62">
        <f ca="1">AVERAGE(OFFSET($BH$3,0,0,'Données projet'!$E$11+1,1))-AVERAGE(OFFSET($H$3,0,0,'Données projet'!$E$11+1,1))</f>
        <v>455.26558725507834</v>
      </c>
      <c r="BJ77" s="62">
        <f t="shared" si="92"/>
        <v>278.60310966788552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2.2600000000000025</v>
      </c>
      <c r="BY77" s="13">
        <f>IF('Données projet'!$A$114&gt;35,BY76+BX77-CG76,IF(A77&lt;'Données projet'!$A$114,$BV$205^A77,IF(A77='Données projet'!$A$114,'Données projet'!$B$114,BY76+BX77-CG76)))</f>
        <v>275.93999999999983</v>
      </c>
      <c r="BZ77" s="14">
        <f>BY77*VLOOKUP('Données projet'!$B$12,Paramètres!$A$1:$I$89,3,0)*VLOOKUP('Données projet'!$B$12,Paramètres!$A$1:$I$89,5,0)</f>
        <v>143.48879999999991</v>
      </c>
      <c r="CA77" s="14">
        <f t="shared" si="93"/>
        <v>37.095092027878849</v>
      </c>
      <c r="CB77" s="22">
        <f t="shared" si="64"/>
        <v>314.51694528188881</v>
      </c>
      <c r="CC77" s="62">
        <f t="shared" si="65"/>
        <v>569.6871761850407</v>
      </c>
      <c r="CD77" s="62">
        <f ca="1">AVERAGE(OFFSET($CC$3,0,0,'Données projet'!$E$12+1,1))-AVERAGE(OFFSET($H$3,0,0,'Données projet'!$E$12+1,1))</f>
        <v>300.72820267660154</v>
      </c>
      <c r="CE77" s="62">
        <f t="shared" si="94"/>
        <v>228.35388778608589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3.4615384615384643</v>
      </c>
      <c r="CT77" s="13">
        <f>IF('Données projet'!$A$140&gt;35,CT76+CS77-DB76,IF(A77&lt;'Données projet'!$A$140,$CQ$205^A77,IF(A77='Données projet'!$A$140,'Données projet'!$B$140,CT76+CS77-DB76)))</f>
        <v>189.48717948717933</v>
      </c>
      <c r="CU77" s="18">
        <f>CT77*VLOOKUP('Données projet'!$B$13,Paramètres!$A$1:$I$89,3,0)*VLOOKUP('Données projet'!$B$13,Paramètres!$A$1:$I$89,5,0)</f>
        <v>162.5799999999999</v>
      </c>
      <c r="CV77" s="14">
        <f t="shared" si="95"/>
        <v>41.423898734556865</v>
      </c>
      <c r="CW77" s="22">
        <f t="shared" si="67"/>
        <v>355.3067902960197</v>
      </c>
      <c r="CX77" s="62">
        <f t="shared" si="68"/>
        <v>610.47702119917165</v>
      </c>
      <c r="CY77" s="62">
        <f ca="1">AVERAGE(OFFSET($CX$3,0,0,'Données projet'!$E$13+1,1))-AVERAGE(OFFSET($H$3,0,0,'Données projet'!$E$13+1,1))</f>
        <v>384.3367849108829</v>
      </c>
      <c r="CZ77" s="62">
        <f t="shared" si="96"/>
        <v>238.2697272367603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9.9551282051282044</v>
      </c>
      <c r="DO77" s="13">
        <f>IF('Données projet'!$A$166&gt;35,DO76+DN77-DW76,IF(A77&lt;'Données projet'!$A$166,$DL$205^A77,IF(A77='Données projet'!$A$166,'Données projet'!$B$166,DO76+DN77-DW76)))</f>
        <v>350.52179487179467</v>
      </c>
      <c r="DP77" s="18">
        <f>DO77*VLOOKUP('Données projet'!$B$14,Paramètres!$A$1:$I$89,3,0)*VLOOKUP('Données projet'!$B$14,Paramètres!$A$1:$I$89,5,0)</f>
        <v>164.0441999999999</v>
      </c>
      <c r="DQ77" s="14">
        <f t="shared" si="97"/>
        <v>41.753366572621168</v>
      </c>
      <c r="DR77" s="22">
        <f t="shared" si="70"/>
        <v>358.43076178064831</v>
      </c>
      <c r="DS77" s="62">
        <f t="shared" si="71"/>
        <v>613.60099268380031</v>
      </c>
      <c r="DT77" s="62">
        <f ca="1">AVERAGE(OFFSET($DS$3,0,0,'Données projet'!$E$14+1,1))-AVERAGE(OFFSET($H$3,0,0,'Données projet'!$E$14+1,1))</f>
        <v>304.1100958939968</v>
      </c>
      <c r="DU77" s="62">
        <f t="shared" si="98"/>
        <v>184.1255966824568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3.4615384615384643</v>
      </c>
      <c r="EJ77" s="13">
        <f>IF('Données projet'!$A$192&gt;35,EJ76+EI77-ER76,IF(A77&lt;'Données projet'!$A$192,$EG$205^A77,IF(A77='Données projet'!$A$192,'Données projet'!$B$192,EJ76+EI77-ER76)))</f>
        <v>189.48717948717933</v>
      </c>
      <c r="EK77" s="18">
        <f>EJ77*VLOOKUP('Données projet'!$B$15,Paramètres!$A$1:$I$89,3,0)*VLOOKUP('Données projet'!$B$15,Paramètres!$A$1:$I$89,5,0)</f>
        <v>192.13999999999987</v>
      </c>
      <c r="EL77" s="14">
        <f t="shared" si="99"/>
        <v>48.012767619276602</v>
      </c>
      <c r="EM77" s="22">
        <f t="shared" si="73"/>
        <v>418.26607027023982</v>
      </c>
      <c r="EN77" s="62">
        <f t="shared" si="74"/>
        <v>673.43630117339171</v>
      </c>
      <c r="EO77" s="62">
        <f ca="1">AVERAGE(OFFSET($EN$3,0,0,'Données projet'!$E$15+1,1))-AVERAGE(OFFSET($H$3,0,0,'Données projet'!$E$15+1,1))</f>
        <v>435.03433721979218</v>
      </c>
      <c r="EP77" s="62">
        <f t="shared" si="100"/>
        <v>267.10015759286387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3.4615384615384643</v>
      </c>
      <c r="FE77" s="13">
        <f>IF('Données projet'!$A$218&gt;35,FE76+FD77-FM76,IF(A77&lt;'Données projet'!$A$218,$FB$205^A77,IF(A77='Données projet'!$A$218,'Données projet'!$B$218,FE76+FD77-FM76)))</f>
        <v>189.48717948717933</v>
      </c>
      <c r="FF77" s="18">
        <f>FE77*VLOOKUP('Données projet'!$B$16,Paramètres!$A$1:$I$89,3,0)*VLOOKUP('Données projet'!$B$16,Paramètres!$A$1:$I$89,5,0)</f>
        <v>198.05199999999988</v>
      </c>
      <c r="FG77" s="14">
        <f t="shared" si="101"/>
        <v>49.315812718619298</v>
      </c>
      <c r="FH77" s="22">
        <f t="shared" si="76"/>
        <v>430.83227381826168</v>
      </c>
      <c r="FI77" s="62">
        <f t="shared" si="77"/>
        <v>686.00250472141363</v>
      </c>
      <c r="FJ77" s="62">
        <f ca="1">AVERAGE(OFFSET($FI$3,0,0,'Données projet'!$E$16+1,1))-AVERAGE(OFFSET($H$3,0,0,'Données projet'!$E$16+1,1))</f>
        <v>445.15313998584293</v>
      </c>
      <c r="FK77" s="62">
        <f t="shared" si="102"/>
        <v>272.85357736694834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1.8</v>
      </c>
      <c r="FZ77" s="13">
        <f>IF('Données projet'!$A$244&gt;35,FZ76+FY77-GH76,IF(A77&lt;'Données projet'!$A$244,$FW$205^A77,IF(A77='Données projet'!$A$244,'Données projet'!$B$244,FZ76+FY77-GH76)))</f>
        <v>153.19999999999987</v>
      </c>
      <c r="GA77" s="18">
        <f>FZ77*VLOOKUP('Données projet'!$B$17,Paramètres!$A$1:$I$89,3,0)*VLOOKUP('Données projet'!$B$17,Paramètres!$A$1:$I$89,5,0)</f>
        <v>133.83551999999992</v>
      </c>
      <c r="GB77" s="14">
        <f t="shared" si="103"/>
        <v>34.881129989958531</v>
      </c>
      <c r="GC77" s="22">
        <f t="shared" si="79"/>
        <v>293.84816539917762</v>
      </c>
      <c r="GD77" s="62">
        <f t="shared" si="80"/>
        <v>549.01839630232962</v>
      </c>
      <c r="GE77" s="62">
        <f ca="1">AVERAGE(OFFSET($GD$3,0,0,'Données projet'!$E$17+1,1))-AVERAGE(OFFSET($H$3,0,0,'Données projet'!$E$17+1,1))</f>
        <v>248.82613595888964</v>
      </c>
      <c r="GF77" s="62">
        <f t="shared" si="104"/>
        <v>255.8298580882084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135.66666666666666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3.5471153846153847</v>
      </c>
      <c r="N78" s="14">
        <f>IF('Données projet'!$A$36&gt;35,N77+M78-V77,IF(A78&lt;'Données projet'!$A$36,$K$205^A78,IF(A78='Données projet'!$A$36,'Données projet'!$B$36,N77+M78-V77)))</f>
        <v>116.05480769230769</v>
      </c>
      <c r="O78" s="14">
        <f>N78*VLOOKUP('Données projet'!$B$9,Paramètres!$A$1:$I$89,3,0)*VLOOKUP('Données projet'!$B$9,Paramètres!$A$1:$I$89,5,0)</f>
        <v>67.892062500000009</v>
      </c>
      <c r="P78" s="14">
        <f t="shared" si="87"/>
        <v>19.149054506777464</v>
      </c>
      <c r="Q78" s="22">
        <f t="shared" si="54"/>
        <v>151.59661212013742</v>
      </c>
      <c r="R78" s="62">
        <f t="shared" si="55"/>
        <v>407.42888753053779</v>
      </c>
      <c r="S78" s="62">
        <f ca="1">AVERAGE(OFFSET($R$3,0,0,'Données projet'!$E$9+1,1))-AVERAGE(OFFSET($H$3,0,0,'Données projet'!$E$9+1,1))</f>
        <v>221.18884567967481</v>
      </c>
      <c r="T78" s="62">
        <f t="shared" si="88"/>
        <v>189.31596996710888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1.5783333333333318</v>
      </c>
      <c r="AI78" s="14">
        <f>IF('Données projet'!$A$62&gt;35,AI77+AH78-AQ77,IF(A78&lt;'Données projet'!$A$62,$AF$205^A78,IF(A78='Données projet'!$A$62,'Données projet'!$B$62,AI77+AH78-AQ77)))</f>
        <v>92.254166666666606</v>
      </c>
      <c r="AJ78" s="14">
        <f>AI78*VLOOKUP('Données projet'!$B$10,Paramètres!$A$1:$I$89,3,0)*VLOOKUP('Données projet'!$B$10,Paramètres!$A$1:$I$89,5,0)</f>
        <v>106.27679999999992</v>
      </c>
      <c r="AK78" s="14">
        <f t="shared" si="89"/>
        <v>28.45201941300353</v>
      </c>
      <c r="AL78" s="22">
        <f t="shared" si="58"/>
        <v>234.65269381098105</v>
      </c>
      <c r="AM78" s="62">
        <f t="shared" si="59"/>
        <v>490.48496922138145</v>
      </c>
      <c r="AN78" s="62">
        <f ca="1">AVERAGE(OFFSET($AM$3,0,0,'Données projet'!$E$10+1,1))-AVERAGE(OFFSET($H$3,0,0,'Données projet'!$E$10+1,1))</f>
        <v>314.72063458462026</v>
      </c>
      <c r="AO78" s="62">
        <f t="shared" si="90"/>
        <v>216.4380325968244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192.94871794871796</v>
      </c>
      <c r="BB78" s="13">
        <f>VLOOKUP(A78,'Données projet'!$A$87:$I$107,9,0)</f>
        <v>3.4615384615384643</v>
      </c>
      <c r="BC78" s="13">
        <f t="array" ref="BC78">INDEX(BB:BB,MIN(IF(ISNUMBER(BB78:BB274),ROW(BB78:BB274),"")))</f>
        <v>3.4615384615384643</v>
      </c>
      <c r="BD78" s="13">
        <f>IF('Données projet'!$A$88&gt;35,BD77+BC78-BL77,IF(A78&lt;'Données projet'!$A$88,$BA$205^A78,IF(A78='Données projet'!$A$88,'Données projet'!$B$88,BD77+BC78-BL77)))</f>
        <v>192.94871794871779</v>
      </c>
      <c r="BE78" s="14">
        <f>BD78*VLOOKUP('Données projet'!$B$11,Paramètres!$A$1:$I$89,3,0)*VLOOKUP('Données projet'!$B$11,Paramètres!$A$1:$I$89,5,0)</f>
        <v>207.68999999999983</v>
      </c>
      <c r="BF78" s="14">
        <f t="shared" si="91"/>
        <v>51.430468080360896</v>
      </c>
      <c r="BG78" s="22">
        <f t="shared" si="61"/>
        <v>451.30148190662823</v>
      </c>
      <c r="BH78" s="62">
        <f t="shared" si="62"/>
        <v>707.13375731702854</v>
      </c>
      <c r="BI78" s="62">
        <f ca="1">AVERAGE(OFFSET($BH$3,0,0,'Données projet'!$E$11+1,1))-AVERAGE(OFFSET($H$3,0,0,'Données projet'!$E$11+1,1))</f>
        <v>455.26558725507834</v>
      </c>
      <c r="BJ78" s="62">
        <f t="shared" si="92"/>
        <v>278.60310966788552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278.2</v>
      </c>
      <c r="BW78" s="13">
        <f>VLOOKUP(A78,'Données projet'!$A$113:$I$133,9,0)</f>
        <v>2.2600000000000025</v>
      </c>
      <c r="BX78" s="13">
        <f t="array" ref="BX78">INDEX(BW:BW,MIN(IF(ISNUMBER(BW78:BW274),ROW(BW78:BW274),"")))</f>
        <v>2.2600000000000025</v>
      </c>
      <c r="BY78" s="13">
        <f>IF('Données projet'!$A$114&gt;35,BY77+BX78-CG77,IF(A78&lt;'Données projet'!$A$114,$BV$205^A78,IF(A78='Données projet'!$A$114,'Données projet'!$B$114,BY77+BX78-CG77)))</f>
        <v>278.19999999999982</v>
      </c>
      <c r="BZ78" s="14">
        <f>BY78*VLOOKUP('Données projet'!$B$12,Paramètres!$A$1:$I$89,3,0)*VLOOKUP('Données projet'!$B$12,Paramètres!$A$1:$I$89,5,0)</f>
        <v>144.6639999999999</v>
      </c>
      <c r="CA78" s="14">
        <f t="shared" si="93"/>
        <v>37.363416018158652</v>
      </c>
      <c r="CB78" s="22">
        <f t="shared" si="64"/>
        <v>317.03108289829282</v>
      </c>
      <c r="CC78" s="62">
        <f t="shared" si="65"/>
        <v>572.86335830869325</v>
      </c>
      <c r="CD78" s="62">
        <f ca="1">AVERAGE(OFFSET($CC$3,0,0,'Données projet'!$E$12+1,1))-AVERAGE(OFFSET($H$3,0,0,'Données projet'!$E$12+1,1))</f>
        <v>300.72820267660154</v>
      </c>
      <c r="CE78" s="62">
        <f t="shared" si="94"/>
        <v>228.35388778608589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192.94871794871796</v>
      </c>
      <c r="CR78" s="13">
        <f>VLOOKUP(A78,'Données projet'!$A$139:$I$159,9,0)</f>
        <v>3.4615384615384643</v>
      </c>
      <c r="CS78" s="13">
        <f t="array" ref="CS78">INDEX(CR:CR,MIN(IF(ISNUMBER(CR78:CR274),ROW(CR78:CR274),"")))</f>
        <v>3.4615384615384643</v>
      </c>
      <c r="CT78" s="13">
        <f>IF('Données projet'!$A$140&gt;35,CT77+CS78-DB77,IF(A78&lt;'Données projet'!$A$140,$CQ$205^A78,IF(A78='Données projet'!$A$140,'Données projet'!$B$140,CT77+CS78-DB77)))</f>
        <v>192.94871794871779</v>
      </c>
      <c r="CU78" s="18">
        <f>CT78*VLOOKUP('Données projet'!$B$13,Paramètres!$A$1:$I$89,3,0)*VLOOKUP('Données projet'!$B$13,Paramètres!$A$1:$I$89,5,0)</f>
        <v>165.54999999999987</v>
      </c>
      <c r="CV78" s="14">
        <f t="shared" si="95"/>
        <v>42.091838248578604</v>
      </c>
      <c r="CW78" s="22">
        <f t="shared" si="67"/>
        <v>361.64286828294081</v>
      </c>
      <c r="CX78" s="62">
        <f t="shared" si="68"/>
        <v>617.47514369334112</v>
      </c>
      <c r="CY78" s="62">
        <f ca="1">AVERAGE(OFFSET($CX$3,0,0,'Données projet'!$E$13+1,1))-AVERAGE(OFFSET($H$3,0,0,'Données projet'!$E$13+1,1))</f>
        <v>384.3367849108829</v>
      </c>
      <c r="CZ78" s="62">
        <f t="shared" si="96"/>
        <v>238.2697272367603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360.47692307692307</v>
      </c>
      <c r="DM78" s="13">
        <f>VLOOKUP(A78,'Données projet'!$A$165:$I$185,9,0)</f>
        <v>9.9551282051282044</v>
      </c>
      <c r="DN78" s="13">
        <f t="array" ref="DN78">INDEX(DM:DM,MIN(IF(ISNUMBER(DM78:DM274),ROW(DM78:DM274),"")))</f>
        <v>9.9551282051282044</v>
      </c>
      <c r="DO78" s="13">
        <f>IF('Données projet'!$A$166&gt;35,DO77+DN78-DW77,IF(A78&lt;'Données projet'!$A$166,$DL$205^A78,IF(A78='Données projet'!$A$166,'Données projet'!$B$166,DO77+DN78-DW77)))</f>
        <v>360.47692307692284</v>
      </c>
      <c r="DP78" s="18">
        <f>DO78*VLOOKUP('Données projet'!$B$14,Paramètres!$A$1:$I$89,3,0)*VLOOKUP('Données projet'!$B$14,Paramètres!$A$1:$I$89,5,0)</f>
        <v>168.70319999999987</v>
      </c>
      <c r="DQ78" s="14">
        <f t="shared" si="97"/>
        <v>42.799454211954576</v>
      </c>
      <c r="DR78" s="22">
        <f t="shared" si="70"/>
        <v>368.36712275248732</v>
      </c>
      <c r="DS78" s="62">
        <f t="shared" si="71"/>
        <v>624.19939816288775</v>
      </c>
      <c r="DT78" s="62">
        <f ca="1">AVERAGE(OFFSET($DS$3,0,0,'Données projet'!$E$14+1,1))-AVERAGE(OFFSET($H$3,0,0,'Données projet'!$E$14+1,1))</f>
        <v>304.1100958939968</v>
      </c>
      <c r="DU78" s="62">
        <f t="shared" si="98"/>
        <v>184.1255966824568</v>
      </c>
      <c r="DV78" s="16">
        <f>IF(ISNA(VLOOKUP(A78,'Données projet'!$A$165:$I$185,3,0)),0,VLOOKUP(A78,'Données projet'!$A$165:$I$185,3,0))</f>
        <v>3</v>
      </c>
      <c r="DW78" s="16">
        <f>IF(ISNA(VLOOKUP(A78,'Données projet'!$A$165:$I$185,4,0)),0,VLOOKUP(A78,'Données projet'!$A$165:$I$185,4,0))</f>
        <v>85.361538461538458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192.94871794871796</v>
      </c>
      <c r="EH78" s="13">
        <f>VLOOKUP(A78,'Données projet'!$A$191:$I$211,9,0)</f>
        <v>3.4615384615384643</v>
      </c>
      <c r="EI78" s="13">
        <f t="array" ref="EI78">INDEX(EH:EH,MIN(IF(ISNUMBER(EH78:EH274),ROW(EH78:EH274),"")))</f>
        <v>3.4615384615384643</v>
      </c>
      <c r="EJ78" s="13">
        <f>IF('Données projet'!$A$192&gt;35,EJ77+EI78-ER77,IF(A78&lt;'Données projet'!$A$192,$EG$205^A78,IF(A78='Données projet'!$A$192,'Données projet'!$B$192,EJ77+EI78-ER77)))</f>
        <v>192.94871794871779</v>
      </c>
      <c r="EK78" s="18">
        <f>EJ78*VLOOKUP('Données projet'!$B$15,Paramètres!$A$1:$I$89,3,0)*VLOOKUP('Données projet'!$B$15,Paramètres!$A$1:$I$89,5,0)</f>
        <v>195.64999999999986</v>
      </c>
      <c r="EL78" s="14">
        <f t="shared" si="99"/>
        <v>48.786949327182896</v>
      </c>
      <c r="EM78" s="22">
        <f t="shared" si="73"/>
        <v>425.72768674484331</v>
      </c>
      <c r="EN78" s="62">
        <f t="shared" si="74"/>
        <v>681.55996215524374</v>
      </c>
      <c r="EO78" s="62">
        <f ca="1">AVERAGE(OFFSET($EN$3,0,0,'Données projet'!$E$15+1,1))-AVERAGE(OFFSET($H$3,0,0,'Données projet'!$E$15+1,1))</f>
        <v>435.03433721979218</v>
      </c>
      <c r="EP78" s="62">
        <f t="shared" si="100"/>
        <v>267.10015759286387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192.94871794871796</v>
      </c>
      <c r="FC78" s="13">
        <f>VLOOKUP(A78,'Données projet'!$A$217:$I$237,9,0)</f>
        <v>3.4615384615384643</v>
      </c>
      <c r="FD78" s="13">
        <f t="array" ref="FD78">INDEX(FC:FC,MIN(IF(ISNUMBER(FC78:FC274),ROW(FC78:FC274),"")))</f>
        <v>3.4615384615384643</v>
      </c>
      <c r="FE78" s="13">
        <f>IF('Données projet'!$A$218&gt;35,FE77+FD78-FM77,IF(A78&lt;'Données projet'!$A$218,$FB$205^A78,IF(A78='Données projet'!$A$218,'Données projet'!$B$218,FE77+FD78-FM77)))</f>
        <v>192.94871794871779</v>
      </c>
      <c r="FF78" s="18">
        <f>FE78*VLOOKUP('Données projet'!$B$16,Paramètres!$A$1:$I$89,3,0)*VLOOKUP('Données projet'!$B$16,Paramètres!$A$1:$I$89,5,0)</f>
        <v>201.66999999999987</v>
      </c>
      <c r="FG78" s="14">
        <f t="shared" si="101"/>
        <v>50.111005372790743</v>
      </c>
      <c r="FH78" s="22">
        <f t="shared" si="76"/>
        <v>438.51858435761028</v>
      </c>
      <c r="FI78" s="62">
        <f t="shared" si="77"/>
        <v>694.35085976801065</v>
      </c>
      <c r="FJ78" s="62">
        <f ca="1">AVERAGE(OFFSET($FI$3,0,0,'Données projet'!$E$16+1,1))-AVERAGE(OFFSET($H$3,0,0,'Données projet'!$E$16+1,1))</f>
        <v>445.15313998584293</v>
      </c>
      <c r="FK78" s="62">
        <f t="shared" si="102"/>
        <v>272.85357736694834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155</v>
      </c>
      <c r="FX78" s="13">
        <f>VLOOKUP(A78,'Données projet'!$A$243:$I$263,9,0)</f>
        <v>1.8</v>
      </c>
      <c r="FY78" s="13">
        <f t="array" ref="FY78">INDEX(FX:FX,MIN(IF(ISNUMBER(FX78:FX274),ROW(FX78:FX274),"")))</f>
        <v>1.8</v>
      </c>
      <c r="FZ78" s="13">
        <f>IF('Données projet'!$A$244&gt;35,FZ77+FY78-GH77,IF(A78&lt;'Données projet'!$A$244,$FW$205^A78,IF(A78='Données projet'!$A$244,'Données projet'!$B$244,FZ77+FY78-GH77)))</f>
        <v>154.99999999999989</v>
      </c>
      <c r="GA78" s="18">
        <f>FZ78*VLOOKUP('Données projet'!$B$17,Paramètres!$A$1:$I$89,3,0)*VLOOKUP('Données projet'!$B$17,Paramètres!$A$1:$I$89,5,0)</f>
        <v>135.4079999999999</v>
      </c>
      <c r="GB78" s="14">
        <f t="shared" si="103"/>
        <v>35.243009677478696</v>
      </c>
      <c r="GC78" s="22">
        <f t="shared" si="79"/>
        <v>297.21717518827523</v>
      </c>
      <c r="GD78" s="62">
        <f t="shared" si="80"/>
        <v>553.04945059867555</v>
      </c>
      <c r="GE78" s="62">
        <f ca="1">AVERAGE(OFFSET($GD$3,0,0,'Données projet'!$E$17+1,1))-AVERAGE(OFFSET($H$3,0,0,'Données projet'!$E$17+1,1))</f>
        <v>248.82613595888964</v>
      </c>
      <c r="GF78" s="62">
        <f t="shared" si="104"/>
        <v>255.8298580882084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135.66666666666666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3.5471153846153847</v>
      </c>
      <c r="N79" s="14">
        <f>IF('Données projet'!$A$36&gt;35,N78+M79-V78,IF(A79&lt;'Données projet'!$A$36,$K$205^A79,IF(A79='Données projet'!$A$36,'Données projet'!$B$36,N78+M79-V78)))</f>
        <v>119.60192307692307</v>
      </c>
      <c r="O79" s="14">
        <f>N79*VLOOKUP('Données projet'!$B$9,Paramètres!$A$1:$I$89,3,0)*VLOOKUP('Données projet'!$B$9,Paramètres!$A$1:$I$89,5,0)</f>
        <v>69.967124999999996</v>
      </c>
      <c r="P79" s="14">
        <f t="shared" si="87"/>
        <v>19.665293327030454</v>
      </c>
      <c r="Q79" s="22">
        <f t="shared" si="54"/>
        <v>156.10979525291137</v>
      </c>
      <c r="R79" s="62">
        <f t="shared" si="55"/>
        <v>412.59263017846922</v>
      </c>
      <c r="S79" s="62">
        <f ca="1">AVERAGE(OFFSET($R$3,0,0,'Données projet'!$E$9+1,1))-AVERAGE(OFFSET($H$3,0,0,'Données projet'!$E$9+1,1))</f>
        <v>221.18884567967481</v>
      </c>
      <c r="T79" s="62">
        <f t="shared" si="88"/>
        <v>189.31596996710888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1.5783333333333318</v>
      </c>
      <c r="AI79" s="14">
        <f>IF('Données projet'!$A$62&gt;35,AI78+AH79-AQ78,IF(A79&lt;'Données projet'!$A$62,$AF$205^A79,IF(A79='Données projet'!$A$62,'Données projet'!$B$62,AI78+AH79-AQ78)))</f>
        <v>93.832499999999939</v>
      </c>
      <c r="AJ79" s="14">
        <f>AI79*VLOOKUP('Données projet'!$B$10,Paramètres!$A$1:$I$89,3,0)*VLOOKUP('Données projet'!$B$10,Paramètres!$A$1:$I$89,5,0)</f>
        <v>108.09503999999993</v>
      </c>
      <c r="AK79" s="14">
        <f t="shared" si="89"/>
        <v>28.881705828313297</v>
      </c>
      <c r="AL79" s="22">
        <f t="shared" si="58"/>
        <v>238.56783231764553</v>
      </c>
      <c r="AM79" s="62">
        <f t="shared" si="59"/>
        <v>495.05066724320341</v>
      </c>
      <c r="AN79" s="62">
        <f ca="1">AVERAGE(OFFSET($AM$3,0,0,'Données projet'!$E$10+1,1))-AVERAGE(OFFSET($H$3,0,0,'Données projet'!$E$10+1,1))</f>
        <v>314.72063458462026</v>
      </c>
      <c r="AO79" s="62">
        <f t="shared" si="90"/>
        <v>216.4380325968244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3.3333333333333313</v>
      </c>
      <c r="BD79" s="13">
        <f>IF('Données projet'!$A$88&gt;35,BD78+BC79-BL78,IF(A79&lt;'Données projet'!$A$88,$BA$205^A79,IF(A79='Données projet'!$A$88,'Données projet'!$B$88,BD78+BC79-BL78)))</f>
        <v>196.28205128205113</v>
      </c>
      <c r="BE79" s="14">
        <f>BD79*VLOOKUP('Données projet'!$B$11,Paramètres!$A$1:$I$89,3,0)*VLOOKUP('Données projet'!$B$11,Paramètres!$A$1:$I$89,5,0)</f>
        <v>211.27799999999979</v>
      </c>
      <c r="BF79" s="14">
        <f t="shared" si="91"/>
        <v>52.214762159540925</v>
      </c>
      <c r="BG79" s="22">
        <f t="shared" si="61"/>
        <v>458.91656076120006</v>
      </c>
      <c r="BH79" s="62">
        <f t="shared" si="62"/>
        <v>715.399395686758</v>
      </c>
      <c r="BI79" s="62">
        <f ca="1">AVERAGE(OFFSET($BH$3,0,0,'Données projet'!$E$11+1,1))-AVERAGE(OFFSET($H$3,0,0,'Données projet'!$E$11+1,1))</f>
        <v>455.26558725507834</v>
      </c>
      <c r="BJ79" s="62">
        <f t="shared" si="92"/>
        <v>278.60310966788552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2.0200000000000045</v>
      </c>
      <c r="BY79" s="13">
        <f>IF('Données projet'!$A$114&gt;35,BY78+BX79-CG78,IF(A79&lt;'Données projet'!$A$114,$BV$205^A79,IF(A79='Données projet'!$A$114,'Données projet'!$B$114,BY78+BX79-CG78)))</f>
        <v>280.2199999999998</v>
      </c>
      <c r="BZ79" s="14">
        <f>BY79*VLOOKUP('Données projet'!$B$12,Paramètres!$A$1:$I$89,3,0)*VLOOKUP('Données projet'!$B$12,Paramètres!$A$1:$I$89,5,0)</f>
        <v>145.7143999999999</v>
      </c>
      <c r="CA79" s="14">
        <f t="shared" si="93"/>
        <v>37.603030716193146</v>
      </c>
      <c r="CB79" s="22">
        <f t="shared" si="64"/>
        <v>319.27785849736955</v>
      </c>
      <c r="CC79" s="62">
        <f t="shared" si="65"/>
        <v>575.76069342292749</v>
      </c>
      <c r="CD79" s="62">
        <f ca="1">AVERAGE(OFFSET($CC$3,0,0,'Données projet'!$E$12+1,1))-AVERAGE(OFFSET($H$3,0,0,'Données projet'!$E$12+1,1))</f>
        <v>300.72820267660154</v>
      </c>
      <c r="CE79" s="62">
        <f t="shared" si="94"/>
        <v>228.35388778608589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3.3333333333333313</v>
      </c>
      <c r="CT79" s="13">
        <f>IF('Données projet'!$A$140&gt;35,CT78+CS79-DB78,IF(A79&lt;'Données projet'!$A$140,$CQ$205^A79,IF(A79='Données projet'!$A$140,'Données projet'!$B$140,CT78+CS79-DB78)))</f>
        <v>196.28205128205113</v>
      </c>
      <c r="CU79" s="18">
        <f>CT79*VLOOKUP('Données projet'!$B$13,Paramètres!$A$1:$I$89,3,0)*VLOOKUP('Données projet'!$B$13,Paramètres!$A$1:$I$89,5,0)</f>
        <v>168.40999999999988</v>
      </c>
      <c r="CV79" s="14">
        <f t="shared" si="95"/>
        <v>42.733721955889635</v>
      </c>
      <c r="CW79" s="22">
        <f t="shared" si="67"/>
        <v>367.74198240650753</v>
      </c>
      <c r="CX79" s="62">
        <f t="shared" si="68"/>
        <v>624.22481733206541</v>
      </c>
      <c r="CY79" s="62">
        <f ca="1">AVERAGE(OFFSET($CX$3,0,0,'Données projet'!$E$13+1,1))-AVERAGE(OFFSET($H$3,0,0,'Données projet'!$E$13+1,1))</f>
        <v>384.3367849108829</v>
      </c>
      <c r="CZ79" s="62">
        <f t="shared" si="96"/>
        <v>238.2697272367603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8.9320512820512761</v>
      </c>
      <c r="DO79" s="13">
        <f>IF('Données projet'!$A$166&gt;35,DO78+DN79-DW78,IF(A79&lt;'Données projet'!$A$166,$DL$205^A79,IF(A79='Données projet'!$A$166,'Données projet'!$B$166,DO78+DN79-DW78)))</f>
        <v>284.04743589743566</v>
      </c>
      <c r="DP79" s="18">
        <f>DO79*VLOOKUP('Données projet'!$B$14,Paramètres!$A$1:$I$89,3,0)*VLOOKUP('Données projet'!$B$14,Paramètres!$A$1:$I$89,5,0)</f>
        <v>132.93419999999989</v>
      </c>
      <c r="DQ79" s="14">
        <f t="shared" si="97"/>
        <v>34.67348355149219</v>
      </c>
      <c r="DR79" s="22">
        <f t="shared" si="70"/>
        <v>291.91671551884872</v>
      </c>
      <c r="DS79" s="62">
        <f t="shared" si="71"/>
        <v>548.3995504444066</v>
      </c>
      <c r="DT79" s="62">
        <f ca="1">AVERAGE(OFFSET($DS$3,0,0,'Données projet'!$E$14+1,1))-AVERAGE(OFFSET($H$3,0,0,'Données projet'!$E$14+1,1))</f>
        <v>304.1100958939968</v>
      </c>
      <c r="DU79" s="62">
        <f t="shared" si="98"/>
        <v>184.1255966824568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3.3333333333333313</v>
      </c>
      <c r="EJ79" s="13">
        <f>IF('Données projet'!$A$192&gt;35,EJ78+EI79-ER78,IF(A79&lt;'Données projet'!$A$192,$EG$205^A79,IF(A79='Données projet'!$A$192,'Données projet'!$B$192,EJ78+EI79-ER78)))</f>
        <v>196.28205128205113</v>
      </c>
      <c r="EK79" s="18">
        <f>EJ79*VLOOKUP('Données projet'!$B$15,Paramètres!$A$1:$I$89,3,0)*VLOOKUP('Données projet'!$B$15,Paramètres!$A$1:$I$89,5,0)</f>
        <v>199.02999999999986</v>
      </c>
      <c r="EL79" s="14">
        <f t="shared" si="99"/>
        <v>49.530930802109019</v>
      </c>
      <c r="EM79" s="22">
        <f t="shared" si="73"/>
        <v>432.91028781367299</v>
      </c>
      <c r="EN79" s="62">
        <f t="shared" si="74"/>
        <v>689.39312273923088</v>
      </c>
      <c r="EO79" s="62">
        <f ca="1">AVERAGE(OFFSET($EN$3,0,0,'Données projet'!$E$15+1,1))-AVERAGE(OFFSET($H$3,0,0,'Données projet'!$E$15+1,1))</f>
        <v>435.03433721979218</v>
      </c>
      <c r="EP79" s="62">
        <f t="shared" si="100"/>
        <v>267.10015759286387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3.3333333333333313</v>
      </c>
      <c r="FE79" s="13">
        <f>IF('Données projet'!$A$218&gt;35,FE78+FD79-FM78,IF(A79&lt;'Données projet'!$A$218,$FB$205^A79,IF(A79='Données projet'!$A$218,'Données projet'!$B$218,FE78+FD79-FM78)))</f>
        <v>196.28205128205113</v>
      </c>
      <c r="FF79" s="18">
        <f>FE79*VLOOKUP('Données projet'!$B$16,Paramètres!$A$1:$I$89,3,0)*VLOOKUP('Données projet'!$B$16,Paramètres!$A$1:$I$89,5,0)</f>
        <v>205.15399999999985</v>
      </c>
      <c r="FG79" s="14">
        <f t="shared" si="101"/>
        <v>50.875178173128255</v>
      </c>
      <c r="FH79" s="22">
        <f t="shared" si="76"/>
        <v>445.91748531819809</v>
      </c>
      <c r="FI79" s="62">
        <f t="shared" si="77"/>
        <v>702.40032024375591</v>
      </c>
      <c r="FJ79" s="62">
        <f ca="1">AVERAGE(OFFSET($FI$3,0,0,'Données projet'!$E$16+1,1))-AVERAGE(OFFSET($H$3,0,0,'Données projet'!$E$16+1,1))</f>
        <v>445.15313998584293</v>
      </c>
      <c r="FK79" s="62">
        <f t="shared" si="102"/>
        <v>272.85357736694834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1.8</v>
      </c>
      <c r="FZ79" s="13">
        <f>IF('Données projet'!$A$244&gt;35,FZ78+FY79-GH78,IF(A79&lt;'Données projet'!$A$244,$FW$205^A79,IF(A79='Données projet'!$A$244,'Données projet'!$B$244,FZ78+FY79-GH78)))</f>
        <v>156.7999999999999</v>
      </c>
      <c r="GA79" s="18">
        <f>FZ79*VLOOKUP('Données projet'!$B$17,Paramètres!$A$1:$I$89,3,0)*VLOOKUP('Données projet'!$B$17,Paramètres!$A$1:$I$89,5,0)</f>
        <v>136.98047999999991</v>
      </c>
      <c r="GB79" s="14">
        <f t="shared" si="103"/>
        <v>35.604400515895477</v>
      </c>
      <c r="GC79" s="22">
        <f t="shared" si="79"/>
        <v>300.5853335651845</v>
      </c>
      <c r="GD79" s="62">
        <f t="shared" si="80"/>
        <v>557.06816849074244</v>
      </c>
      <c r="GE79" s="62">
        <f ca="1">AVERAGE(OFFSET($GD$3,0,0,'Données projet'!$E$17+1,1))-AVERAGE(OFFSET($H$3,0,0,'Données projet'!$E$17+1,1))</f>
        <v>248.82613595888964</v>
      </c>
      <c r="GF79" s="62">
        <f t="shared" si="104"/>
        <v>255.8298580882084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135.66666666666666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3.5471153846153847</v>
      </c>
      <c r="N80" s="14">
        <f>IF('Données projet'!$A$36&gt;35,N79+M80-V79,IF(A80&lt;'Données projet'!$A$36,$K$205^A80,IF(A80='Données projet'!$A$36,'Données projet'!$B$36,N79+M80-V79)))</f>
        <v>123.14903846153845</v>
      </c>
      <c r="O80" s="14">
        <f>N80*VLOOKUP('Données projet'!$B$9,Paramètres!$A$1:$I$89,3,0)*VLOOKUP('Données projet'!$B$9,Paramètres!$A$1:$I$89,5,0)</f>
        <v>72.042187499999997</v>
      </c>
      <c r="P80" s="14">
        <f t="shared" si="87"/>
        <v>20.179752808447528</v>
      </c>
      <c r="Q80" s="22">
        <f t="shared" si="54"/>
        <v>160.6198793705461</v>
      </c>
      <c r="R80" s="62">
        <f t="shared" si="55"/>
        <v>417.7419880581067</v>
      </c>
      <c r="S80" s="62">
        <f ca="1">AVERAGE(OFFSET($R$3,0,0,'Données projet'!$E$9+1,1))-AVERAGE(OFFSET($H$3,0,0,'Données projet'!$E$9+1,1))</f>
        <v>221.18884567967481</v>
      </c>
      <c r="T80" s="62">
        <f t="shared" si="88"/>
        <v>189.31596996710888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1.5783333333333318</v>
      </c>
      <c r="AI80" s="14">
        <f>IF('Données projet'!$A$62&gt;35,AI79+AH80-AQ79,IF(A80&lt;'Données projet'!$A$62,$AF$205^A80,IF(A80='Données projet'!$A$62,'Données projet'!$B$62,AI79+AH80-AQ79)))</f>
        <v>95.410833333333272</v>
      </c>
      <c r="AJ80" s="14">
        <f>AI80*VLOOKUP('Données projet'!$B$10,Paramètres!$A$1:$I$89,3,0)*VLOOKUP('Données projet'!$B$10,Paramètres!$A$1:$I$89,5,0)</f>
        <v>109.91327999999992</v>
      </c>
      <c r="AK80" s="14">
        <f t="shared" si="89"/>
        <v>29.310551726420417</v>
      </c>
      <c r="AL80" s="22">
        <f t="shared" si="58"/>
        <v>242.48150692351541</v>
      </c>
      <c r="AM80" s="62">
        <f t="shared" si="59"/>
        <v>499.60361561107595</v>
      </c>
      <c r="AN80" s="62">
        <f ca="1">AVERAGE(OFFSET($AM$3,0,0,'Données projet'!$E$10+1,1))-AVERAGE(OFFSET($H$3,0,0,'Données projet'!$E$10+1,1))</f>
        <v>314.72063458462026</v>
      </c>
      <c r="AO80" s="62">
        <f t="shared" si="90"/>
        <v>216.4380325968244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3.3333333333333313</v>
      </c>
      <c r="BD80" s="13">
        <f>IF('Données projet'!$A$88&gt;35,BD79+BC80-BL79,IF(A80&lt;'Données projet'!$A$88,$BA$205^A80,IF(A80='Données projet'!$A$88,'Données projet'!$B$88,BD79+BC80-BL79)))</f>
        <v>199.61538461538447</v>
      </c>
      <c r="BE80" s="14">
        <f>BD80*VLOOKUP('Données projet'!$B$11,Paramètres!$A$1:$I$89,3,0)*VLOOKUP('Données projet'!$B$11,Paramètres!$A$1:$I$89,5,0)</f>
        <v>214.86599999999981</v>
      </c>
      <c r="BF80" s="14">
        <f t="shared" si="91"/>
        <v>52.99750734018285</v>
      </c>
      <c r="BG80" s="22">
        <f t="shared" si="61"/>
        <v>466.52894195081808</v>
      </c>
      <c r="BH80" s="62">
        <f t="shared" si="62"/>
        <v>723.65105063837859</v>
      </c>
      <c r="BI80" s="62">
        <f ca="1">AVERAGE(OFFSET($BH$3,0,0,'Données projet'!$E$11+1,1))-AVERAGE(OFFSET($H$3,0,0,'Données projet'!$E$11+1,1))</f>
        <v>455.26558725507834</v>
      </c>
      <c r="BJ80" s="62">
        <f t="shared" si="92"/>
        <v>278.60310966788552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2.0200000000000045</v>
      </c>
      <c r="BY80" s="13">
        <f>IF('Données projet'!$A$114&gt;35,BY79+BX80-CG79,IF(A80&lt;'Données projet'!$A$114,$BV$205^A80,IF(A80='Données projet'!$A$114,'Données projet'!$B$114,BY79+BX80-CG79)))</f>
        <v>282.23999999999978</v>
      </c>
      <c r="BZ80" s="14">
        <f>BY80*VLOOKUP('Données projet'!$B$12,Paramètres!$A$1:$I$89,3,0)*VLOOKUP('Données projet'!$B$12,Paramètres!$A$1:$I$89,5,0)</f>
        <v>146.76479999999989</v>
      </c>
      <c r="CA80" s="14">
        <f t="shared" si="93"/>
        <v>37.84244443995663</v>
      </c>
      <c r="CB80" s="22">
        <f t="shared" si="64"/>
        <v>321.52428406625762</v>
      </c>
      <c r="CC80" s="62">
        <f t="shared" si="65"/>
        <v>578.64639275381819</v>
      </c>
      <c r="CD80" s="62">
        <f ca="1">AVERAGE(OFFSET($CC$3,0,0,'Données projet'!$E$12+1,1))-AVERAGE(OFFSET($H$3,0,0,'Données projet'!$E$12+1,1))</f>
        <v>300.72820267660154</v>
      </c>
      <c r="CE80" s="62">
        <f t="shared" si="94"/>
        <v>228.35388778608589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3.3333333333333313</v>
      </c>
      <c r="CT80" s="13">
        <f>IF('Données projet'!$A$140&gt;35,CT79+CS80-DB79,IF(A80&lt;'Données projet'!$A$140,$CQ$205^A80,IF(A80='Données projet'!$A$140,'Données projet'!$B$140,CT79+CS80-DB79)))</f>
        <v>199.61538461538447</v>
      </c>
      <c r="CU80" s="18">
        <f>CT80*VLOOKUP('Données projet'!$B$13,Paramètres!$A$1:$I$89,3,0)*VLOOKUP('Données projet'!$B$13,Paramètres!$A$1:$I$89,5,0)</f>
        <v>171.2699999999999</v>
      </c>
      <c r="CV80" s="14">
        <f t="shared" si="95"/>
        <v>43.374338010208952</v>
      </c>
      <c r="CW80" s="22">
        <f t="shared" si="67"/>
        <v>373.83888870111377</v>
      </c>
      <c r="CX80" s="62">
        <f t="shared" si="68"/>
        <v>630.96099738867429</v>
      </c>
      <c r="CY80" s="62">
        <f ca="1">AVERAGE(OFFSET($CX$3,0,0,'Données projet'!$E$13+1,1))-AVERAGE(OFFSET($H$3,0,0,'Données projet'!$E$13+1,1))</f>
        <v>384.3367849108829</v>
      </c>
      <c r="CZ80" s="62">
        <f t="shared" si="96"/>
        <v>238.2697272367603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8.9320512820512761</v>
      </c>
      <c r="DO80" s="13">
        <f>IF('Données projet'!$A$166&gt;35,DO79+DN80-DW79,IF(A80&lt;'Données projet'!$A$166,$DL$205^A80,IF(A80='Données projet'!$A$166,'Données projet'!$B$166,DO79+DN80-DW79)))</f>
        <v>292.97948717948691</v>
      </c>
      <c r="DP80" s="18">
        <f>DO80*VLOOKUP('Données projet'!$B$14,Paramètres!$A$1:$I$89,3,0)*VLOOKUP('Données projet'!$B$14,Paramètres!$A$1:$I$89,5,0)</f>
        <v>137.11439999999988</v>
      </c>
      <c r="DQ80" s="14">
        <f t="shared" si="97"/>
        <v>35.635155920090774</v>
      </c>
      <c r="DR80" s="22">
        <f t="shared" si="70"/>
        <v>300.87214322749122</v>
      </c>
      <c r="DS80" s="62">
        <f t="shared" si="71"/>
        <v>557.99425191505179</v>
      </c>
      <c r="DT80" s="62">
        <f ca="1">AVERAGE(OFFSET($DS$3,0,0,'Données projet'!$E$14+1,1))-AVERAGE(OFFSET($H$3,0,0,'Données projet'!$E$14+1,1))</f>
        <v>304.1100958939968</v>
      </c>
      <c r="DU80" s="62">
        <f t="shared" si="98"/>
        <v>184.1255966824568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3.3333333333333313</v>
      </c>
      <c r="EJ80" s="13">
        <f>IF('Données projet'!$A$192&gt;35,EJ79+EI80-ER79,IF(A80&lt;'Données projet'!$A$192,$EG$205^A80,IF(A80='Données projet'!$A$192,'Données projet'!$B$192,EJ79+EI80-ER79)))</f>
        <v>199.61538461538447</v>
      </c>
      <c r="EK80" s="18">
        <f>EJ80*VLOOKUP('Données projet'!$B$15,Paramètres!$A$1:$I$89,3,0)*VLOOKUP('Données projet'!$B$15,Paramètres!$A$1:$I$89,5,0)</f>
        <v>202.40999999999988</v>
      </c>
      <c r="EL80" s="14">
        <f t="shared" si="99"/>
        <v>50.273442991661817</v>
      </c>
      <c r="EM80" s="22">
        <f t="shared" si="73"/>
        <v>440.09032987714409</v>
      </c>
      <c r="EN80" s="62">
        <f t="shared" si="74"/>
        <v>697.2124385647046</v>
      </c>
      <c r="EO80" s="62">
        <f ca="1">AVERAGE(OFFSET($EN$3,0,0,'Données projet'!$E$15+1,1))-AVERAGE(OFFSET($H$3,0,0,'Données projet'!$E$15+1,1))</f>
        <v>435.03433721979218</v>
      </c>
      <c r="EP80" s="62">
        <f t="shared" si="100"/>
        <v>267.10015759286387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3.3333333333333313</v>
      </c>
      <c r="FE80" s="13">
        <f>IF('Données projet'!$A$218&gt;35,FE79+FD80-FM79,IF(A80&lt;'Données projet'!$A$218,$FB$205^A80,IF(A80='Données projet'!$A$218,'Données projet'!$B$218,FE79+FD80-FM79)))</f>
        <v>199.61538461538447</v>
      </c>
      <c r="FF80" s="18">
        <f>FE80*VLOOKUP('Données projet'!$B$16,Paramètres!$A$1:$I$89,3,0)*VLOOKUP('Données projet'!$B$16,Paramètres!$A$1:$I$89,5,0)</f>
        <v>208.63799999999986</v>
      </c>
      <c r="FG80" s="14">
        <f t="shared" si="101"/>
        <v>51.637841812342764</v>
      </c>
      <c r="FH80" s="22">
        <f t="shared" si="76"/>
        <v>453.31375782316337</v>
      </c>
      <c r="FI80" s="62">
        <f t="shared" si="77"/>
        <v>710.43586651072394</v>
      </c>
      <c r="FJ80" s="62">
        <f ca="1">AVERAGE(OFFSET($FI$3,0,0,'Données projet'!$E$16+1,1))-AVERAGE(OFFSET($H$3,0,0,'Données projet'!$E$16+1,1))</f>
        <v>445.15313998584293</v>
      </c>
      <c r="FK80" s="62">
        <f t="shared" si="102"/>
        <v>272.85357736694834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1.8</v>
      </c>
      <c r="FZ80" s="13">
        <f>IF('Données projet'!$A$244&gt;35,FZ79+FY80-GH79,IF(A80&lt;'Données projet'!$A$244,$FW$205^A80,IF(A80='Données projet'!$A$244,'Données projet'!$B$244,FZ79+FY80-GH79)))</f>
        <v>158.59999999999991</v>
      </c>
      <c r="GA80" s="18">
        <f>FZ80*VLOOKUP('Données projet'!$B$17,Paramètres!$A$1:$I$89,3,0)*VLOOKUP('Données projet'!$B$17,Paramètres!$A$1:$I$89,5,0)</f>
        <v>138.55295999999996</v>
      </c>
      <c r="GB80" s="14">
        <f t="shared" si="103"/>
        <v>35.965308766301796</v>
      </c>
      <c r="GC80" s="22">
        <f t="shared" si="79"/>
        <v>303.95265143464218</v>
      </c>
      <c r="GD80" s="62">
        <f t="shared" si="80"/>
        <v>561.07476012220275</v>
      </c>
      <c r="GE80" s="62">
        <f ca="1">AVERAGE(OFFSET($GD$3,0,0,'Données projet'!$E$17+1,1))-AVERAGE(OFFSET($H$3,0,0,'Données projet'!$E$17+1,1))</f>
        <v>248.82613595888964</v>
      </c>
      <c r="GF80" s="62">
        <f t="shared" si="104"/>
        <v>255.8298580882084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135.66666666666666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3.5471153846153847</v>
      </c>
      <c r="N81" s="14">
        <f>IF('Données projet'!$A$36&gt;35,N80+M81-V80,IF(A81&lt;'Données projet'!$A$36,$K$205^A81,IF(A81='Données projet'!$A$36,'Données projet'!$B$36,N80+M81-V80)))</f>
        <v>126.69615384615383</v>
      </c>
      <c r="O81" s="14">
        <f>N81*VLOOKUP('Données projet'!$B$9,Paramètres!$A$1:$I$89,3,0)*VLOOKUP('Données projet'!$B$9,Paramètres!$A$1:$I$89,5,0)</f>
        <v>74.117249999999999</v>
      </c>
      <c r="P81" s="14">
        <f t="shared" si="87"/>
        <v>20.692490087928007</v>
      </c>
      <c r="Q81" s="22">
        <f t="shared" si="54"/>
        <v>165.12696398647461</v>
      </c>
      <c r="R81" s="62">
        <f t="shared" si="55"/>
        <v>422.87725646546909</v>
      </c>
      <c r="S81" s="62">
        <f ca="1">AVERAGE(OFFSET($R$3,0,0,'Données projet'!$E$9+1,1))-AVERAGE(OFFSET($H$3,0,0,'Données projet'!$E$9+1,1))</f>
        <v>221.18884567967481</v>
      </c>
      <c r="T81" s="62">
        <f t="shared" si="88"/>
        <v>189.31596996710888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1.5783333333333318</v>
      </c>
      <c r="AI81" s="14">
        <f>IF('Données projet'!$A$62&gt;35,AI80+AH81-AQ80,IF(A81&lt;'Données projet'!$A$62,$AF$205^A81,IF(A81='Données projet'!$A$62,'Données projet'!$B$62,AI80+AH81-AQ80)))</f>
        <v>96.989166666666605</v>
      </c>
      <c r="AJ81" s="14">
        <f>AI81*VLOOKUP('Données projet'!$B$10,Paramètres!$A$1:$I$89,3,0)*VLOOKUP('Données projet'!$B$10,Paramètres!$A$1:$I$89,5,0)</f>
        <v>111.73151999999993</v>
      </c>
      <c r="AK81" s="14">
        <f t="shared" si="89"/>
        <v>29.738572616522461</v>
      </c>
      <c r="AL81" s="22">
        <f t="shared" si="58"/>
        <v>246.39374464044309</v>
      </c>
      <c r="AM81" s="62">
        <f t="shared" si="59"/>
        <v>504.1440371194376</v>
      </c>
      <c r="AN81" s="62">
        <f ca="1">AVERAGE(OFFSET($AM$3,0,0,'Données projet'!$E$10+1,1))-AVERAGE(OFFSET($H$3,0,0,'Données projet'!$E$10+1,1))</f>
        <v>314.72063458462026</v>
      </c>
      <c r="AO81" s="62">
        <f t="shared" si="90"/>
        <v>216.4380325968244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3.3333333333333313</v>
      </c>
      <c r="BD81" s="13">
        <f>IF('Données projet'!$A$88&gt;35,BD80+BC81-BL80,IF(A81&lt;'Données projet'!$A$88,$BA$205^A81,IF(A81='Données projet'!$A$88,'Données projet'!$B$88,BD80+BC81-BL80)))</f>
        <v>202.94871794871781</v>
      </c>
      <c r="BE81" s="14">
        <f>BD81*VLOOKUP('Données projet'!$B$11,Paramètres!$A$1:$I$89,3,0)*VLOOKUP('Données projet'!$B$11,Paramètres!$A$1:$I$89,5,0)</f>
        <v>218.45399999999984</v>
      </c>
      <c r="BF81" s="14">
        <f t="shared" si="91"/>
        <v>53.778732472312015</v>
      </c>
      <c r="BG81" s="22">
        <f t="shared" si="61"/>
        <v>474.13867572260983</v>
      </c>
      <c r="BH81" s="62">
        <f t="shared" si="62"/>
        <v>731.88896820160426</v>
      </c>
      <c r="BI81" s="62">
        <f ca="1">AVERAGE(OFFSET($BH$3,0,0,'Données projet'!$E$11+1,1))-AVERAGE(OFFSET($H$3,0,0,'Données projet'!$E$11+1,1))</f>
        <v>455.26558725507834</v>
      </c>
      <c r="BJ81" s="62">
        <f t="shared" si="92"/>
        <v>278.60310966788552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2.0200000000000045</v>
      </c>
      <c r="BY81" s="13">
        <f>IF('Données projet'!$A$114&gt;35,BY80+BX81-CG80,IF(A81&lt;'Données projet'!$A$114,$BV$205^A81,IF(A81='Données projet'!$A$114,'Données projet'!$B$114,BY80+BX81-CG80)))</f>
        <v>284.25999999999976</v>
      </c>
      <c r="BZ81" s="14">
        <f>BY81*VLOOKUP('Données projet'!$B$12,Paramètres!$A$1:$I$89,3,0)*VLOOKUP('Données projet'!$B$12,Paramètres!$A$1:$I$89,5,0)</f>
        <v>147.81519999999989</v>
      </c>
      <c r="CA81" s="14">
        <f t="shared" si="93"/>
        <v>38.081658794614022</v>
      </c>
      <c r="CB81" s="22">
        <f t="shared" si="64"/>
        <v>323.77036240061921</v>
      </c>
      <c r="CC81" s="62">
        <f t="shared" si="65"/>
        <v>581.52065487961363</v>
      </c>
      <c r="CD81" s="62">
        <f ca="1">AVERAGE(OFFSET($CC$3,0,0,'Données projet'!$E$12+1,1))-AVERAGE(OFFSET($H$3,0,0,'Données projet'!$E$12+1,1))</f>
        <v>300.72820267660154</v>
      </c>
      <c r="CE81" s="62">
        <f t="shared" si="94"/>
        <v>228.35388778608589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3.3333333333333313</v>
      </c>
      <c r="CT81" s="13">
        <f>IF('Données projet'!$A$140&gt;35,CT80+CS81-DB80,IF(A81&lt;'Données projet'!$A$140,$CQ$205^A81,IF(A81='Données projet'!$A$140,'Données projet'!$B$140,CT80+CS81-DB80)))</f>
        <v>202.94871794871781</v>
      </c>
      <c r="CU81" s="18">
        <f>CT81*VLOOKUP('Données projet'!$B$13,Paramètres!$A$1:$I$89,3,0)*VLOOKUP('Données projet'!$B$13,Paramètres!$A$1:$I$89,5,0)</f>
        <v>174.12999999999991</v>
      </c>
      <c r="CV81" s="14">
        <f t="shared" si="95"/>
        <v>44.013710023038485</v>
      </c>
      <c r="CW81" s="22">
        <f t="shared" si="67"/>
        <v>379.93362829012523</v>
      </c>
      <c r="CX81" s="62">
        <f t="shared" si="68"/>
        <v>637.68392076911971</v>
      </c>
      <c r="CY81" s="62">
        <f ca="1">AVERAGE(OFFSET($CX$3,0,0,'Données projet'!$E$13+1,1))-AVERAGE(OFFSET($H$3,0,0,'Données projet'!$E$13+1,1))</f>
        <v>384.3367849108829</v>
      </c>
      <c r="CZ81" s="62">
        <f t="shared" si="96"/>
        <v>238.2697272367603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8.9320512820512761</v>
      </c>
      <c r="DO81" s="13">
        <f>IF('Données projet'!$A$166&gt;35,DO80+DN81-DW80,IF(A81&lt;'Données projet'!$A$166,$DL$205^A81,IF(A81='Données projet'!$A$166,'Données projet'!$B$166,DO80+DN81-DW80)))</f>
        <v>301.91153846153816</v>
      </c>
      <c r="DP81" s="18">
        <f>DO81*VLOOKUP('Données projet'!$B$14,Paramètres!$A$1:$I$89,3,0)*VLOOKUP('Données projet'!$B$14,Paramètres!$A$1:$I$89,5,0)</f>
        <v>141.29459999999986</v>
      </c>
      <c r="DQ81" s="14">
        <f t="shared" si="97"/>
        <v>36.593421110553088</v>
      </c>
      <c r="DR81" s="22">
        <f t="shared" si="70"/>
        <v>309.82163676754641</v>
      </c>
      <c r="DS81" s="62">
        <f t="shared" si="71"/>
        <v>567.57192924654089</v>
      </c>
      <c r="DT81" s="62">
        <f ca="1">AVERAGE(OFFSET($DS$3,0,0,'Données projet'!$E$14+1,1))-AVERAGE(OFFSET($H$3,0,0,'Données projet'!$E$14+1,1))</f>
        <v>304.1100958939968</v>
      </c>
      <c r="DU81" s="62">
        <f t="shared" si="98"/>
        <v>184.1255966824568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3.3333333333333313</v>
      </c>
      <c r="EJ81" s="13">
        <f>IF('Données projet'!$A$192&gt;35,EJ80+EI81-ER80,IF(A81&lt;'Données projet'!$A$192,$EG$205^A81,IF(A81='Données projet'!$A$192,'Données projet'!$B$192,EJ80+EI81-ER80)))</f>
        <v>202.94871794871781</v>
      </c>
      <c r="EK81" s="18">
        <f>EJ81*VLOOKUP('Données projet'!$B$15,Paramètres!$A$1:$I$89,3,0)*VLOOKUP('Données projet'!$B$15,Paramètres!$A$1:$I$89,5,0)</f>
        <v>205.78999999999985</v>
      </c>
      <c r="EL81" s="14">
        <f t="shared" si="99"/>
        <v>51.014513262979484</v>
      </c>
      <c r="EM81" s="22">
        <f t="shared" si="73"/>
        <v>447.26786059968907</v>
      </c>
      <c r="EN81" s="62">
        <f t="shared" si="74"/>
        <v>705.01815307868355</v>
      </c>
      <c r="EO81" s="62">
        <f ca="1">AVERAGE(OFFSET($EN$3,0,0,'Données projet'!$E$15+1,1))-AVERAGE(OFFSET($H$3,0,0,'Données projet'!$E$15+1,1))</f>
        <v>435.03433721979218</v>
      </c>
      <c r="EP81" s="62">
        <f t="shared" si="100"/>
        <v>267.10015759286387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3.3333333333333313</v>
      </c>
      <c r="FE81" s="13">
        <f>IF('Données projet'!$A$218&gt;35,FE80+FD81-FM80,IF(A81&lt;'Données projet'!$A$218,$FB$205^A81,IF(A81='Données projet'!$A$218,'Données projet'!$B$218,FE80+FD81-FM80)))</f>
        <v>202.94871794871781</v>
      </c>
      <c r="FF81" s="18">
        <f>FE81*VLOOKUP('Données projet'!$B$16,Paramètres!$A$1:$I$89,3,0)*VLOOKUP('Données projet'!$B$16,Paramètres!$A$1:$I$89,5,0)</f>
        <v>212.1219999999999</v>
      </c>
      <c r="FG81" s="14">
        <f t="shared" si="101"/>
        <v>52.399024400304327</v>
      </c>
      <c r="FH81" s="22">
        <f t="shared" si="76"/>
        <v>460.70745083052981</v>
      </c>
      <c r="FI81" s="62">
        <f t="shared" si="77"/>
        <v>718.45774330952429</v>
      </c>
      <c r="FJ81" s="62">
        <f ca="1">AVERAGE(OFFSET($FI$3,0,0,'Données projet'!$E$16+1,1))-AVERAGE(OFFSET($H$3,0,0,'Données projet'!$E$16+1,1))</f>
        <v>445.15313998584293</v>
      </c>
      <c r="FK81" s="62">
        <f t="shared" si="102"/>
        <v>272.85357736694834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1.8</v>
      </c>
      <c r="FZ81" s="13">
        <f>IF('Données projet'!$A$244&gt;35,FZ80+FY81-GH80,IF(A81&lt;'Données projet'!$A$244,$FW$205^A81,IF(A81='Données projet'!$A$244,'Données projet'!$B$244,FZ80+FY81-GH80)))</f>
        <v>160.39999999999992</v>
      </c>
      <c r="GA81" s="18">
        <f>FZ81*VLOOKUP('Données projet'!$B$17,Paramètres!$A$1:$I$89,3,0)*VLOOKUP('Données projet'!$B$17,Paramètres!$A$1:$I$89,5,0)</f>
        <v>140.12543999999997</v>
      </c>
      <c r="GB81" s="14">
        <f t="shared" si="103"/>
        <v>36.325740539490809</v>
      </c>
      <c r="GC81" s="22">
        <f t="shared" si="79"/>
        <v>307.31913943961314</v>
      </c>
      <c r="GD81" s="62">
        <f t="shared" si="80"/>
        <v>565.06943191860762</v>
      </c>
      <c r="GE81" s="62">
        <f ca="1">AVERAGE(OFFSET($GD$3,0,0,'Données projet'!$E$17+1,1))-AVERAGE(OFFSET($H$3,0,0,'Données projet'!$E$17+1,1))</f>
        <v>248.82613595888964</v>
      </c>
      <c r="GF81" s="62">
        <f t="shared" si="104"/>
        <v>255.8298580882084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135.66666666666666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3.5471153846153847</v>
      </c>
      <c r="N82" s="14">
        <f>IF('Données projet'!$A$36&gt;35,N81+M82-V81,IF(A82&lt;'Données projet'!$A$36,$K$205^A82,IF(A82='Données projet'!$A$36,'Données projet'!$B$36,N81+M82-V81)))</f>
        <v>130.24326923076922</v>
      </c>
      <c r="O82" s="14">
        <f>N82*VLOOKUP('Données projet'!$B$9,Paramètres!$A$1:$I$89,3,0)*VLOOKUP('Données projet'!$B$9,Paramètres!$A$1:$I$89,5,0)</f>
        <v>76.1923125</v>
      </c>
      <c r="P82" s="14">
        <f t="shared" si="87"/>
        <v>21.203558921018757</v>
      </c>
      <c r="Q82" s="22">
        <f t="shared" si="54"/>
        <v>169.63114272494099</v>
      </c>
      <c r="R82" s="62">
        <f t="shared" si="55"/>
        <v>427.99872141099661</v>
      </c>
      <c r="S82" s="62">
        <f ca="1">AVERAGE(OFFSET($R$3,0,0,'Données projet'!$E$9+1,1))-AVERAGE(OFFSET($H$3,0,0,'Données projet'!$E$9+1,1))</f>
        <v>221.18884567967481</v>
      </c>
      <c r="T82" s="62">
        <f t="shared" si="88"/>
        <v>189.31596996710888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1.5783333333333318</v>
      </c>
      <c r="AI82" s="14">
        <f>IF('Données projet'!$A$62&gt;35,AI81+AH82-AQ81,IF(A82&lt;'Données projet'!$A$62,$AF$205^A82,IF(A82='Données projet'!$A$62,'Données projet'!$B$62,AI81+AH82-AQ81)))</f>
        <v>98.567499999999939</v>
      </c>
      <c r="AJ82" s="14">
        <f>AI82*VLOOKUP('Données projet'!$B$10,Paramètres!$A$1:$I$89,3,0)*VLOOKUP('Données projet'!$B$10,Paramètres!$A$1:$I$89,5,0)</f>
        <v>113.54975999999992</v>
      </c>
      <c r="AK82" s="14">
        <f t="shared" si="89"/>
        <v>30.165783474102916</v>
      </c>
      <c r="AL82" s="22">
        <f t="shared" si="58"/>
        <v>250.30457155072909</v>
      </c>
      <c r="AM82" s="62">
        <f t="shared" si="59"/>
        <v>508.67215023678477</v>
      </c>
      <c r="AN82" s="62">
        <f ca="1">AVERAGE(OFFSET($AM$3,0,0,'Données projet'!$E$10+1,1))-AVERAGE(OFFSET($H$3,0,0,'Données projet'!$E$10+1,1))</f>
        <v>314.72063458462026</v>
      </c>
      <c r="AO82" s="62">
        <f t="shared" si="90"/>
        <v>216.4380325968244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3.3333333333333313</v>
      </c>
      <c r="BD82" s="13">
        <f>IF('Données projet'!$A$88&gt;35,BD81+BC82-BL81,IF(A82&lt;'Données projet'!$A$88,$BA$205^A82,IF(A82='Données projet'!$A$88,'Données projet'!$B$88,BD81+BC82-BL81)))</f>
        <v>206.28205128205116</v>
      </c>
      <c r="BE82" s="14">
        <f>BD82*VLOOKUP('Données projet'!$B$11,Paramètres!$A$1:$I$89,3,0)*VLOOKUP('Données projet'!$B$11,Paramètres!$A$1:$I$89,5,0)</f>
        <v>222.04199999999986</v>
      </c>
      <c r="BF82" s="14">
        <f t="shared" si="91"/>
        <v>54.558465403926242</v>
      </c>
      <c r="BG82" s="22">
        <f t="shared" si="61"/>
        <v>481.74581057850463</v>
      </c>
      <c r="BH82" s="62">
        <f t="shared" si="62"/>
        <v>740.11338926456028</v>
      </c>
      <c r="BI82" s="62">
        <f ca="1">AVERAGE(OFFSET($BH$3,0,0,'Données projet'!$E$11+1,1))-AVERAGE(OFFSET($H$3,0,0,'Données projet'!$E$11+1,1))</f>
        <v>455.26558725507834</v>
      </c>
      <c r="BJ82" s="62">
        <f t="shared" si="92"/>
        <v>278.60310966788552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2.0200000000000045</v>
      </c>
      <c r="BY82" s="13">
        <f>IF('Données projet'!$A$114&gt;35,BY81+BX82-CG81,IF(A82&lt;'Données projet'!$A$114,$BV$205^A82,IF(A82='Données projet'!$A$114,'Données projet'!$B$114,BY81+BX82-CG81)))</f>
        <v>286.27999999999975</v>
      </c>
      <c r="BZ82" s="14">
        <f>BY82*VLOOKUP('Données projet'!$B$12,Paramètres!$A$1:$I$89,3,0)*VLOOKUP('Données projet'!$B$12,Paramètres!$A$1:$I$89,5,0)</f>
        <v>148.86559999999989</v>
      </c>
      <c r="CA82" s="14">
        <f t="shared" si="93"/>
        <v>38.320675361198653</v>
      </c>
      <c r="CB82" s="22">
        <f t="shared" si="64"/>
        <v>326.01609625408747</v>
      </c>
      <c r="CC82" s="62">
        <f t="shared" si="65"/>
        <v>584.38367494014312</v>
      </c>
      <c r="CD82" s="62">
        <f ca="1">AVERAGE(OFFSET($CC$3,0,0,'Données projet'!$E$12+1,1))-AVERAGE(OFFSET($H$3,0,0,'Données projet'!$E$12+1,1))</f>
        <v>300.72820267660154</v>
      </c>
      <c r="CE82" s="62">
        <f t="shared" si="94"/>
        <v>228.35388778608589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3.3333333333333313</v>
      </c>
      <c r="CT82" s="13">
        <f>IF('Données projet'!$A$140&gt;35,CT81+CS82-DB81,IF(A82&lt;'Données projet'!$A$140,$CQ$205^A82,IF(A82='Données projet'!$A$140,'Données projet'!$B$140,CT81+CS82-DB81)))</f>
        <v>206.28205128205116</v>
      </c>
      <c r="CU82" s="18">
        <f>CT82*VLOOKUP('Données projet'!$B$13,Paramètres!$A$1:$I$89,3,0)*VLOOKUP('Données projet'!$B$13,Paramètres!$A$1:$I$89,5,0)</f>
        <v>176.98999999999992</v>
      </c>
      <c r="CV82" s="14">
        <f t="shared" si="95"/>
        <v>44.651860785798675</v>
      </c>
      <c r="CW82" s="22">
        <f t="shared" si="67"/>
        <v>386.02624086859925</v>
      </c>
      <c r="CX82" s="62">
        <f t="shared" si="68"/>
        <v>644.3938195546549</v>
      </c>
      <c r="CY82" s="62">
        <f ca="1">AVERAGE(OFFSET($CX$3,0,0,'Données projet'!$E$13+1,1))-AVERAGE(OFFSET($H$3,0,0,'Données projet'!$E$13+1,1))</f>
        <v>384.3367849108829</v>
      </c>
      <c r="CZ82" s="62">
        <f t="shared" si="96"/>
        <v>238.2697272367603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8.9320512820512761</v>
      </c>
      <c r="DO82" s="13">
        <f>IF('Données projet'!$A$166&gt;35,DO81+DN82-DW81,IF(A82&lt;'Données projet'!$A$166,$DL$205^A82,IF(A82='Données projet'!$A$166,'Données projet'!$B$166,DO81+DN82-DW81)))</f>
        <v>310.8435897435894</v>
      </c>
      <c r="DP82" s="18">
        <f>DO82*VLOOKUP('Données projet'!$B$14,Paramètres!$A$1:$I$89,3,0)*VLOOKUP('Données projet'!$B$14,Paramètres!$A$1:$I$89,5,0)</f>
        <v>145.47479999999985</v>
      </c>
      <c r="DQ82" s="14">
        <f t="shared" si="97"/>
        <v>37.548391497194409</v>
      </c>
      <c r="DR82" s="22">
        <f t="shared" si="70"/>
        <v>318.76539185761334</v>
      </c>
      <c r="DS82" s="62">
        <f t="shared" si="71"/>
        <v>577.13297054366899</v>
      </c>
      <c r="DT82" s="62">
        <f ca="1">AVERAGE(OFFSET($DS$3,0,0,'Données projet'!$E$14+1,1))-AVERAGE(OFFSET($H$3,0,0,'Données projet'!$E$14+1,1))</f>
        <v>304.1100958939968</v>
      </c>
      <c r="DU82" s="62">
        <f t="shared" si="98"/>
        <v>184.1255966824568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3.3333333333333313</v>
      </c>
      <c r="EJ82" s="13">
        <f>IF('Données projet'!$A$192&gt;35,EJ81+EI82-ER81,IF(A82&lt;'Données projet'!$A$192,$EG$205^A82,IF(A82='Données projet'!$A$192,'Données projet'!$B$192,EJ81+EI82-ER81)))</f>
        <v>206.28205128205116</v>
      </c>
      <c r="EK82" s="18">
        <f>EJ82*VLOOKUP('Données projet'!$B$15,Paramètres!$A$1:$I$89,3,0)*VLOOKUP('Données projet'!$B$15,Paramètres!$A$1:$I$89,5,0)</f>
        <v>209.1699999999999</v>
      </c>
      <c r="EL82" s="14">
        <f t="shared" si="99"/>
        <v>51.754168032676688</v>
      </c>
      <c r="EM82" s="22">
        <f t="shared" si="73"/>
        <v>454.44292599024499</v>
      </c>
      <c r="EN82" s="62">
        <f t="shared" si="74"/>
        <v>712.81050467630064</v>
      </c>
      <c r="EO82" s="62">
        <f ca="1">AVERAGE(OFFSET($EN$3,0,0,'Données projet'!$E$15+1,1))-AVERAGE(OFFSET($H$3,0,0,'Données projet'!$E$15+1,1))</f>
        <v>435.03433721979218</v>
      </c>
      <c r="EP82" s="62">
        <f t="shared" si="100"/>
        <v>267.10015759286387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3.3333333333333313</v>
      </c>
      <c r="FE82" s="13">
        <f>IF('Données projet'!$A$218&gt;35,FE81+FD82-FM81,IF(A82&lt;'Données projet'!$A$218,$FB$205^A82,IF(A82='Données projet'!$A$218,'Données projet'!$B$218,FE81+FD82-FM81)))</f>
        <v>206.28205128205116</v>
      </c>
      <c r="FF82" s="18">
        <f>FE82*VLOOKUP('Données projet'!$B$16,Paramètres!$A$1:$I$89,3,0)*VLOOKUP('Données projet'!$B$16,Paramètres!$A$1:$I$89,5,0)</f>
        <v>215.60599999999988</v>
      </c>
      <c r="FG82" s="14">
        <f t="shared" si="101"/>
        <v>53.158753070562781</v>
      </c>
      <c r="FH82" s="22">
        <f t="shared" si="76"/>
        <v>468.09861159789665</v>
      </c>
      <c r="FI82" s="62">
        <f t="shared" si="77"/>
        <v>726.4661902839523</v>
      </c>
      <c r="FJ82" s="62">
        <f ca="1">AVERAGE(OFFSET($FI$3,0,0,'Données projet'!$E$16+1,1))-AVERAGE(OFFSET($H$3,0,0,'Données projet'!$E$16+1,1))</f>
        <v>445.15313998584293</v>
      </c>
      <c r="FK82" s="62">
        <f t="shared" si="102"/>
        <v>272.85357736694834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1.8</v>
      </c>
      <c r="FZ82" s="13">
        <f>IF('Données projet'!$A$244&gt;35,FZ81+FY82-GH81,IF(A82&lt;'Données projet'!$A$244,$FW$205^A82,IF(A82='Données projet'!$A$244,'Données projet'!$B$244,FZ81+FY82-GH81)))</f>
        <v>162.19999999999993</v>
      </c>
      <c r="GA82" s="18">
        <f>FZ82*VLOOKUP('Données projet'!$B$17,Paramètres!$A$1:$I$89,3,0)*VLOOKUP('Données projet'!$B$17,Paramètres!$A$1:$I$89,5,0)</f>
        <v>141.69791999999995</v>
      </c>
      <c r="GB82" s="14">
        <f t="shared" si="103"/>
        <v>36.685701801209362</v>
      </c>
      <c r="GC82" s="22">
        <f t="shared" si="79"/>
        <v>310.68480797043952</v>
      </c>
      <c r="GD82" s="62">
        <f t="shared" si="80"/>
        <v>569.05238665649517</v>
      </c>
      <c r="GE82" s="62">
        <f ca="1">AVERAGE(OFFSET($GD$3,0,0,'Données projet'!$E$17+1,1))-AVERAGE(OFFSET($H$3,0,0,'Données projet'!$E$17+1,1))</f>
        <v>248.82613595888964</v>
      </c>
      <c r="GF82" s="62">
        <f t="shared" si="104"/>
        <v>255.8298580882084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135.66666666666666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3.5471153846153847</v>
      </c>
      <c r="N83" s="14">
        <f>IF('Données projet'!$A$36&gt;35,N82+M83-V82,IF(A83&lt;'Données projet'!$A$36,$K$205^A83,IF(A83='Données projet'!$A$36,'Données projet'!$B$36,N82+M83-V82)))</f>
        <v>133.7903846153846</v>
      </c>
      <c r="O83" s="14">
        <f>N83*VLOOKUP('Données projet'!$B$9,Paramètres!$A$1:$I$89,3,0)*VLOOKUP('Données projet'!$B$9,Paramètres!$A$1:$I$89,5,0)</f>
        <v>78.267374999999987</v>
      </c>
      <c r="P83" s="14">
        <f t="shared" si="87"/>
        <v>21.713009968591095</v>
      </c>
      <c r="Q83" s="22">
        <f t="shared" si="54"/>
        <v>174.13250382029614</v>
      </c>
      <c r="R83" s="62">
        <f t="shared" si="55"/>
        <v>433.10666017776566</v>
      </c>
      <c r="S83" s="62">
        <f ca="1">AVERAGE(OFFSET($R$3,0,0,'Données projet'!$E$9+1,1))-AVERAGE(OFFSET($H$3,0,0,'Données projet'!$E$9+1,1))</f>
        <v>221.18884567967481</v>
      </c>
      <c r="T83" s="62">
        <f t="shared" si="88"/>
        <v>189.31596996710888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100.14583333333333</v>
      </c>
      <c r="AG83" s="13">
        <f>VLOOKUP(A83,'Données projet'!$A$61:$I$81,9,0)</f>
        <v>1.5783333333333318</v>
      </c>
      <c r="AH83" s="13">
        <f t="array" ref="AH83">INDEX(AG:AG,MIN(IF(ISNUMBER(AG83:AG279),ROW(AG83:AG279),"")))</f>
        <v>1.5783333333333318</v>
      </c>
      <c r="AI83" s="14">
        <f>IF('Données projet'!$A$62&gt;35,AI82+AH83-AQ82,IF(A83&lt;'Données projet'!$A$62,$AF$205^A83,IF(A83='Données projet'!$A$62,'Données projet'!$B$62,AI82+AH83-AQ82)))</f>
        <v>100.14583333333327</v>
      </c>
      <c r="AJ83" s="14">
        <f>AI83*VLOOKUP('Données projet'!$B$10,Paramètres!$A$1:$I$89,3,0)*VLOOKUP('Données projet'!$B$10,Paramètres!$A$1:$I$89,5,0)</f>
        <v>115.36799999999992</v>
      </c>
      <c r="AK83" s="14">
        <f t="shared" si="89"/>
        <v>30.592198767544506</v>
      </c>
      <c r="AL83" s="22">
        <f t="shared" si="58"/>
        <v>254.21401285347324</v>
      </c>
      <c r="AM83" s="62">
        <f t="shared" si="59"/>
        <v>513.18816921094276</v>
      </c>
      <c r="AN83" s="62">
        <f ca="1">AVERAGE(OFFSET($AM$3,0,0,'Données projet'!$E$10+1,1))-AVERAGE(OFFSET($H$3,0,0,'Données projet'!$E$10+1,1))</f>
        <v>314.72063458462026</v>
      </c>
      <c r="AO83" s="62">
        <f t="shared" si="90"/>
        <v>216.4380325968244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9.1666666666666679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209.61538461538461</v>
      </c>
      <c r="BB83" s="13">
        <f>VLOOKUP(A83,'Données projet'!$A$87:$I$107,9,0)</f>
        <v>3.3333333333333313</v>
      </c>
      <c r="BC83" s="13">
        <f t="array" ref="BC83">INDEX(BB:BB,MIN(IF(ISNUMBER(BB83:BB279),ROW(BB83:BB279),"")))</f>
        <v>3.3333333333333313</v>
      </c>
      <c r="BD83" s="13">
        <f>IF('Données projet'!$A$88&gt;35,BD82+BC83-BL82,IF(A83&lt;'Données projet'!$A$88,$BA$205^A83,IF(A83='Données projet'!$A$88,'Données projet'!$B$88,BD82+BC83-BL82)))</f>
        <v>209.6153846153845</v>
      </c>
      <c r="BE83" s="14">
        <f>BD83*VLOOKUP('Données projet'!$B$11,Paramètres!$A$1:$I$89,3,0)*VLOOKUP('Données projet'!$B$11,Paramètres!$A$1:$I$89,5,0)</f>
        <v>225.62999999999988</v>
      </c>
      <c r="BF83" s="14">
        <f t="shared" si="91"/>
        <v>55.336733031417353</v>
      </c>
      <c r="BG83" s="22">
        <f t="shared" si="61"/>
        <v>489.35039336305164</v>
      </c>
      <c r="BH83" s="62">
        <f t="shared" si="62"/>
        <v>748.32454972052119</v>
      </c>
      <c r="BI83" s="62">
        <f ca="1">AVERAGE(OFFSET($BH$3,0,0,'Données projet'!$E$11+1,1))-AVERAGE(OFFSET($H$3,0,0,'Données projet'!$E$11+1,1))</f>
        <v>455.26558725507834</v>
      </c>
      <c r="BJ83" s="62">
        <f t="shared" si="92"/>
        <v>278.60310966788552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17.948717948717949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288.3</v>
      </c>
      <c r="BW83" s="13">
        <f>VLOOKUP(A83,'Données projet'!$A$113:$I$133,9,0)</f>
        <v>2.0200000000000045</v>
      </c>
      <c r="BX83" s="13">
        <f t="array" ref="BX83">INDEX(BW:BW,MIN(IF(ISNUMBER(BW83:BW279),ROW(BW83:BW279),"")))</f>
        <v>2.0200000000000045</v>
      </c>
      <c r="BY83" s="13">
        <f>IF('Données projet'!$A$114&gt;35,BY82+BX83-CG82,IF(A83&lt;'Données projet'!$A$114,$BV$205^A83,IF(A83='Données projet'!$A$114,'Données projet'!$B$114,BY82+BX83-CG82)))</f>
        <v>288.29999999999973</v>
      </c>
      <c r="BZ83" s="14">
        <f>BY83*VLOOKUP('Données projet'!$B$12,Paramètres!$A$1:$I$89,3,0)*VLOOKUP('Données projet'!$B$12,Paramètres!$A$1:$I$89,5,0)</f>
        <v>149.91599999999985</v>
      </c>
      <c r="CA83" s="14">
        <f t="shared" si="93"/>
        <v>38.559495697142879</v>
      </c>
      <c r="CB83" s="22">
        <f t="shared" si="64"/>
        <v>328.26148833919024</v>
      </c>
      <c r="CC83" s="62">
        <f t="shared" si="65"/>
        <v>587.23564469665985</v>
      </c>
      <c r="CD83" s="62">
        <f ca="1">AVERAGE(OFFSET($CC$3,0,0,'Données projet'!$E$12+1,1))-AVERAGE(OFFSET($H$3,0,0,'Données projet'!$E$12+1,1))</f>
        <v>300.72820267660154</v>
      </c>
      <c r="CE83" s="62">
        <f t="shared" si="94"/>
        <v>228.35388778608589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209.61538461538461</v>
      </c>
      <c r="CR83" s="13">
        <f>VLOOKUP(A83,'Données projet'!$A$139:$I$159,9,0)</f>
        <v>3.3333333333333313</v>
      </c>
      <c r="CS83" s="13">
        <f t="array" ref="CS83">INDEX(CR:CR,MIN(IF(ISNUMBER(CR83:CR279),ROW(CR83:CR279),"")))</f>
        <v>3.3333333333333313</v>
      </c>
      <c r="CT83" s="13">
        <f>IF('Données projet'!$A$140&gt;35,CT82+CS83-DB82,IF(A83&lt;'Données projet'!$A$140,$CQ$205^A83,IF(A83='Données projet'!$A$140,'Données projet'!$B$140,CT82+CS83-DB82)))</f>
        <v>209.6153846153845</v>
      </c>
      <c r="CU83" s="18">
        <f>CT83*VLOOKUP('Données projet'!$B$13,Paramètres!$A$1:$I$89,3,0)*VLOOKUP('Données projet'!$B$13,Paramètres!$A$1:$I$89,5,0)</f>
        <v>179.84999999999994</v>
      </c>
      <c r="CV83" s="14">
        <f t="shared" si="95"/>
        <v>45.288812311094397</v>
      </c>
      <c r="CW83" s="22">
        <f t="shared" si="67"/>
        <v>392.11676477515601</v>
      </c>
      <c r="CX83" s="62">
        <f t="shared" si="68"/>
        <v>651.09092113262557</v>
      </c>
      <c r="CY83" s="62">
        <f ca="1">AVERAGE(OFFSET($CX$3,0,0,'Données projet'!$E$13+1,1))-AVERAGE(OFFSET($H$3,0,0,'Données projet'!$E$13+1,1))</f>
        <v>384.3367849108829</v>
      </c>
      <c r="CZ83" s="62">
        <f t="shared" si="96"/>
        <v>238.2697272367603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17.948717948717949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8.9320512820512761</v>
      </c>
      <c r="DO83" s="13">
        <f>IF('Données projet'!$A$166&gt;35,DO82+DN83-DW82,IF(A83&lt;'Données projet'!$A$166,$DL$205^A83,IF(A83='Données projet'!$A$166,'Données projet'!$B$166,DO82+DN83-DW82)))</f>
        <v>319.77564102564065</v>
      </c>
      <c r="DP83" s="18">
        <f>DO83*VLOOKUP('Données projet'!$B$14,Paramètres!$A$1:$I$89,3,0)*VLOOKUP('Données projet'!$B$14,Paramètres!$A$1:$I$89,5,0)</f>
        <v>149.65499999999983</v>
      </c>
      <c r="DQ83" s="14">
        <f t="shared" si="97"/>
        <v>38.500172628917376</v>
      </c>
      <c r="DR83" s="22">
        <f t="shared" si="70"/>
        <v>327.70359232869743</v>
      </c>
      <c r="DS83" s="62">
        <f t="shared" si="71"/>
        <v>586.67774868616698</v>
      </c>
      <c r="DT83" s="62">
        <f ca="1">AVERAGE(OFFSET($DS$3,0,0,'Données projet'!$E$14+1,1))-AVERAGE(OFFSET($H$3,0,0,'Données projet'!$E$14+1,1))</f>
        <v>304.1100958939968</v>
      </c>
      <c r="DU83" s="62">
        <f t="shared" si="98"/>
        <v>184.1255966824568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209.61538461538461</v>
      </c>
      <c r="EH83" s="13">
        <f>VLOOKUP(A83,'Données projet'!$A$191:$I$211,9,0)</f>
        <v>3.3333333333333313</v>
      </c>
      <c r="EI83" s="13">
        <f t="array" ref="EI83">INDEX(EH:EH,MIN(IF(ISNUMBER(EH83:EH279),ROW(EH83:EH279),"")))</f>
        <v>3.3333333333333313</v>
      </c>
      <c r="EJ83" s="13">
        <f>IF('Données projet'!$A$192&gt;35,EJ82+EI83-ER82,IF(A83&lt;'Données projet'!$A$192,$EG$205^A83,IF(A83='Données projet'!$A$192,'Données projet'!$B$192,EJ82+EI83-ER82)))</f>
        <v>209.6153846153845</v>
      </c>
      <c r="EK83" s="18">
        <f>EJ83*VLOOKUP('Données projet'!$B$15,Paramètres!$A$1:$I$89,3,0)*VLOOKUP('Données projet'!$B$15,Paramètres!$A$1:$I$89,5,0)</f>
        <v>212.54999999999993</v>
      </c>
      <c r="EL83" s="14">
        <f t="shared" si="99"/>
        <v>52.492432814674558</v>
      </c>
      <c r="EM83" s="22">
        <f t="shared" si="73"/>
        <v>461.61557048555801</v>
      </c>
      <c r="EN83" s="62">
        <f t="shared" si="74"/>
        <v>720.58972684302762</v>
      </c>
      <c r="EO83" s="62">
        <f ca="1">AVERAGE(OFFSET($EN$3,0,0,'Données projet'!$E$15+1,1))-AVERAGE(OFFSET($H$3,0,0,'Données projet'!$E$15+1,1))</f>
        <v>435.03433721979218</v>
      </c>
      <c r="EP83" s="62">
        <f t="shared" si="100"/>
        <v>267.10015759286387</v>
      </c>
      <c r="EQ83" s="16">
        <f>IF(ISNA(VLOOKUP(A83,'Données projet'!$A$191:$I$211,3,0)),0,VLOOKUP(A83,'Données projet'!$A$191:$I$211,3,0))</f>
        <v>6</v>
      </c>
      <c r="ER83" s="16">
        <f>IF(ISNA(VLOOKUP(A83,'Données projet'!$A$191:$I$211,4,0)),0,VLOOKUP(A83,'Données projet'!$A$191:$I$211,4,0))</f>
        <v>17.948717948717949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209.61538461538461</v>
      </c>
      <c r="FC83" s="13">
        <f>VLOOKUP(A83,'Données projet'!$A$217:$I$237,9,0)</f>
        <v>3.3333333333333313</v>
      </c>
      <c r="FD83" s="13">
        <f t="array" ref="FD83">INDEX(FC:FC,MIN(IF(ISNUMBER(FC83:FC279),ROW(FC83:FC279),"")))</f>
        <v>3.3333333333333313</v>
      </c>
      <c r="FE83" s="13">
        <f>IF('Données projet'!$A$218&gt;35,FE82+FD83-FM82,IF(A83&lt;'Données projet'!$A$218,$FB$205^A83,IF(A83='Données projet'!$A$218,'Données projet'!$B$218,FE82+FD83-FM82)))</f>
        <v>209.6153846153845</v>
      </c>
      <c r="FF83" s="18">
        <f>FE83*VLOOKUP('Données projet'!$B$16,Paramètres!$A$1:$I$89,3,0)*VLOOKUP('Données projet'!$B$16,Paramètres!$A$1:$I$89,5,0)</f>
        <v>219.08999999999989</v>
      </c>
      <c r="FG83" s="14">
        <f t="shared" si="101"/>
        <v>53.917054029475665</v>
      </c>
      <c r="FH83" s="22">
        <f t="shared" si="76"/>
        <v>475.48728576800335</v>
      </c>
      <c r="FI83" s="62">
        <f t="shared" si="77"/>
        <v>734.4614421254729</v>
      </c>
      <c r="FJ83" s="62">
        <f ca="1">AVERAGE(OFFSET($FI$3,0,0,'Données projet'!$E$16+1,1))-AVERAGE(OFFSET($H$3,0,0,'Données projet'!$E$16+1,1))</f>
        <v>445.15313998584293</v>
      </c>
      <c r="FK83" s="62">
        <f t="shared" si="102"/>
        <v>272.85357736694834</v>
      </c>
      <c r="FL83" s="16">
        <f>IF(ISNA(VLOOKUP(A83,'Données projet'!$A$217:$I$237,3,0)),0,VLOOKUP(A83,'Données projet'!$A$217:$I$237,3,0))</f>
        <v>6</v>
      </c>
      <c r="FM83" s="16">
        <f>IF(ISNA(VLOOKUP(A83,'Données projet'!$A$217:$I$237,4,0)),0,VLOOKUP(A83,'Données projet'!$A$217:$I$237,4,0))</f>
        <v>17.948717948717949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164</v>
      </c>
      <c r="FX83" s="13">
        <f>VLOOKUP(A83,'Données projet'!$A$243:$I$263,9,0)</f>
        <v>1.8</v>
      </c>
      <c r="FY83" s="13">
        <f t="array" ref="FY83">INDEX(FX:FX,MIN(IF(ISNUMBER(FX83:FX279),ROW(FX83:FX279),"")))</f>
        <v>1.8</v>
      </c>
      <c r="FZ83" s="13">
        <f>IF('Données projet'!$A$244&gt;35,FZ82+FY83-GH82,IF(A83&lt;'Données projet'!$A$244,$FW$205^A83,IF(A83='Données projet'!$A$244,'Données projet'!$B$244,FZ82+FY83-GH82)))</f>
        <v>163.99999999999994</v>
      </c>
      <c r="GA83" s="18">
        <f>FZ83*VLOOKUP('Données projet'!$B$17,Paramètres!$A$1:$I$89,3,0)*VLOOKUP('Données projet'!$B$17,Paramètres!$A$1:$I$89,5,0)</f>
        <v>143.27039999999997</v>
      </c>
      <c r="GB83" s="14">
        <f t="shared" si="103"/>
        <v>37.045198377171303</v>
      </c>
      <c r="GC83" s="22">
        <f t="shared" si="79"/>
        <v>314.04966717357325</v>
      </c>
      <c r="GD83" s="62">
        <f t="shared" si="80"/>
        <v>573.02382353104281</v>
      </c>
      <c r="GE83" s="62">
        <f ca="1">AVERAGE(OFFSET($GD$3,0,0,'Données projet'!$E$17+1,1))-AVERAGE(OFFSET($H$3,0,0,'Données projet'!$E$17+1,1))</f>
        <v>248.82613595888964</v>
      </c>
      <c r="GF83" s="62">
        <f t="shared" si="104"/>
        <v>255.8298580882084</v>
      </c>
      <c r="GG83" s="16">
        <f>IF(ISNA(VLOOKUP(A83,'Données projet'!$A$243:$I$263,3,0)),0,VLOOKUP(A83,'Données projet'!$A$243:$I$263,3,0))</f>
        <v>6</v>
      </c>
      <c r="GH83" s="16">
        <f>IF(ISNA(VLOOKUP(A83,'Données projet'!$A$243:$I$263,4,0)),0,VLOOKUP(A83,'Données projet'!$A$243:$I$263,4,0))</f>
        <v>164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135.66666666666666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3.5471153846153847</v>
      </c>
      <c r="N84" s="14">
        <f>IF('Données projet'!$A$36&gt;35,N83+M84-V83,IF(A84&lt;'Données projet'!$A$36,$K$205^A84,IF(A84='Données projet'!$A$36,'Données projet'!$B$36,N83+M84-V83)))</f>
        <v>137.33749999999998</v>
      </c>
      <c r="O84" s="14">
        <f>N84*VLOOKUP('Données projet'!$B$9,Paramètres!$A$1:$I$89,3,0)*VLOOKUP('Données projet'!$B$9,Paramètres!$A$1:$I$89,5,0)</f>
        <v>80.342437499999988</v>
      </c>
      <c r="P84" s="14">
        <f t="shared" si="87"/>
        <v>22.220891052260587</v>
      </c>
      <c r="Q84" s="22">
        <f t="shared" si="54"/>
        <v>178.63113056185384</v>
      </c>
      <c r="R84" s="62">
        <f t="shared" si="55"/>
        <v>438.2013418242426</v>
      </c>
      <c r="S84" s="62">
        <f ca="1">AVERAGE(OFFSET($R$3,0,0,'Données projet'!$E$9+1,1))-AVERAGE(OFFSET($H$3,0,0,'Données projet'!$E$9+1,1))</f>
        <v>221.18884567967481</v>
      </c>
      <c r="T84" s="62">
        <f t="shared" si="88"/>
        <v>189.31596996710888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1.5429166666666674</v>
      </c>
      <c r="AI84" s="14">
        <f>IF('Données projet'!$A$62&gt;35,AI83+AH84-AQ83,IF(A84&lt;'Données projet'!$A$62,$AF$205^A84,IF(A84='Données projet'!$A$62,'Données projet'!$B$62,AI83+AH84-AQ83)))</f>
        <v>92.522083333333271</v>
      </c>
      <c r="AJ84" s="14">
        <f>AI84*VLOOKUP('Données projet'!$B$10,Paramètres!$A$1:$I$89,3,0)*VLOOKUP('Données projet'!$B$10,Paramètres!$A$1:$I$89,5,0)</f>
        <v>106.58543999999992</v>
      </c>
      <c r="AK84" s="14">
        <f t="shared" si="89"/>
        <v>28.525017119169313</v>
      </c>
      <c r="AL84" s="22">
        <f t="shared" si="58"/>
        <v>235.31737948255306</v>
      </c>
      <c r="AM84" s="62">
        <f t="shared" si="59"/>
        <v>494.88759074494186</v>
      </c>
      <c r="AN84" s="62">
        <f ca="1">AVERAGE(OFFSET($AM$3,0,0,'Données projet'!$E$10+1,1))-AVERAGE(OFFSET($H$3,0,0,'Données projet'!$E$10+1,1))</f>
        <v>314.72063458462026</v>
      </c>
      <c r="AO84" s="62">
        <f t="shared" si="90"/>
        <v>216.4380325968244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3.2051282051282044</v>
      </c>
      <c r="BD84" s="13">
        <f>IF('Données projet'!$A$88&gt;35,BD83+BC84-BL83,IF(A84&lt;'Données projet'!$A$88,$BA$205^A84,IF(A84='Données projet'!$A$88,'Données projet'!$B$88,BD83+BC84-BL83)))</f>
        <v>194.87179487179475</v>
      </c>
      <c r="BE84" s="14">
        <f>BD84*VLOOKUP('Données projet'!$B$11,Paramètres!$A$1:$I$89,3,0)*VLOOKUP('Données projet'!$B$11,Paramètres!$A$1:$I$89,5,0)</f>
        <v>209.75999999999985</v>
      </c>
      <c r="BF84" s="14">
        <f t="shared" si="91"/>
        <v>51.883136170093586</v>
      </c>
      <c r="BG84" s="22">
        <f t="shared" si="61"/>
        <v>455.69512882957935</v>
      </c>
      <c r="BH84" s="62">
        <f t="shared" si="62"/>
        <v>715.26534009196814</v>
      </c>
      <c r="BI84" s="62">
        <f ca="1">AVERAGE(OFFSET($BH$3,0,0,'Données projet'!$E$11+1,1))-AVERAGE(OFFSET($H$3,0,0,'Données projet'!$E$11+1,1))</f>
        <v>455.26558725507834</v>
      </c>
      <c r="BJ84" s="62">
        <f t="shared" si="92"/>
        <v>278.60310966788552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1.7799999999999954</v>
      </c>
      <c r="BY84" s="13">
        <f>IF('Données projet'!$A$114&gt;35,BY83+BX84-CG83,IF(A84&lt;'Données projet'!$A$114,$BV$205^A84,IF(A84='Données projet'!$A$114,'Données projet'!$B$114,BY83+BX84-CG83)))</f>
        <v>290.0799999999997</v>
      </c>
      <c r="BZ84" s="14">
        <f>BY84*VLOOKUP('Données projet'!$B$12,Paramètres!$A$1:$I$89,3,0)*VLOOKUP('Données projet'!$B$12,Paramètres!$A$1:$I$89,5,0)</f>
        <v>150.84159999999986</v>
      </c>
      <c r="CA84" s="14">
        <f t="shared" si="93"/>
        <v>38.769779917742092</v>
      </c>
      <c r="CB84" s="22">
        <f t="shared" si="64"/>
        <v>330.23982002340057</v>
      </c>
      <c r="CC84" s="62">
        <f t="shared" si="65"/>
        <v>589.81003128578936</v>
      </c>
      <c r="CD84" s="62">
        <f ca="1">AVERAGE(OFFSET($CC$3,0,0,'Données projet'!$E$12+1,1))-AVERAGE(OFFSET($H$3,0,0,'Données projet'!$E$12+1,1))</f>
        <v>300.72820267660154</v>
      </c>
      <c r="CE84" s="62">
        <f t="shared" si="94"/>
        <v>228.35388778608589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3.2051282051282044</v>
      </c>
      <c r="CT84" s="13">
        <f>IF('Données projet'!$A$140&gt;35,CT83+CS84-DB83,IF(A84&lt;'Données projet'!$A$140,$CQ$205^A84,IF(A84='Données projet'!$A$140,'Données projet'!$B$140,CT83+CS84-DB83)))</f>
        <v>194.87179487179475</v>
      </c>
      <c r="CU84" s="18">
        <f>CT84*VLOOKUP('Données projet'!$B$13,Paramètres!$A$1:$I$89,3,0)*VLOOKUP('Données projet'!$B$13,Paramètres!$A$1:$I$89,5,0)</f>
        <v>167.19999999999993</v>
      </c>
      <c r="CV84" s="14">
        <f t="shared" si="95"/>
        <v>42.462311874903598</v>
      </c>
      <c r="CW84" s="22">
        <f t="shared" si="67"/>
        <v>365.1618598487903</v>
      </c>
      <c r="CX84" s="62">
        <f t="shared" si="68"/>
        <v>624.73207111117904</v>
      </c>
      <c r="CY84" s="62">
        <f ca="1">AVERAGE(OFFSET($CX$3,0,0,'Données projet'!$E$13+1,1))-AVERAGE(OFFSET($H$3,0,0,'Données projet'!$E$13+1,1))</f>
        <v>384.3367849108829</v>
      </c>
      <c r="CZ84" s="62">
        <f t="shared" si="96"/>
        <v>238.2697272367603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>
        <f>VLOOKUP(A84,'Données projet'!$A$165:$I$185,2,0)</f>
        <v>328.7076923076923</v>
      </c>
      <c r="DM84" s="13">
        <f>VLOOKUP(A84,'Données projet'!$A$165:$I$185,9,0)</f>
        <v>8.9320512820512761</v>
      </c>
      <c r="DN84" s="13">
        <f t="array" ref="DN84">INDEX(DM:DM,MIN(IF(ISNUMBER(DM84:DM280),ROW(DM84:DM280),"")))</f>
        <v>8.9320512820512761</v>
      </c>
      <c r="DO84" s="13">
        <f>IF('Données projet'!$A$166&gt;35,DO83+DN84-DW83,IF(A84&lt;'Données projet'!$A$166,$DL$205^A84,IF(A84='Données projet'!$A$166,'Données projet'!$B$166,DO83+DN84-DW83)))</f>
        <v>328.7076923076919</v>
      </c>
      <c r="DP84" s="18">
        <f>DO84*VLOOKUP('Données projet'!$B$14,Paramètres!$A$1:$I$89,3,0)*VLOOKUP('Données projet'!$B$14,Paramètres!$A$1:$I$89,5,0)</f>
        <v>153.83519999999982</v>
      </c>
      <c r="DQ84" s="14">
        <f t="shared" si="97"/>
        <v>39.44886382269889</v>
      </c>
      <c r="DR84" s="22">
        <f t="shared" si="70"/>
        <v>336.63641115786692</v>
      </c>
      <c r="DS84" s="62">
        <f t="shared" si="71"/>
        <v>596.20662242025571</v>
      </c>
      <c r="DT84" s="62">
        <f ca="1">AVERAGE(OFFSET($DS$3,0,0,'Données projet'!$E$14+1,1))-AVERAGE(OFFSET($H$3,0,0,'Données projet'!$E$14+1,1))</f>
        <v>304.1100958939968</v>
      </c>
      <c r="DU84" s="62">
        <f t="shared" si="98"/>
        <v>184.1255966824568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3.2051282051282044</v>
      </c>
      <c r="EJ84" s="13">
        <f>IF('Données projet'!$A$192&gt;35,EJ83+EI84-ER83,IF(A84&lt;'Données projet'!$A$192,$EG$205^A84,IF(A84='Données projet'!$A$192,'Données projet'!$B$192,EJ83+EI84-ER83)))</f>
        <v>194.87179487179475</v>
      </c>
      <c r="EK84" s="18">
        <f>EJ84*VLOOKUP('Données projet'!$B$15,Paramètres!$A$1:$I$89,3,0)*VLOOKUP('Données projet'!$B$15,Paramètres!$A$1:$I$89,5,0)</f>
        <v>197.59999999999988</v>
      </c>
      <c r="EL84" s="14">
        <f t="shared" si="99"/>
        <v>49.216350341408912</v>
      </c>
      <c r="EM84" s="22">
        <f t="shared" si="73"/>
        <v>429.87181017795359</v>
      </c>
      <c r="EN84" s="62">
        <f t="shared" si="74"/>
        <v>689.44202144034239</v>
      </c>
      <c r="EO84" s="62">
        <f ca="1">AVERAGE(OFFSET($EN$3,0,0,'Données projet'!$E$15+1,1))-AVERAGE(OFFSET($H$3,0,0,'Données projet'!$E$15+1,1))</f>
        <v>435.03433721979218</v>
      </c>
      <c r="EP84" s="62">
        <f t="shared" si="100"/>
        <v>267.10015759286387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3.2051282051282044</v>
      </c>
      <c r="FE84" s="13">
        <f>IF('Données projet'!$A$218&gt;35,FE83+FD84-FM83,IF(A84&lt;'Données projet'!$A$218,$FB$205^A84,IF(A84='Données projet'!$A$218,'Données projet'!$B$218,FE83+FD84-FM83)))</f>
        <v>194.87179487179475</v>
      </c>
      <c r="FF84" s="18">
        <f>FE84*VLOOKUP('Données projet'!$B$16,Paramètres!$A$1:$I$89,3,0)*VLOOKUP('Données projet'!$B$16,Paramètres!$A$1:$I$89,5,0)</f>
        <v>203.67999999999989</v>
      </c>
      <c r="FG84" s="14">
        <f t="shared" si="101"/>
        <v>50.552060139028619</v>
      </c>
      <c r="FH84" s="22">
        <f t="shared" si="76"/>
        <v>442.78750474214127</v>
      </c>
      <c r="FI84" s="62">
        <f t="shared" si="77"/>
        <v>702.35771600453006</v>
      </c>
      <c r="FJ84" s="62">
        <f ca="1">AVERAGE(OFFSET($FI$3,0,0,'Données projet'!$E$16+1,1))-AVERAGE(OFFSET($H$3,0,0,'Données projet'!$E$16+1,1))</f>
        <v>445.15313998584293</v>
      </c>
      <c r="FK84" s="62">
        <f t="shared" si="102"/>
        <v>272.85357736694834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-5.6843418860808015E-14</v>
      </c>
      <c r="GA84" s="18">
        <f>FZ84*VLOOKUP('Données projet'!$B$17,Paramètres!$A$1:$I$89,3,0)*VLOOKUP('Données projet'!$B$17,Paramètres!$A$1:$I$89,5,0)</f>
        <v>-4.9658410716801891E-14</v>
      </c>
      <c r="GB84" s="14" t="e">
        <f t="shared" si="103"/>
        <v>#NUM!</v>
      </c>
      <c r="GC84" s="22" t="e">
        <f t="shared" si="79"/>
        <v>#NUM!</v>
      </c>
      <c r="GD84" s="62" t="e">
        <f t="shared" si="80"/>
        <v>#NUM!</v>
      </c>
      <c r="GE84" s="62">
        <f ca="1">AVERAGE(OFFSET($GD$3,0,0,'Données projet'!$E$17+1,1))-AVERAGE(OFFSET($H$3,0,0,'Données projet'!$E$17+1,1))</f>
        <v>248.82613595888964</v>
      </c>
      <c r="GF84" s="62">
        <f t="shared" si="104"/>
        <v>255.8298580882084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135.66666666666666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>
        <f>VLOOKUP(A85,'Données projet'!$A$35:$I$55,2,0)</f>
        <v>140.88461538461539</v>
      </c>
      <c r="L85" s="13">
        <f>VLOOKUP(A85,'Données projet'!$A$35:$I$55,9,0)</f>
        <v>3.5471153846153847</v>
      </c>
      <c r="M85" s="13">
        <f t="array" ref="M85">INDEX(L:L,MIN(IF(ISNUMBER(L85:L281),ROW(L85:L281),"")))</f>
        <v>3.5471153846153847</v>
      </c>
      <c r="N85" s="14">
        <f>IF('Données projet'!$A$36&gt;35,N84+M85-V84,IF(A85&lt;'Données projet'!$A$36,$K$205^A85,IF(A85='Données projet'!$A$36,'Données projet'!$B$36,N84+M85-V84)))</f>
        <v>140.88461538461536</v>
      </c>
      <c r="O85" s="14">
        <f>N85*VLOOKUP('Données projet'!$B$9,Paramètres!$A$1:$I$89,3,0)*VLOOKUP('Données projet'!$B$9,Paramètres!$A$1:$I$89,5,0)</f>
        <v>82.41749999999999</v>
      </c>
      <c r="P85" s="14">
        <f t="shared" si="87"/>
        <v>22.727247382676751</v>
      </c>
      <c r="Q85" s="22">
        <f t="shared" si="54"/>
        <v>183.12710169149531</v>
      </c>
      <c r="R85" s="62">
        <f t="shared" si="55"/>
        <v>443.2830276387823</v>
      </c>
      <c r="S85" s="62">
        <f ca="1">AVERAGE(OFFSET($R$3,0,0,'Données projet'!$E$9+1,1))-AVERAGE(OFFSET($H$3,0,0,'Données projet'!$E$9+1,1))</f>
        <v>221.18884567967481</v>
      </c>
      <c r="T85" s="62">
        <f t="shared" si="88"/>
        <v>189.31596996710888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1.5429166666666674</v>
      </c>
      <c r="AI85" s="14">
        <f>IF('Données projet'!$A$62&gt;35,AI84+AH85-AQ84,IF(A85&lt;'Données projet'!$A$62,$AF$205^A85,IF(A85='Données projet'!$A$62,'Données projet'!$B$62,AI84+AH85-AQ84)))</f>
        <v>94.064999999999941</v>
      </c>
      <c r="AJ85" s="14">
        <f>AI85*VLOOKUP('Données projet'!$B$10,Paramètres!$A$1:$I$89,3,0)*VLOOKUP('Données projet'!$B$10,Paramètres!$A$1:$I$89,5,0)</f>
        <v>108.36287999999992</v>
      </c>
      <c r="AK85" s="14">
        <f t="shared" si="89"/>
        <v>28.944930362905506</v>
      </c>
      <c r="AL85" s="22">
        <f t="shared" si="58"/>
        <v>239.14443638206026</v>
      </c>
      <c r="AM85" s="62">
        <f t="shared" si="59"/>
        <v>499.30036232934719</v>
      </c>
      <c r="AN85" s="62">
        <f ca="1">AVERAGE(OFFSET($AM$3,0,0,'Données projet'!$E$10+1,1))-AVERAGE(OFFSET($H$3,0,0,'Données projet'!$E$10+1,1))</f>
        <v>314.72063458462026</v>
      </c>
      <c r="AO85" s="62">
        <f t="shared" si="90"/>
        <v>216.4380325968244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3.2051282051282044</v>
      </c>
      <c r="BD85" s="13">
        <f>IF('Données projet'!$A$88&gt;35,BD84+BC85-BL84,IF(A85&lt;'Données projet'!$A$88,$BA$205^A85,IF(A85='Données projet'!$A$88,'Données projet'!$B$88,BD84+BC85-BL84)))</f>
        <v>198.07692307692295</v>
      </c>
      <c r="BE85" s="14">
        <f>BD85*VLOOKUP('Données projet'!$B$11,Paramètres!$A$1:$I$89,3,0)*VLOOKUP('Données projet'!$B$11,Paramètres!$A$1:$I$89,5,0)</f>
        <v>213.20999999999984</v>
      </c>
      <c r="BF85" s="14">
        <f t="shared" si="91"/>
        <v>52.636430938065665</v>
      </c>
      <c r="BG85" s="22">
        <f t="shared" si="61"/>
        <v>463.01586721713073</v>
      </c>
      <c r="BH85" s="62">
        <f t="shared" si="62"/>
        <v>723.17179316441775</v>
      </c>
      <c r="BI85" s="62">
        <f ca="1">AVERAGE(OFFSET($BH$3,0,0,'Données projet'!$E$11+1,1))-AVERAGE(OFFSET($H$3,0,0,'Données projet'!$E$11+1,1))</f>
        <v>455.26558725507834</v>
      </c>
      <c r="BJ85" s="62">
        <f t="shared" si="92"/>
        <v>278.60310966788552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1.7799999999999954</v>
      </c>
      <c r="BY85" s="13">
        <f>IF('Données projet'!$A$114&gt;35,BY84+BX85-CG84,IF(A85&lt;'Données projet'!$A$114,$BV$205^A85,IF(A85='Données projet'!$A$114,'Données projet'!$B$114,BY84+BX85-CG84)))</f>
        <v>291.85999999999967</v>
      </c>
      <c r="BZ85" s="14">
        <f>BY85*VLOOKUP('Données projet'!$B$12,Paramètres!$A$1:$I$89,3,0)*VLOOKUP('Données projet'!$B$12,Paramètres!$A$1:$I$89,5,0)</f>
        <v>151.76719999999983</v>
      </c>
      <c r="CA85" s="14">
        <f t="shared" si="93"/>
        <v>38.979913993756242</v>
      </c>
      <c r="CB85" s="22">
        <f t="shared" si="64"/>
        <v>332.21789020579178</v>
      </c>
      <c r="CC85" s="62">
        <f t="shared" si="65"/>
        <v>592.37381615307868</v>
      </c>
      <c r="CD85" s="62">
        <f ca="1">AVERAGE(OFFSET($CC$3,0,0,'Données projet'!$E$12+1,1))-AVERAGE(OFFSET($H$3,0,0,'Données projet'!$E$12+1,1))</f>
        <v>300.72820267660154</v>
      </c>
      <c r="CE85" s="62">
        <f t="shared" si="94"/>
        <v>228.35388778608589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3.2051282051282044</v>
      </c>
      <c r="CT85" s="13">
        <f>IF('Données projet'!$A$140&gt;35,CT84+CS85-DB84,IF(A85&lt;'Données projet'!$A$140,$CQ$205^A85,IF(A85='Données projet'!$A$140,'Données projet'!$B$140,CT84+CS85-DB84)))</f>
        <v>198.07692307692295</v>
      </c>
      <c r="CU85" s="18">
        <f>CT85*VLOOKUP('Données projet'!$B$13,Paramètres!$A$1:$I$89,3,0)*VLOOKUP('Données projet'!$B$13,Paramètres!$A$1:$I$89,5,0)</f>
        <v>169.94999999999993</v>
      </c>
      <c r="CV85" s="14">
        <f t="shared" si="95"/>
        <v>43.078825056884284</v>
      </c>
      <c r="CW85" s="22">
        <f t="shared" si="67"/>
        <v>371.02520364074002</v>
      </c>
      <c r="CX85" s="62">
        <f t="shared" si="68"/>
        <v>631.18112958802703</v>
      </c>
      <c r="CY85" s="62">
        <f ca="1">AVERAGE(OFFSET($CX$3,0,0,'Données projet'!$E$13+1,1))-AVERAGE(OFFSET($H$3,0,0,'Données projet'!$E$13+1,1))</f>
        <v>384.3367849108829</v>
      </c>
      <c r="CZ85" s="62">
        <f t="shared" si="96"/>
        <v>238.2697272367603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9.0717948717948698</v>
      </c>
      <c r="DO85" s="13">
        <f>IF('Données projet'!$A$166&gt;35,DO84+DN85-DW84,IF(A85&lt;'Données projet'!$A$166,$DL$205^A85,IF(A85='Données projet'!$A$166,'Données projet'!$B$166,DO84+DN85-DW84)))</f>
        <v>337.77948717948675</v>
      </c>
      <c r="DP85" s="18">
        <f>DO85*VLOOKUP('Données projet'!$B$14,Paramètres!$A$1:$I$89,3,0)*VLOOKUP('Données projet'!$B$14,Paramètres!$A$1:$I$89,5,0)</f>
        <v>158.08079999999978</v>
      </c>
      <c r="DQ85" s="14">
        <f t="shared" si="97"/>
        <v>40.409330933945405</v>
      </c>
      <c r="DR85" s="22">
        <f t="shared" si="70"/>
        <v>345.70364470995446</v>
      </c>
      <c r="DS85" s="62">
        <f t="shared" si="71"/>
        <v>605.85957065724142</v>
      </c>
      <c r="DT85" s="62">
        <f ca="1">AVERAGE(OFFSET($DS$3,0,0,'Données projet'!$E$14+1,1))-AVERAGE(OFFSET($H$3,0,0,'Données projet'!$E$14+1,1))</f>
        <v>304.1100958939968</v>
      </c>
      <c r="DU85" s="62">
        <f t="shared" si="98"/>
        <v>184.1255966824568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3.2051282051282044</v>
      </c>
      <c r="EJ85" s="13">
        <f>IF('Données projet'!$A$192&gt;35,EJ84+EI85-ER84,IF(A85&lt;'Données projet'!$A$192,$EG$205^A85,IF(A85='Données projet'!$A$192,'Données projet'!$B$192,EJ84+EI85-ER84)))</f>
        <v>198.07692307692295</v>
      </c>
      <c r="EK85" s="18">
        <f>EJ85*VLOOKUP('Données projet'!$B$15,Paramètres!$A$1:$I$89,3,0)*VLOOKUP('Données projet'!$B$15,Paramètres!$A$1:$I$89,5,0)</f>
        <v>200.84999999999988</v>
      </c>
      <c r="EL85" s="14">
        <f t="shared" si="99"/>
        <v>49.930925865319402</v>
      </c>
      <c r="EM85" s="22">
        <f t="shared" si="73"/>
        <v>436.77677921543108</v>
      </c>
      <c r="EN85" s="62">
        <f t="shared" si="74"/>
        <v>696.93270516271809</v>
      </c>
      <c r="EO85" s="62">
        <f ca="1">AVERAGE(OFFSET($EN$3,0,0,'Données projet'!$E$15+1,1))-AVERAGE(OFFSET($H$3,0,0,'Données projet'!$E$15+1,1))</f>
        <v>435.03433721979218</v>
      </c>
      <c r="EP85" s="62">
        <f t="shared" si="100"/>
        <v>267.10015759286387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3.2051282051282044</v>
      </c>
      <c r="FE85" s="13">
        <f>IF('Données projet'!$A$218&gt;35,FE84+FD85-FM84,IF(A85&lt;'Données projet'!$A$218,$FB$205^A85,IF(A85='Données projet'!$A$218,'Données projet'!$B$218,FE84+FD85-FM84)))</f>
        <v>198.07692307692295</v>
      </c>
      <c r="FF85" s="18">
        <f>FE85*VLOOKUP('Données projet'!$B$16,Paramètres!$A$1:$I$89,3,0)*VLOOKUP('Données projet'!$B$16,Paramètres!$A$1:$I$89,5,0)</f>
        <v>207.02999999999992</v>
      </c>
      <c r="FG85" s="14">
        <f t="shared" si="101"/>
        <v>51.286028923955122</v>
      </c>
      <c r="FH85" s="22">
        <f t="shared" si="76"/>
        <v>449.90041704255503</v>
      </c>
      <c r="FI85" s="62">
        <f t="shared" si="77"/>
        <v>710.05634298984205</v>
      </c>
      <c r="FJ85" s="62">
        <f ca="1">AVERAGE(OFFSET($FI$3,0,0,'Données projet'!$E$16+1,1))-AVERAGE(OFFSET($H$3,0,0,'Données projet'!$E$16+1,1))</f>
        <v>445.15313998584293</v>
      </c>
      <c r="FK85" s="62">
        <f t="shared" si="102"/>
        <v>272.85357736694834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-5.6843418860808015E-14</v>
      </c>
      <c r="GA85" s="18">
        <f>FZ85*VLOOKUP('Données projet'!$B$17,Paramètres!$A$1:$I$89,3,0)*VLOOKUP('Données projet'!$B$17,Paramètres!$A$1:$I$89,5,0)</f>
        <v>-4.9658410716801891E-14</v>
      </c>
      <c r="GB85" s="14" t="e">
        <f t="shared" si="103"/>
        <v>#NUM!</v>
      </c>
      <c r="GC85" s="22" t="e">
        <f t="shared" si="79"/>
        <v>#NUM!</v>
      </c>
      <c r="GD85" s="62" t="e">
        <f t="shared" si="80"/>
        <v>#NUM!</v>
      </c>
      <c r="GE85" s="62">
        <f ca="1">AVERAGE(OFFSET($GD$3,0,0,'Données projet'!$E$17+1,1))-AVERAGE(OFFSET($H$3,0,0,'Données projet'!$E$17+1,1))</f>
        <v>248.82613595888964</v>
      </c>
      <c r="GF85" s="62">
        <f t="shared" si="104"/>
        <v>255.8298580882084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135.66666666666666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3.6835164835164806</v>
      </c>
      <c r="N86" s="14">
        <f>IF('Données projet'!$A$36&gt;35,N85+M86-V85,IF(A86&lt;'Données projet'!$A$36,$K$205^A86,IF(A86='Données projet'!$A$36,'Données projet'!$B$36,N85+M86-V85)))</f>
        <v>144.56813186813184</v>
      </c>
      <c r="O86" s="14">
        <f>N86*VLOOKUP('Données projet'!$B$9,Paramètres!$A$1:$I$89,3,0)*VLOOKUP('Données projet'!$B$9,Paramètres!$A$1:$I$89,5,0)</f>
        <v>84.572357142857129</v>
      </c>
      <c r="P86" s="14">
        <f t="shared" si="87"/>
        <v>23.25150721803028</v>
      </c>
      <c r="Q86" s="22">
        <f t="shared" si="54"/>
        <v>187.79323042854557</v>
      </c>
      <c r="R86" s="62">
        <f t="shared" si="55"/>
        <v>448.52471022040947</v>
      </c>
      <c r="S86" s="62">
        <f ca="1">AVERAGE(OFFSET($R$3,0,0,'Données projet'!$E$9+1,1))-AVERAGE(OFFSET($H$3,0,0,'Données projet'!$E$9+1,1))</f>
        <v>221.18884567967481</v>
      </c>
      <c r="T86" s="62">
        <f t="shared" si="88"/>
        <v>189.31596996710888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1.5429166666666674</v>
      </c>
      <c r="AI86" s="14">
        <f>IF('Données projet'!$A$62&gt;35,AI85+AH86-AQ85,IF(A86&lt;'Données projet'!$A$62,$AF$205^A86,IF(A86='Données projet'!$A$62,'Données projet'!$B$62,AI85+AH86-AQ85)))</f>
        <v>95.607916666666611</v>
      </c>
      <c r="AJ86" s="14">
        <f>AI86*VLOOKUP('Données projet'!$B$10,Paramètres!$A$1:$I$89,3,0)*VLOOKUP('Données projet'!$B$10,Paramètres!$A$1:$I$89,5,0)</f>
        <v>110.14031999999993</v>
      </c>
      <c r="AK86" s="14">
        <f t="shared" si="89"/>
        <v>29.364042605701115</v>
      </c>
      <c r="AL86" s="22">
        <f t="shared" si="58"/>
        <v>242.97009820492926</v>
      </c>
      <c r="AM86" s="62">
        <f t="shared" si="59"/>
        <v>503.70157799679316</v>
      </c>
      <c r="AN86" s="62">
        <f ca="1">AVERAGE(OFFSET($AM$3,0,0,'Données projet'!$E$10+1,1))-AVERAGE(OFFSET($H$3,0,0,'Données projet'!$E$10+1,1))</f>
        <v>314.72063458462026</v>
      </c>
      <c r="AO86" s="62">
        <f t="shared" si="90"/>
        <v>216.4380325968244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3.2051282051282044</v>
      </c>
      <c r="BD86" s="13">
        <f>IF('Données projet'!$A$88&gt;35,BD85+BC86-BL85,IF(A86&lt;'Données projet'!$A$88,$BA$205^A86,IF(A86='Données projet'!$A$88,'Données projet'!$B$88,BD85+BC86-BL85)))</f>
        <v>201.28205128205116</v>
      </c>
      <c r="BE86" s="14">
        <f>BD86*VLOOKUP('Données projet'!$B$11,Paramètres!$A$1:$I$89,3,0)*VLOOKUP('Données projet'!$B$11,Paramètres!$A$1:$I$89,5,0)</f>
        <v>216.65999999999988</v>
      </c>
      <c r="BF86" s="14">
        <f t="shared" si="91"/>
        <v>53.388308148934307</v>
      </c>
      <c r="BG86" s="22">
        <f t="shared" si="61"/>
        <v>470.33413669272704</v>
      </c>
      <c r="BH86" s="62">
        <f t="shared" si="62"/>
        <v>731.06561648459092</v>
      </c>
      <c r="BI86" s="62">
        <f ca="1">AVERAGE(OFFSET($BH$3,0,0,'Données projet'!$E$11+1,1))-AVERAGE(OFFSET($H$3,0,0,'Données projet'!$E$11+1,1))</f>
        <v>455.26558725507834</v>
      </c>
      <c r="BJ86" s="62">
        <f t="shared" si="92"/>
        <v>278.60310966788552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1.7799999999999954</v>
      </c>
      <c r="BY86" s="13">
        <f>IF('Données projet'!$A$114&gt;35,BY85+BX86-CG85,IF(A86&lt;'Données projet'!$A$114,$BV$205^A86,IF(A86='Données projet'!$A$114,'Données projet'!$B$114,BY85+BX86-CG85)))</f>
        <v>293.63999999999965</v>
      </c>
      <c r="BZ86" s="14">
        <f>BY86*VLOOKUP('Données projet'!$B$12,Paramètres!$A$1:$I$89,3,0)*VLOOKUP('Données projet'!$B$12,Paramètres!$A$1:$I$89,5,0)</f>
        <v>152.69279999999983</v>
      </c>
      <c r="CA86" s="14">
        <f t="shared" si="93"/>
        <v>39.189898947127119</v>
      </c>
      <c r="CB86" s="22">
        <f t="shared" si="64"/>
        <v>334.19570066624607</v>
      </c>
      <c r="CC86" s="62">
        <f t="shared" si="65"/>
        <v>594.92718045811</v>
      </c>
      <c r="CD86" s="62">
        <f ca="1">AVERAGE(OFFSET($CC$3,0,0,'Données projet'!$E$12+1,1))-AVERAGE(OFFSET($H$3,0,0,'Données projet'!$E$12+1,1))</f>
        <v>300.72820267660154</v>
      </c>
      <c r="CE86" s="62">
        <f t="shared" si="94"/>
        <v>228.35388778608589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3.2051282051282044</v>
      </c>
      <c r="CT86" s="13">
        <f>IF('Données projet'!$A$140&gt;35,CT85+CS86-DB85,IF(A86&lt;'Données projet'!$A$140,$CQ$205^A86,IF(A86='Données projet'!$A$140,'Données projet'!$B$140,CT85+CS86-DB85)))</f>
        <v>201.28205128205116</v>
      </c>
      <c r="CU86" s="18">
        <f>CT86*VLOOKUP('Données projet'!$B$13,Paramètres!$A$1:$I$89,3,0)*VLOOKUP('Données projet'!$B$13,Paramètres!$A$1:$I$89,5,0)</f>
        <v>172.6999999999999</v>
      </c>
      <c r="CV86" s="14">
        <f t="shared" si="95"/>
        <v>43.694178078622784</v>
      </c>
      <c r="CW86" s="22">
        <f t="shared" si="67"/>
        <v>376.88652682026787</v>
      </c>
      <c r="CX86" s="62">
        <f t="shared" si="68"/>
        <v>637.61800661213181</v>
      </c>
      <c r="CY86" s="62">
        <f ca="1">AVERAGE(OFFSET($CX$3,0,0,'Données projet'!$E$13+1,1))-AVERAGE(OFFSET($H$3,0,0,'Données projet'!$E$13+1,1))</f>
        <v>384.3367849108829</v>
      </c>
      <c r="CZ86" s="62">
        <f t="shared" si="96"/>
        <v>238.2697272367603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9.0717948717948698</v>
      </c>
      <c r="DO86" s="13">
        <f>IF('Données projet'!$A$166&gt;35,DO85+DN86-DW85,IF(A86&lt;'Données projet'!$A$166,$DL$205^A86,IF(A86='Données projet'!$A$166,'Données projet'!$B$166,DO85+DN86-DW85)))</f>
        <v>346.8512820512816</v>
      </c>
      <c r="DP86" s="18">
        <f>DO86*VLOOKUP('Données projet'!$B$14,Paramètres!$A$1:$I$89,3,0)*VLOOKUP('Données projet'!$B$14,Paramètres!$A$1:$I$89,5,0)</f>
        <v>162.32639999999978</v>
      </c>
      <c r="DQ86" s="14">
        <f t="shared" si="97"/>
        <v>41.366799766899412</v>
      </c>
      <c r="DR86" s="22">
        <f t="shared" si="70"/>
        <v>354.76565626068276</v>
      </c>
      <c r="DS86" s="62">
        <f t="shared" si="71"/>
        <v>615.49713605254669</v>
      </c>
      <c r="DT86" s="62">
        <f ca="1">AVERAGE(OFFSET($DS$3,0,0,'Données projet'!$E$14+1,1))-AVERAGE(OFFSET($H$3,0,0,'Données projet'!$E$14+1,1))</f>
        <v>304.1100958939968</v>
      </c>
      <c r="DU86" s="62">
        <f t="shared" si="98"/>
        <v>184.1255966824568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3.2051282051282044</v>
      </c>
      <c r="EJ86" s="13">
        <f>IF('Données projet'!$A$192&gt;35,EJ85+EI86-ER85,IF(A86&lt;'Données projet'!$A$192,$EG$205^A86,IF(A86='Données projet'!$A$192,'Données projet'!$B$192,EJ85+EI86-ER85)))</f>
        <v>201.28205128205116</v>
      </c>
      <c r="EK86" s="18">
        <f>EJ86*VLOOKUP('Données projet'!$B$15,Paramètres!$A$1:$I$89,3,0)*VLOOKUP('Données projet'!$B$15,Paramètres!$A$1:$I$89,5,0)</f>
        <v>204.09999999999988</v>
      </c>
      <c r="EL86" s="14">
        <f t="shared" si="99"/>
        <v>50.644156694360163</v>
      </c>
      <c r="EM86" s="22">
        <f t="shared" si="73"/>
        <v>443.67940624267703</v>
      </c>
      <c r="EN86" s="62">
        <f t="shared" si="74"/>
        <v>704.41088603454091</v>
      </c>
      <c r="EO86" s="62">
        <f ca="1">AVERAGE(OFFSET($EN$3,0,0,'Données projet'!$E$15+1,1))-AVERAGE(OFFSET($H$3,0,0,'Données projet'!$E$15+1,1))</f>
        <v>435.03433721979218</v>
      </c>
      <c r="EP86" s="62">
        <f t="shared" si="100"/>
        <v>267.10015759286387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3.2051282051282044</v>
      </c>
      <c r="FE86" s="13">
        <f>IF('Données projet'!$A$218&gt;35,FE85+FD86-FM85,IF(A86&lt;'Données projet'!$A$218,$FB$205^A86,IF(A86='Données projet'!$A$218,'Données projet'!$B$218,FE85+FD86-FM85)))</f>
        <v>201.28205128205116</v>
      </c>
      <c r="FF86" s="18">
        <f>FE86*VLOOKUP('Données projet'!$B$16,Paramètres!$A$1:$I$89,3,0)*VLOOKUP('Données projet'!$B$16,Paramètres!$A$1:$I$89,5,0)</f>
        <v>210.37999999999988</v>
      </c>
      <c r="FG86" s="14">
        <f t="shared" si="101"/>
        <v>52.018616519592918</v>
      </c>
      <c r="FH86" s="22">
        <f t="shared" si="76"/>
        <v>457.01092377162405</v>
      </c>
      <c r="FI86" s="62">
        <f t="shared" si="77"/>
        <v>717.74240356348798</v>
      </c>
      <c r="FJ86" s="62">
        <f ca="1">AVERAGE(OFFSET($FI$3,0,0,'Données projet'!$E$16+1,1))-AVERAGE(OFFSET($H$3,0,0,'Données projet'!$E$16+1,1))</f>
        <v>445.15313998584293</v>
      </c>
      <c r="FK86" s="62">
        <f t="shared" si="102"/>
        <v>272.85357736694834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-5.6843418860808015E-14</v>
      </c>
      <c r="GA86" s="18">
        <f>FZ86*VLOOKUP('Données projet'!$B$17,Paramètres!$A$1:$I$89,3,0)*VLOOKUP('Données projet'!$B$17,Paramètres!$A$1:$I$89,5,0)</f>
        <v>-4.9658410716801891E-14</v>
      </c>
      <c r="GB86" s="14" t="e">
        <f t="shared" si="103"/>
        <v>#NUM!</v>
      </c>
      <c r="GC86" s="22" t="e">
        <f t="shared" si="79"/>
        <v>#NUM!</v>
      </c>
      <c r="GD86" s="62" t="e">
        <f t="shared" si="80"/>
        <v>#NUM!</v>
      </c>
      <c r="GE86" s="62">
        <f ca="1">AVERAGE(OFFSET($GD$3,0,0,'Données projet'!$E$17+1,1))-AVERAGE(OFFSET($H$3,0,0,'Données projet'!$E$17+1,1))</f>
        <v>248.82613595888964</v>
      </c>
      <c r="GF86" s="62">
        <f t="shared" si="104"/>
        <v>255.8298580882084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135.66666666666666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3.6835164835164806</v>
      </c>
      <c r="N87" s="14">
        <f>IF('Données projet'!$A$36&gt;35,N86+M87-V86,IF(A87&lt;'Données projet'!$A$36,$K$205^A87,IF(A87='Données projet'!$A$36,'Données projet'!$B$36,N86+M87-V86)))</f>
        <v>148.25164835164833</v>
      </c>
      <c r="O87" s="14">
        <f>N87*VLOOKUP('Données projet'!$B$9,Paramètres!$A$1:$I$89,3,0)*VLOOKUP('Données projet'!$B$9,Paramètres!$A$1:$I$89,5,0)</f>
        <v>86.727214285714282</v>
      </c>
      <c r="P87" s="14">
        <f t="shared" si="87"/>
        <v>23.774214325255532</v>
      </c>
      <c r="Q87" s="22">
        <f t="shared" si="54"/>
        <v>192.45665483077241</v>
      </c>
      <c r="R87" s="62">
        <f t="shared" si="55"/>
        <v>453.75370389475552</v>
      </c>
      <c r="S87" s="62">
        <f ca="1">AVERAGE(OFFSET($R$3,0,0,'Données projet'!$E$9+1,1))-AVERAGE(OFFSET($H$3,0,0,'Données projet'!$E$9+1,1))</f>
        <v>221.18884567967481</v>
      </c>
      <c r="T87" s="62">
        <f t="shared" si="88"/>
        <v>189.31596996710888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1.5429166666666674</v>
      </c>
      <c r="AI87" s="14">
        <f>IF('Données projet'!$A$62&gt;35,AI86+AH87-AQ86,IF(A87&lt;'Données projet'!$A$62,$AF$205^A87,IF(A87='Données projet'!$A$62,'Données projet'!$B$62,AI86+AH87-AQ86)))</f>
        <v>97.150833333333281</v>
      </c>
      <c r="AJ87" s="14">
        <f>AI87*VLOOKUP('Données projet'!$B$10,Paramètres!$A$1:$I$89,3,0)*VLOOKUP('Données projet'!$B$10,Paramètres!$A$1:$I$89,5,0)</f>
        <v>111.91775999999994</v>
      </c>
      <c r="AK87" s="14">
        <f t="shared" si="89"/>
        <v>29.782368266438901</v>
      </c>
      <c r="AL87" s="22">
        <f t="shared" si="58"/>
        <v>246.79439006404766</v>
      </c>
      <c r="AM87" s="62">
        <f t="shared" si="59"/>
        <v>508.0914391280308</v>
      </c>
      <c r="AN87" s="62">
        <f ca="1">AVERAGE(OFFSET($AM$3,0,0,'Données projet'!$E$10+1,1))-AVERAGE(OFFSET($H$3,0,0,'Données projet'!$E$10+1,1))</f>
        <v>314.72063458462026</v>
      </c>
      <c r="AO87" s="62">
        <f t="shared" si="90"/>
        <v>216.4380325968244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3.2051282051282044</v>
      </c>
      <c r="BD87" s="13">
        <f>IF('Données projet'!$A$88&gt;35,BD86+BC87-BL86,IF(A87&lt;'Données projet'!$A$88,$BA$205^A87,IF(A87='Données projet'!$A$88,'Données projet'!$B$88,BD86+BC87-BL86)))</f>
        <v>204.48717948717936</v>
      </c>
      <c r="BE87" s="14">
        <f>BD87*VLOOKUP('Données projet'!$B$11,Paramètres!$A$1:$I$89,3,0)*VLOOKUP('Données projet'!$B$11,Paramètres!$A$1:$I$89,5,0)</f>
        <v>220.10999999999987</v>
      </c>
      <c r="BF87" s="14">
        <f t="shared" si="91"/>
        <v>54.138792981515223</v>
      </c>
      <c r="BG87" s="22">
        <f t="shared" si="61"/>
        <v>477.64998110947209</v>
      </c>
      <c r="BH87" s="62">
        <f t="shared" si="62"/>
        <v>738.94703017345523</v>
      </c>
      <c r="BI87" s="62">
        <f ca="1">AVERAGE(OFFSET($BH$3,0,0,'Données projet'!$E$11+1,1))-AVERAGE(OFFSET($H$3,0,0,'Données projet'!$E$11+1,1))</f>
        <v>455.26558725507834</v>
      </c>
      <c r="BJ87" s="62">
        <f t="shared" si="92"/>
        <v>278.60310966788552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1.7799999999999954</v>
      </c>
      <c r="BY87" s="13">
        <f>IF('Données projet'!$A$114&gt;35,BY86+BX87-CG86,IF(A87&lt;'Données projet'!$A$114,$BV$205^A87,IF(A87='Données projet'!$A$114,'Données projet'!$B$114,BY86+BX87-CG86)))</f>
        <v>295.41999999999962</v>
      </c>
      <c r="BZ87" s="14">
        <f>BY87*VLOOKUP('Données projet'!$B$12,Paramètres!$A$1:$I$89,3,0)*VLOOKUP('Données projet'!$B$12,Paramètres!$A$1:$I$89,5,0)</f>
        <v>153.61839999999981</v>
      </c>
      <c r="CA87" s="14">
        <f t="shared" si="93"/>
        <v>39.399735786690194</v>
      </c>
      <c r="CB87" s="22">
        <f t="shared" si="64"/>
        <v>336.17325316181842</v>
      </c>
      <c r="CC87" s="62">
        <f t="shared" si="65"/>
        <v>597.47030222580156</v>
      </c>
      <c r="CD87" s="62">
        <f ca="1">AVERAGE(OFFSET($CC$3,0,0,'Données projet'!$E$12+1,1))-AVERAGE(OFFSET($H$3,0,0,'Données projet'!$E$12+1,1))</f>
        <v>300.72820267660154</v>
      </c>
      <c r="CE87" s="62">
        <f t="shared" si="94"/>
        <v>228.35388778608589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3.2051282051282044</v>
      </c>
      <c r="CT87" s="13">
        <f>IF('Données projet'!$A$140&gt;35,CT86+CS87-DB86,IF(A87&lt;'Données projet'!$A$140,$CQ$205^A87,IF(A87='Données projet'!$A$140,'Données projet'!$B$140,CT86+CS87-DB86)))</f>
        <v>204.48717948717936</v>
      </c>
      <c r="CU87" s="18">
        <f>CT87*VLOOKUP('Données projet'!$B$13,Paramètres!$A$1:$I$89,3,0)*VLOOKUP('Données projet'!$B$13,Paramètres!$A$1:$I$89,5,0)</f>
        <v>175.4499999999999</v>
      </c>
      <c r="CV87" s="14">
        <f t="shared" si="95"/>
        <v>44.308391547021486</v>
      </c>
      <c r="CW87" s="22">
        <f t="shared" si="67"/>
        <v>382.74586527772891</v>
      </c>
      <c r="CX87" s="62">
        <f t="shared" si="68"/>
        <v>644.04291434171205</v>
      </c>
      <c r="CY87" s="62">
        <f ca="1">AVERAGE(OFFSET($CX$3,0,0,'Données projet'!$E$13+1,1))-AVERAGE(OFFSET($H$3,0,0,'Données projet'!$E$13+1,1))</f>
        <v>384.3367849108829</v>
      </c>
      <c r="CZ87" s="62">
        <f t="shared" si="96"/>
        <v>238.2697272367603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9.0717948717948698</v>
      </c>
      <c r="DO87" s="13">
        <f>IF('Données projet'!$A$166&gt;35,DO86+DN87-DW86,IF(A87&lt;'Données projet'!$A$166,$DL$205^A87,IF(A87='Données projet'!$A$166,'Données projet'!$B$166,DO86+DN87-DW86)))</f>
        <v>355.92307692307645</v>
      </c>
      <c r="DP87" s="18">
        <f>DO87*VLOOKUP('Données projet'!$B$14,Paramètres!$A$1:$I$89,3,0)*VLOOKUP('Données projet'!$B$14,Paramètres!$A$1:$I$89,5,0)</f>
        <v>166.57199999999978</v>
      </c>
      <c r="DQ87" s="14">
        <f t="shared" si="97"/>
        <v>42.321357755693079</v>
      </c>
      <c r="DR87" s="22">
        <f t="shared" si="70"/>
        <v>363.82259809116505</v>
      </c>
      <c r="DS87" s="62">
        <f t="shared" si="71"/>
        <v>625.11964715514819</v>
      </c>
      <c r="DT87" s="62">
        <f ca="1">AVERAGE(OFFSET($DS$3,0,0,'Données projet'!$E$14+1,1))-AVERAGE(OFFSET($H$3,0,0,'Données projet'!$E$14+1,1))</f>
        <v>304.1100958939968</v>
      </c>
      <c r="DU87" s="62">
        <f t="shared" si="98"/>
        <v>184.1255966824568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3.2051282051282044</v>
      </c>
      <c r="EJ87" s="13">
        <f>IF('Données projet'!$A$192&gt;35,EJ86+EI87-ER86,IF(A87&lt;'Données projet'!$A$192,$EG$205^A87,IF(A87='Données projet'!$A$192,'Données projet'!$B$192,EJ86+EI87-ER86)))</f>
        <v>204.48717948717936</v>
      </c>
      <c r="EK87" s="18">
        <f>EJ87*VLOOKUP('Données projet'!$B$15,Paramètres!$A$1:$I$89,3,0)*VLOOKUP('Données projet'!$B$15,Paramètres!$A$1:$I$89,5,0)</f>
        <v>207.34999999999991</v>
      </c>
      <c r="EL87" s="14">
        <f t="shared" si="99"/>
        <v>51.356066713159422</v>
      </c>
      <c r="EM87" s="22">
        <f t="shared" si="73"/>
        <v>450.57973285875249</v>
      </c>
      <c r="EN87" s="62">
        <f t="shared" si="74"/>
        <v>711.87678192273563</v>
      </c>
      <c r="EO87" s="62">
        <f ca="1">AVERAGE(OFFSET($EN$3,0,0,'Données projet'!$E$15+1,1))-AVERAGE(OFFSET($H$3,0,0,'Données projet'!$E$15+1,1))</f>
        <v>435.03433721979218</v>
      </c>
      <c r="EP87" s="62">
        <f t="shared" si="100"/>
        <v>267.10015759286387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3.2051282051282044</v>
      </c>
      <c r="FE87" s="13">
        <f>IF('Données projet'!$A$218&gt;35,FE86+FD87-FM86,IF(A87&lt;'Données projet'!$A$218,$FB$205^A87,IF(A87='Données projet'!$A$218,'Données projet'!$B$218,FE86+FD87-FM86)))</f>
        <v>204.48717948717936</v>
      </c>
      <c r="FF87" s="18">
        <f>FE87*VLOOKUP('Données projet'!$B$16,Paramètres!$A$1:$I$89,3,0)*VLOOKUP('Données projet'!$B$16,Paramètres!$A$1:$I$89,5,0)</f>
        <v>213.7299999999999</v>
      </c>
      <c r="FG87" s="14">
        <f t="shared" si="101"/>
        <v>52.749847458788246</v>
      </c>
      <c r="FH87" s="22">
        <f t="shared" si="76"/>
        <v>464.11906765738928</v>
      </c>
      <c r="FI87" s="62">
        <f t="shared" si="77"/>
        <v>725.41611672137242</v>
      </c>
      <c r="FJ87" s="62">
        <f ca="1">AVERAGE(OFFSET($FI$3,0,0,'Données projet'!$E$16+1,1))-AVERAGE(OFFSET($H$3,0,0,'Données projet'!$E$16+1,1))</f>
        <v>445.15313998584293</v>
      </c>
      <c r="FK87" s="62">
        <f t="shared" si="102"/>
        <v>272.85357736694834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-5.6843418860808015E-14</v>
      </c>
      <c r="GA87" s="18">
        <f>FZ87*VLOOKUP('Données projet'!$B$17,Paramètres!$A$1:$I$89,3,0)*VLOOKUP('Données projet'!$B$17,Paramètres!$A$1:$I$89,5,0)</f>
        <v>-4.9658410716801891E-14</v>
      </c>
      <c r="GB87" s="14" t="e">
        <f t="shared" si="103"/>
        <v>#NUM!</v>
      </c>
      <c r="GC87" s="22" t="e">
        <f t="shared" si="79"/>
        <v>#NUM!</v>
      </c>
      <c r="GD87" s="62" t="e">
        <f t="shared" si="80"/>
        <v>#NUM!</v>
      </c>
      <c r="GE87" s="62">
        <f ca="1">AVERAGE(OFFSET($GD$3,0,0,'Données projet'!$E$17+1,1))-AVERAGE(OFFSET($H$3,0,0,'Données projet'!$E$17+1,1))</f>
        <v>248.82613595888964</v>
      </c>
      <c r="GF87" s="62">
        <f t="shared" si="104"/>
        <v>255.8298580882084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135.66666666666666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3.6835164835164806</v>
      </c>
      <c r="N88" s="14">
        <f>IF('Données projet'!$A$36&gt;35,N87+M88-V87,IF(A88&lt;'Données projet'!$A$36,$K$205^A88,IF(A88='Données projet'!$A$36,'Données projet'!$B$36,N87+M88-V87)))</f>
        <v>151.93516483516481</v>
      </c>
      <c r="O88" s="14">
        <f>N88*VLOOKUP('Données projet'!$B$9,Paramètres!$A$1:$I$89,3,0)*VLOOKUP('Données projet'!$B$9,Paramètres!$A$1:$I$89,5,0)</f>
        <v>88.882071428571422</v>
      </c>
      <c r="P88" s="14">
        <f t="shared" si="87"/>
        <v>24.295411721427023</v>
      </c>
      <c r="Q88" s="22">
        <f t="shared" si="54"/>
        <v>197.11744981958063</v>
      </c>
      <c r="R88" s="62">
        <f t="shared" si="55"/>
        <v>458.97025679323519</v>
      </c>
      <c r="S88" s="62">
        <f ca="1">AVERAGE(OFFSET($R$3,0,0,'Données projet'!$E$9+1,1))-AVERAGE(OFFSET($H$3,0,0,'Données projet'!$E$9+1,1))</f>
        <v>221.18884567967481</v>
      </c>
      <c r="T88" s="62">
        <f t="shared" si="88"/>
        <v>189.31596996710888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1.5429166666666674</v>
      </c>
      <c r="AI88" s="14">
        <f>IF('Données projet'!$A$62&gt;35,AI87+AH88-AQ87,IF(A88&lt;'Données projet'!$A$62,$AF$205^A88,IF(A88='Données projet'!$A$62,'Données projet'!$B$62,AI87+AH88-AQ87)))</f>
        <v>98.693749999999952</v>
      </c>
      <c r="AJ88" s="14">
        <f>AI88*VLOOKUP('Données projet'!$B$10,Paramètres!$A$1:$I$89,3,0)*VLOOKUP('Données projet'!$B$10,Paramètres!$A$1:$I$89,5,0)</f>
        <v>113.69519999999994</v>
      </c>
      <c r="AK88" s="14">
        <f t="shared" si="89"/>
        <v>30.199921279741705</v>
      </c>
      <c r="AL88" s="22">
        <f t="shared" si="58"/>
        <v>250.61733622888337</v>
      </c>
      <c r="AM88" s="62">
        <f t="shared" si="59"/>
        <v>512.470143202538</v>
      </c>
      <c r="AN88" s="62">
        <f ca="1">AVERAGE(OFFSET($AM$3,0,0,'Données projet'!$E$10+1,1))-AVERAGE(OFFSET($H$3,0,0,'Données projet'!$E$10+1,1))</f>
        <v>314.72063458462026</v>
      </c>
      <c r="AO88" s="62">
        <f t="shared" si="90"/>
        <v>216.4380325968244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207.69230769230768</v>
      </c>
      <c r="BB88" s="13">
        <f>VLOOKUP(A88,'Données projet'!$A$87:$I$107,9,0)</f>
        <v>3.2051282051282044</v>
      </c>
      <c r="BC88" s="13">
        <f t="array" ref="BC88">INDEX(BB:BB,MIN(IF(ISNUMBER(BB88:BB284),ROW(BB88:BB284),"")))</f>
        <v>3.2051282051282044</v>
      </c>
      <c r="BD88" s="13">
        <f>IF('Données projet'!$A$88&gt;35,BD87+BC88-BL87,IF(A88&lt;'Données projet'!$A$88,$BA$205^A88,IF(A88='Données projet'!$A$88,'Données projet'!$B$88,BD87+BC88-BL87)))</f>
        <v>207.69230769230757</v>
      </c>
      <c r="BE88" s="14">
        <f>BD88*VLOOKUP('Données projet'!$B$11,Paramètres!$A$1:$I$89,3,0)*VLOOKUP('Données projet'!$B$11,Paramètres!$A$1:$I$89,5,0)</f>
        <v>223.55999999999986</v>
      </c>
      <c r="BF88" s="14">
        <f t="shared" si="91"/>
        <v>54.88790978004134</v>
      </c>
      <c r="BG88" s="22">
        <f t="shared" si="61"/>
        <v>484.96344286690504</v>
      </c>
      <c r="BH88" s="62">
        <f t="shared" si="62"/>
        <v>746.81624984055964</v>
      </c>
      <c r="BI88" s="62">
        <f ca="1">AVERAGE(OFFSET($BH$3,0,0,'Données projet'!$E$11+1,1))-AVERAGE(OFFSET($H$3,0,0,'Données projet'!$E$11+1,1))</f>
        <v>455.26558725507834</v>
      </c>
      <c r="BJ88" s="62">
        <f t="shared" si="92"/>
        <v>278.60310966788552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297.2</v>
      </c>
      <c r="BW88" s="13">
        <f>VLOOKUP(A88,'Données projet'!$A$113:$I$133,9,0)</f>
        <v>1.7799999999999954</v>
      </c>
      <c r="BX88" s="13">
        <f t="array" ref="BX88">INDEX(BW:BW,MIN(IF(ISNUMBER(BW88:BW284),ROW(BW88:BW284),"")))</f>
        <v>1.7799999999999954</v>
      </c>
      <c r="BY88" s="13">
        <f>IF('Données projet'!$A$114&gt;35,BY87+BX88-CG87,IF(A88&lt;'Données projet'!$A$114,$BV$205^A88,IF(A88='Données projet'!$A$114,'Données projet'!$B$114,BY87+BX88-CG87)))</f>
        <v>297.19999999999959</v>
      </c>
      <c r="BZ88" s="14">
        <f>BY88*VLOOKUP('Données projet'!$B$12,Paramètres!$A$1:$I$89,3,0)*VLOOKUP('Données projet'!$B$12,Paramètres!$A$1:$I$89,5,0)</f>
        <v>154.54399999999978</v>
      </c>
      <c r="CA88" s="14">
        <f t="shared" si="93"/>
        <v>39.60942550842055</v>
      </c>
      <c r="CB88" s="22">
        <f t="shared" si="64"/>
        <v>338.15054942716534</v>
      </c>
      <c r="CC88" s="62">
        <f t="shared" si="65"/>
        <v>600.00335640081994</v>
      </c>
      <c r="CD88" s="62">
        <f ca="1">AVERAGE(OFFSET($CC$3,0,0,'Données projet'!$E$12+1,1))-AVERAGE(OFFSET($H$3,0,0,'Données projet'!$E$12+1,1))</f>
        <v>300.72820267660154</v>
      </c>
      <c r="CE88" s="62">
        <f t="shared" si="94"/>
        <v>228.35388778608589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207.69230769230768</v>
      </c>
      <c r="CR88" s="13">
        <f>VLOOKUP(A88,'Données projet'!$A$139:$I$159,9,0)</f>
        <v>3.2051282051282044</v>
      </c>
      <c r="CS88" s="13">
        <f t="array" ref="CS88">INDEX(CR:CR,MIN(IF(ISNUMBER(CR88:CR284),ROW(CR88:CR284),"")))</f>
        <v>3.2051282051282044</v>
      </c>
      <c r="CT88" s="13">
        <f>IF('Données projet'!$A$140&gt;35,CT87+CS88-DB87,IF(A88&lt;'Données projet'!$A$140,$CQ$205^A88,IF(A88='Données projet'!$A$140,'Données projet'!$B$140,CT87+CS88-DB87)))</f>
        <v>207.69230769230757</v>
      </c>
      <c r="CU88" s="18">
        <f>CT88*VLOOKUP('Données projet'!$B$13,Paramètres!$A$1:$I$89,3,0)*VLOOKUP('Données projet'!$B$13,Paramètres!$A$1:$I$89,5,0)</f>
        <v>178.1999999999999</v>
      </c>
      <c r="CV88" s="14">
        <f t="shared" si="95"/>
        <v>44.92148538594175</v>
      </c>
      <c r="CW88" s="22">
        <f t="shared" si="67"/>
        <v>388.60325371384835</v>
      </c>
      <c r="CX88" s="62">
        <f t="shared" si="68"/>
        <v>650.45606068750294</v>
      </c>
      <c r="CY88" s="62">
        <f ca="1">AVERAGE(OFFSET($CX$3,0,0,'Données projet'!$E$13+1,1))-AVERAGE(OFFSET($H$3,0,0,'Données projet'!$E$13+1,1))</f>
        <v>384.3367849108829</v>
      </c>
      <c r="CZ88" s="62">
        <f t="shared" si="96"/>
        <v>238.2697272367603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9.0717948717948698</v>
      </c>
      <c r="DO88" s="13">
        <f>IF('Données projet'!$A$166&gt;35,DO87+DN88-DW87,IF(A88&lt;'Données projet'!$A$166,$DL$205^A88,IF(A88='Données projet'!$A$166,'Données projet'!$B$166,DO87+DN88-DW87)))</f>
        <v>364.9948717948713</v>
      </c>
      <c r="DP88" s="18">
        <f>DO88*VLOOKUP('Données projet'!$B$14,Paramètres!$A$1:$I$89,3,0)*VLOOKUP('Données projet'!$B$14,Paramètres!$A$1:$I$89,5,0)</f>
        <v>170.81759999999977</v>
      </c>
      <c r="DQ88" s="14">
        <f t="shared" si="97"/>
        <v>43.273087623453243</v>
      </c>
      <c r="DR88" s="22">
        <f t="shared" si="70"/>
        <v>372.87461427751396</v>
      </c>
      <c r="DS88" s="62">
        <f t="shared" si="71"/>
        <v>634.72742125116861</v>
      </c>
      <c r="DT88" s="62">
        <f ca="1">AVERAGE(OFFSET($DS$3,0,0,'Données projet'!$E$14+1,1))-AVERAGE(OFFSET($H$3,0,0,'Données projet'!$E$14+1,1))</f>
        <v>304.1100958939968</v>
      </c>
      <c r="DU88" s="62">
        <f t="shared" si="98"/>
        <v>184.1255966824568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207.69230769230768</v>
      </c>
      <c r="EH88" s="13">
        <f>VLOOKUP(A88,'Données projet'!$A$191:$I$211,9,0)</f>
        <v>3.2051282051282044</v>
      </c>
      <c r="EI88" s="13">
        <f t="array" ref="EI88">INDEX(EH:EH,MIN(IF(ISNUMBER(EH88:EH284),ROW(EH88:EH284),"")))</f>
        <v>3.2051282051282044</v>
      </c>
      <c r="EJ88" s="13">
        <f>IF('Données projet'!$A$192&gt;35,EJ87+EI88-ER87,IF(A88&lt;'Données projet'!$A$192,$EG$205^A88,IF(A88='Données projet'!$A$192,'Données projet'!$B$192,EJ87+EI88-ER87)))</f>
        <v>207.69230769230757</v>
      </c>
      <c r="EK88" s="18">
        <f>EJ88*VLOOKUP('Données projet'!$B$15,Paramètres!$A$1:$I$89,3,0)*VLOOKUP('Données projet'!$B$15,Paramètres!$A$1:$I$89,5,0)</f>
        <v>210.59999999999988</v>
      </c>
      <c r="EL88" s="14">
        <f t="shared" si="99"/>
        <v>52.066679014659961</v>
      </c>
      <c r="EM88" s="22">
        <f t="shared" si="73"/>
        <v>457.47779928386586</v>
      </c>
      <c r="EN88" s="62">
        <f t="shared" si="74"/>
        <v>719.33060625752046</v>
      </c>
      <c r="EO88" s="62">
        <f ca="1">AVERAGE(OFFSET($EN$3,0,0,'Données projet'!$E$15+1,1))-AVERAGE(OFFSET($H$3,0,0,'Données projet'!$E$15+1,1))</f>
        <v>435.03433721979218</v>
      </c>
      <c r="EP88" s="62">
        <f t="shared" si="100"/>
        <v>267.10015759286387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207.69230769230768</v>
      </c>
      <c r="FC88" s="13">
        <f>VLOOKUP(A88,'Données projet'!$A$217:$I$237,9,0)</f>
        <v>3.2051282051282044</v>
      </c>
      <c r="FD88" s="13">
        <f t="array" ref="FD88">INDEX(FC:FC,MIN(IF(ISNUMBER(FC88:FC284),ROW(FC88:FC284),"")))</f>
        <v>3.2051282051282044</v>
      </c>
      <c r="FE88" s="13">
        <f>IF('Données projet'!$A$218&gt;35,FE87+FD88-FM87,IF(A88&lt;'Données projet'!$A$218,$FB$205^A88,IF(A88='Données projet'!$A$218,'Données projet'!$B$218,FE87+FD88-FM87)))</f>
        <v>207.69230769230757</v>
      </c>
      <c r="FF88" s="18">
        <f>FE88*VLOOKUP('Données projet'!$B$16,Paramètres!$A$1:$I$89,3,0)*VLOOKUP('Données projet'!$B$16,Paramètres!$A$1:$I$89,5,0)</f>
        <v>217.0799999999999</v>
      </c>
      <c r="FG88" s="14">
        <f t="shared" si="101"/>
        <v>53.479745461216197</v>
      </c>
      <c r="FH88" s="22">
        <f t="shared" si="76"/>
        <v>471.22489001161802</v>
      </c>
      <c r="FI88" s="62">
        <f t="shared" si="77"/>
        <v>733.07769698527261</v>
      </c>
      <c r="FJ88" s="62">
        <f ca="1">AVERAGE(OFFSET($FI$3,0,0,'Données projet'!$E$16+1,1))-AVERAGE(OFFSET($H$3,0,0,'Données projet'!$E$16+1,1))</f>
        <v>445.15313998584293</v>
      </c>
      <c r="FK88" s="62">
        <f t="shared" si="102"/>
        <v>272.85357736694834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-5.6843418860808015E-14</v>
      </c>
      <c r="GA88" s="18">
        <f>FZ88*VLOOKUP('Données projet'!$B$17,Paramètres!$A$1:$I$89,3,0)*VLOOKUP('Données projet'!$B$17,Paramètres!$A$1:$I$89,5,0)</f>
        <v>-4.9658410716801891E-14</v>
      </c>
      <c r="GB88" s="14" t="e">
        <f t="shared" si="103"/>
        <v>#NUM!</v>
      </c>
      <c r="GC88" s="22" t="e">
        <f t="shared" si="79"/>
        <v>#NUM!</v>
      </c>
      <c r="GD88" s="62" t="e">
        <f t="shared" si="80"/>
        <v>#NUM!</v>
      </c>
      <c r="GE88" s="62">
        <f ca="1">AVERAGE(OFFSET($GD$3,0,0,'Données projet'!$E$17+1,1))-AVERAGE(OFFSET($H$3,0,0,'Données projet'!$E$17+1,1))</f>
        <v>248.82613595888964</v>
      </c>
      <c r="GF88" s="62">
        <f t="shared" si="104"/>
        <v>255.8298580882084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135.66666666666666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3.6835164835164806</v>
      </c>
      <c r="N89" s="14">
        <f>IF('Données projet'!$A$36&gt;35,N88+M89-V88,IF(A89&lt;'Données projet'!$A$36,$K$205^A89,IF(A89='Données projet'!$A$36,'Données projet'!$B$36,N88+M89-V88)))</f>
        <v>155.6186813186813</v>
      </c>
      <c r="O89" s="14">
        <f>N89*VLOOKUP('Données projet'!$B$9,Paramètres!$A$1:$I$89,3,0)*VLOOKUP('Données projet'!$B$9,Paramètres!$A$1:$I$89,5,0)</f>
        <v>91.036928571428561</v>
      </c>
      <c r="P89" s="14">
        <f t="shared" si="87"/>
        <v>24.815140218873672</v>
      </c>
      <c r="Q89" s="22">
        <f t="shared" si="54"/>
        <v>201.77568647644307</v>
      </c>
      <c r="R89" s="62">
        <f t="shared" si="55"/>
        <v>464.17461020252478</v>
      </c>
      <c r="S89" s="62">
        <f ca="1">AVERAGE(OFFSET($R$3,0,0,'Données projet'!$E$9+1,1))-AVERAGE(OFFSET($H$3,0,0,'Données projet'!$E$9+1,1))</f>
        <v>221.18884567967481</v>
      </c>
      <c r="T89" s="62">
        <f t="shared" si="88"/>
        <v>189.31596996710888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1.5429166666666674</v>
      </c>
      <c r="AI89" s="14">
        <f>IF('Données projet'!$A$62&gt;35,AI88+AH89-AQ88,IF(A89&lt;'Données projet'!$A$62,$AF$205^A89,IF(A89='Données projet'!$A$62,'Données projet'!$B$62,AI88+AH89-AQ88)))</f>
        <v>100.23666666666662</v>
      </c>
      <c r="AJ89" s="14">
        <f>AI89*VLOOKUP('Données projet'!$B$10,Paramètres!$A$1:$I$89,3,0)*VLOOKUP('Données projet'!$B$10,Paramètres!$A$1:$I$89,5,0)</f>
        <v>115.47263999999994</v>
      </c>
      <c r="AK89" s="14">
        <f t="shared" si="89"/>
        <v>30.616715119547948</v>
      </c>
      <c r="AL89" s="22">
        <f t="shared" si="58"/>
        <v>254.43896016654585</v>
      </c>
      <c r="AM89" s="62">
        <f t="shared" si="59"/>
        <v>516.83788389262759</v>
      </c>
      <c r="AN89" s="62">
        <f ca="1">AVERAGE(OFFSET($AM$3,0,0,'Données projet'!$E$10+1,1))-AVERAGE(OFFSET($H$3,0,0,'Données projet'!$E$10+1,1))</f>
        <v>314.72063458462026</v>
      </c>
      <c r="AO89" s="62">
        <f t="shared" si="90"/>
        <v>216.4380325968244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2.9487179487179502</v>
      </c>
      <c r="BD89" s="13">
        <f>IF('Données projet'!$A$88&gt;35,BD88+BC89-BL88,IF(A89&lt;'Données projet'!$A$88,$BA$205^A89,IF(A89='Données projet'!$A$88,'Données projet'!$B$88,BD88+BC89-BL88)))</f>
        <v>210.64102564102552</v>
      </c>
      <c r="BE89" s="14">
        <f>BD89*VLOOKUP('Données projet'!$B$11,Paramètres!$A$1:$I$89,3,0)*VLOOKUP('Données projet'!$B$11,Paramètres!$A$1:$I$89,5,0)</f>
        <v>226.73399999999987</v>
      </c>
      <c r="BF89" s="14">
        <f t="shared" si="91"/>
        <v>55.575909244657275</v>
      </c>
      <c r="BG89" s="22">
        <f t="shared" si="61"/>
        <v>491.68975860111124</v>
      </c>
      <c r="BH89" s="62">
        <f t="shared" si="62"/>
        <v>754.08868232719294</v>
      </c>
      <c r="BI89" s="62">
        <f ca="1">AVERAGE(OFFSET($BH$3,0,0,'Données projet'!$E$11+1,1))-AVERAGE(OFFSET($H$3,0,0,'Données projet'!$E$11+1,1))</f>
        <v>455.26558725507834</v>
      </c>
      <c r="BJ89" s="62">
        <f t="shared" si="92"/>
        <v>278.60310966788552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1.5399999999999978</v>
      </c>
      <c r="BY89" s="13">
        <f>IF('Données projet'!$A$114&gt;35,BY88+BX89-CG88,IF(A89&lt;'Données projet'!$A$114,$BV$205^A89,IF(A89='Données projet'!$A$114,'Données projet'!$B$114,BY88+BX89-CG88)))</f>
        <v>298.73999999999961</v>
      </c>
      <c r="BZ89" s="14">
        <f>BY89*VLOOKUP('Données projet'!$B$12,Paramètres!$A$1:$I$89,3,0)*VLOOKUP('Données projet'!$B$12,Paramètres!$A$1:$I$89,5,0)</f>
        <v>155.34479999999982</v>
      </c>
      <c r="CA89" s="14">
        <f t="shared" si="93"/>
        <v>39.790724515827861</v>
      </c>
      <c r="CB89" s="22">
        <f t="shared" si="64"/>
        <v>339.86103853173319</v>
      </c>
      <c r="CC89" s="62">
        <f t="shared" si="65"/>
        <v>602.25996225781489</v>
      </c>
      <c r="CD89" s="62">
        <f ca="1">AVERAGE(OFFSET($CC$3,0,0,'Données projet'!$E$12+1,1))-AVERAGE(OFFSET($H$3,0,0,'Données projet'!$E$12+1,1))</f>
        <v>300.72820267660154</v>
      </c>
      <c r="CE89" s="62">
        <f t="shared" si="94"/>
        <v>228.35388778608589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2.9487179487179502</v>
      </c>
      <c r="CT89" s="13">
        <f>IF('Données projet'!$A$140&gt;35,CT88+CS89-DB88,IF(A89&lt;'Données projet'!$A$140,$CQ$205^A89,IF(A89='Données projet'!$A$140,'Données projet'!$B$140,CT88+CS89-DB88)))</f>
        <v>210.64102564102552</v>
      </c>
      <c r="CU89" s="18">
        <f>CT89*VLOOKUP('Données projet'!$B$13,Paramètres!$A$1:$I$89,3,0)*VLOOKUP('Données projet'!$B$13,Paramètres!$A$1:$I$89,5,0)</f>
        <v>180.7299999999999</v>
      </c>
      <c r="CV89" s="14">
        <f t="shared" si="95"/>
        <v>45.484559440303329</v>
      </c>
      <c r="CW89" s="22">
        <f t="shared" si="67"/>
        <v>393.99035769186139</v>
      </c>
      <c r="CX89" s="62">
        <f t="shared" si="68"/>
        <v>656.38928141794304</v>
      </c>
      <c r="CY89" s="62">
        <f ca="1">AVERAGE(OFFSET($CX$3,0,0,'Données projet'!$E$13+1,1))-AVERAGE(OFFSET($H$3,0,0,'Données projet'!$E$13+1,1))</f>
        <v>384.3367849108829</v>
      </c>
      <c r="CZ89" s="62">
        <f t="shared" si="96"/>
        <v>238.2697272367603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9.0717948717948698</v>
      </c>
      <c r="DO89" s="13">
        <f>IF('Données projet'!$A$166&gt;35,DO88+DN89-DW88,IF(A89&lt;'Données projet'!$A$166,$DL$205^A89,IF(A89='Données projet'!$A$166,'Données projet'!$B$166,DO88+DN89-DW88)))</f>
        <v>374.06666666666615</v>
      </c>
      <c r="DP89" s="18">
        <f>DO89*VLOOKUP('Données projet'!$B$14,Paramètres!$A$1:$I$89,3,0)*VLOOKUP('Données projet'!$B$14,Paramètres!$A$1:$I$89,5,0)</f>
        <v>175.06319999999977</v>
      </c>
      <c r="DQ89" s="14">
        <f t="shared" si="97"/>
        <v>44.222067746824685</v>
      </c>
      <c r="DR89" s="22">
        <f t="shared" si="70"/>
        <v>381.92184132571924</v>
      </c>
      <c r="DS89" s="62">
        <f t="shared" si="71"/>
        <v>644.32076505180089</v>
      </c>
      <c r="DT89" s="62">
        <f ca="1">AVERAGE(OFFSET($DS$3,0,0,'Données projet'!$E$14+1,1))-AVERAGE(OFFSET($H$3,0,0,'Données projet'!$E$14+1,1))</f>
        <v>304.1100958939968</v>
      </c>
      <c r="DU89" s="62">
        <f t="shared" si="98"/>
        <v>184.1255966824568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2.9487179487179502</v>
      </c>
      <c r="EJ89" s="13">
        <f>IF('Données projet'!$A$192&gt;35,EJ88+EI89-ER88,IF(A89&lt;'Données projet'!$A$192,$EG$205^A89,IF(A89='Données projet'!$A$192,'Données projet'!$B$192,EJ88+EI89-ER88)))</f>
        <v>210.64102564102552</v>
      </c>
      <c r="EK89" s="18">
        <f>EJ89*VLOOKUP('Données projet'!$B$15,Paramètres!$A$1:$I$89,3,0)*VLOOKUP('Données projet'!$B$15,Paramètres!$A$1:$I$89,5,0)</f>
        <v>213.58999999999989</v>
      </c>
      <c r="EL89" s="14">
        <f t="shared" si="99"/>
        <v>52.719315404531038</v>
      </c>
      <c r="EM89" s="22">
        <f t="shared" si="73"/>
        <v>463.82205766289138</v>
      </c>
      <c r="EN89" s="62">
        <f t="shared" si="74"/>
        <v>726.22098138897309</v>
      </c>
      <c r="EO89" s="62">
        <f ca="1">AVERAGE(OFFSET($EN$3,0,0,'Données projet'!$E$15+1,1))-AVERAGE(OFFSET($H$3,0,0,'Données projet'!$E$15+1,1))</f>
        <v>435.03433721979218</v>
      </c>
      <c r="EP89" s="62">
        <f t="shared" si="100"/>
        <v>267.10015759286387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2.9487179487179502</v>
      </c>
      <c r="FE89" s="13">
        <f>IF('Données projet'!$A$218&gt;35,FE88+FD89-FM88,IF(A89&lt;'Données projet'!$A$218,$FB$205^A89,IF(A89='Données projet'!$A$218,'Données projet'!$B$218,FE88+FD89-FM88)))</f>
        <v>210.64102564102552</v>
      </c>
      <c r="FF89" s="18">
        <f>FE89*VLOOKUP('Données projet'!$B$16,Paramètres!$A$1:$I$89,3,0)*VLOOKUP('Données projet'!$B$16,Paramètres!$A$1:$I$89,5,0)</f>
        <v>220.16199999999989</v>
      </c>
      <c r="FG89" s="14">
        <f t="shared" si="101"/>
        <v>54.150094111630509</v>
      </c>
      <c r="FH89" s="22">
        <f t="shared" si="76"/>
        <v>477.76023057775632</v>
      </c>
      <c r="FI89" s="62">
        <f t="shared" si="77"/>
        <v>740.15915430383802</v>
      </c>
      <c r="FJ89" s="62">
        <f ca="1">AVERAGE(OFFSET($FI$3,0,0,'Données projet'!$E$16+1,1))-AVERAGE(OFFSET($H$3,0,0,'Données projet'!$E$16+1,1))</f>
        <v>445.15313998584293</v>
      </c>
      <c r="FK89" s="62">
        <f t="shared" si="102"/>
        <v>272.85357736694834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-5.6843418860808015E-14</v>
      </c>
      <c r="GA89" s="18">
        <f>FZ89*VLOOKUP('Données projet'!$B$17,Paramètres!$A$1:$I$89,3,0)*VLOOKUP('Données projet'!$B$17,Paramètres!$A$1:$I$89,5,0)</f>
        <v>-4.9658410716801891E-14</v>
      </c>
      <c r="GB89" s="14" t="e">
        <f t="shared" si="103"/>
        <v>#NUM!</v>
      </c>
      <c r="GC89" s="22" t="e">
        <f t="shared" si="79"/>
        <v>#NUM!</v>
      </c>
      <c r="GD89" s="62" t="e">
        <f t="shared" si="80"/>
        <v>#NUM!</v>
      </c>
      <c r="GE89" s="62">
        <f ca="1">AVERAGE(OFFSET($GD$3,0,0,'Données projet'!$E$17+1,1))-AVERAGE(OFFSET($H$3,0,0,'Données projet'!$E$17+1,1))</f>
        <v>248.82613595888964</v>
      </c>
      <c r="GF89" s="62">
        <f t="shared" si="104"/>
        <v>255.8298580882084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135.66666666666666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3.6835164835164806</v>
      </c>
      <c r="N90" s="14">
        <f>IF('Données projet'!$A$36&gt;35,N89+M90-V89,IF(A90&lt;'Données projet'!$A$36,$K$205^A90,IF(A90='Données projet'!$A$36,'Données projet'!$B$36,N89+M90-V89)))</f>
        <v>159.30219780219778</v>
      </c>
      <c r="O90" s="14">
        <f>N90*VLOOKUP('Données projet'!$B$9,Paramètres!$A$1:$I$89,3,0)*VLOOKUP('Données projet'!$B$9,Paramètres!$A$1:$I$89,5,0)</f>
        <v>93.191785714285714</v>
      </c>
      <c r="P90" s="14">
        <f t="shared" si="87"/>
        <v>25.333438587650654</v>
      </c>
      <c r="Q90" s="22">
        <f t="shared" si="54"/>
        <v>206.43143232587249</v>
      </c>
      <c r="R90" s="62">
        <f t="shared" si="55"/>
        <v>469.36699889966093</v>
      </c>
      <c r="S90" s="62">
        <f ca="1">AVERAGE(OFFSET($R$3,0,0,'Données projet'!$E$9+1,1))-AVERAGE(OFFSET($H$3,0,0,'Données projet'!$E$9+1,1))</f>
        <v>221.18884567967481</v>
      </c>
      <c r="T90" s="62">
        <f t="shared" si="88"/>
        <v>189.31596996710888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1.5429166666666674</v>
      </c>
      <c r="AI90" s="14">
        <f>IF('Données projet'!$A$62&gt;35,AI89+AH90-AQ89,IF(A90&lt;'Données projet'!$A$62,$AF$205^A90,IF(A90='Données projet'!$A$62,'Données projet'!$B$62,AI89+AH90-AQ89)))</f>
        <v>101.77958333333329</v>
      </c>
      <c r="AJ90" s="14">
        <f>AI90*VLOOKUP('Données projet'!$B$10,Paramètres!$A$1:$I$89,3,0)*VLOOKUP('Données projet'!$B$10,Paramètres!$A$1:$I$89,5,0)</f>
        <v>117.25007999999994</v>
      </c>
      <c r="AK90" s="14">
        <f t="shared" si="89"/>
        <v>31.032762821194346</v>
      </c>
      <c r="AL90" s="22">
        <f t="shared" si="58"/>
        <v>258.25928458024669</v>
      </c>
      <c r="AM90" s="62">
        <f t="shared" si="59"/>
        <v>521.19485115403518</v>
      </c>
      <c r="AN90" s="62">
        <f ca="1">AVERAGE(OFFSET($AM$3,0,0,'Données projet'!$E$10+1,1))-AVERAGE(OFFSET($H$3,0,0,'Données projet'!$E$10+1,1))</f>
        <v>314.72063458462026</v>
      </c>
      <c r="AO90" s="62">
        <f t="shared" si="90"/>
        <v>216.4380325968244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2.9487179487179502</v>
      </c>
      <c r="BD90" s="13">
        <f>IF('Données projet'!$A$88&gt;35,BD89+BC90-BL89,IF(A90&lt;'Données projet'!$A$88,$BA$205^A90,IF(A90='Données projet'!$A$88,'Données projet'!$B$88,BD89+BC90-BL89)))</f>
        <v>213.58974358974348</v>
      </c>
      <c r="BE90" s="14">
        <f>BD90*VLOOKUP('Données projet'!$B$11,Paramètres!$A$1:$I$89,3,0)*VLOOKUP('Données projet'!$B$11,Paramètres!$A$1:$I$89,5,0)</f>
        <v>229.90799999999987</v>
      </c>
      <c r="BF90" s="14">
        <f t="shared" si="91"/>
        <v>56.262788517013057</v>
      </c>
      <c r="BG90" s="22">
        <f t="shared" si="61"/>
        <v>498.41412333379748</v>
      </c>
      <c r="BH90" s="62">
        <f t="shared" si="62"/>
        <v>761.34968990758591</v>
      </c>
      <c r="BI90" s="62">
        <f ca="1">AVERAGE(OFFSET($BH$3,0,0,'Données projet'!$E$11+1,1))-AVERAGE(OFFSET($H$3,0,0,'Données projet'!$E$11+1,1))</f>
        <v>455.26558725507834</v>
      </c>
      <c r="BJ90" s="62">
        <f t="shared" si="92"/>
        <v>278.60310966788552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1.5399999999999978</v>
      </c>
      <c r="BY90" s="13">
        <f>IF('Données projet'!$A$114&gt;35,BY89+BX90-CG89,IF(A90&lt;'Données projet'!$A$114,$BV$205^A90,IF(A90='Données projet'!$A$114,'Données projet'!$B$114,BY89+BX90-CG89)))</f>
        <v>300.27999999999963</v>
      </c>
      <c r="BZ90" s="14">
        <f>BY90*VLOOKUP('Données projet'!$B$12,Paramètres!$A$1:$I$89,3,0)*VLOOKUP('Données projet'!$B$12,Paramètres!$A$1:$I$89,5,0)</f>
        <v>156.1455999999998</v>
      </c>
      <c r="CA90" s="14">
        <f t="shared" si="93"/>
        <v>39.971914768670302</v>
      </c>
      <c r="CB90" s="22">
        <f t="shared" si="64"/>
        <v>341.57133822210039</v>
      </c>
      <c r="CC90" s="62">
        <f t="shared" si="65"/>
        <v>604.50690479588889</v>
      </c>
      <c r="CD90" s="62">
        <f ca="1">AVERAGE(OFFSET($CC$3,0,0,'Données projet'!$E$12+1,1))-AVERAGE(OFFSET($H$3,0,0,'Données projet'!$E$12+1,1))</f>
        <v>300.72820267660154</v>
      </c>
      <c r="CE90" s="62">
        <f t="shared" si="94"/>
        <v>228.35388778608589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2.9487179487179502</v>
      </c>
      <c r="CT90" s="13">
        <f>IF('Données projet'!$A$140&gt;35,CT89+CS90-DB89,IF(A90&lt;'Données projet'!$A$140,$CQ$205^A90,IF(A90='Données projet'!$A$140,'Données projet'!$B$140,CT89+CS90-DB89)))</f>
        <v>213.58974358974348</v>
      </c>
      <c r="CU90" s="18">
        <f>CT90*VLOOKUP('Données projet'!$B$13,Paramètres!$A$1:$I$89,3,0)*VLOOKUP('Données projet'!$B$13,Paramètres!$A$1:$I$89,5,0)</f>
        <v>183.25999999999993</v>
      </c>
      <c r="CV90" s="14">
        <f t="shared" si="95"/>
        <v>46.046716704420106</v>
      </c>
      <c r="CW90" s="22">
        <f t="shared" si="67"/>
        <v>399.37586492686484</v>
      </c>
      <c r="CX90" s="62">
        <f t="shared" si="68"/>
        <v>662.31143150065327</v>
      </c>
      <c r="CY90" s="62">
        <f ca="1">AVERAGE(OFFSET($CX$3,0,0,'Données projet'!$E$13+1,1))-AVERAGE(OFFSET($H$3,0,0,'Données projet'!$E$13+1,1))</f>
        <v>384.3367849108829</v>
      </c>
      <c r="CZ90" s="62">
        <f t="shared" si="96"/>
        <v>238.2697272367603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>
        <f>VLOOKUP(A90,'Données projet'!$A$165:$I$185,2,0)</f>
        <v>383.13846153846151</v>
      </c>
      <c r="DM90" s="13">
        <f>VLOOKUP(A90,'Données projet'!$A$165:$I$185,9,0)</f>
        <v>9.0717948717948698</v>
      </c>
      <c r="DN90" s="13">
        <f t="array" ref="DN90">INDEX(DM:DM,MIN(IF(ISNUMBER(DM90:DM286),ROW(DM90:DM286),"")))</f>
        <v>9.0717948717948698</v>
      </c>
      <c r="DO90" s="13">
        <f>IF('Données projet'!$A$166&gt;35,DO89+DN90-DW89,IF(A90&lt;'Données projet'!$A$166,$DL$205^A90,IF(A90='Données projet'!$A$166,'Données projet'!$B$166,DO89+DN90-DW89)))</f>
        <v>383.138461538461</v>
      </c>
      <c r="DP90" s="18">
        <f>DO90*VLOOKUP('Données projet'!$B$14,Paramètres!$A$1:$I$89,3,0)*VLOOKUP('Données projet'!$B$14,Paramètres!$A$1:$I$89,5,0)</f>
        <v>179.30879999999974</v>
      </c>
      <c r="DQ90" s="14">
        <f t="shared" si="97"/>
        <v>45.168372484136519</v>
      </c>
      <c r="DR90" s="22">
        <f t="shared" si="70"/>
        <v>390.96440874320393</v>
      </c>
      <c r="DS90" s="62">
        <f t="shared" si="71"/>
        <v>653.89997531699237</v>
      </c>
      <c r="DT90" s="62">
        <f ca="1">AVERAGE(OFFSET($DS$3,0,0,'Données projet'!$E$14+1,1))-AVERAGE(OFFSET($H$3,0,0,'Données projet'!$E$14+1,1))</f>
        <v>304.1100958939968</v>
      </c>
      <c r="DU90" s="62">
        <f t="shared" si="98"/>
        <v>184.1255966824568</v>
      </c>
      <c r="DV90" s="16">
        <f>IF(ISNA(VLOOKUP(A90,'Données projet'!$A$165:$I$185,3,0)),0,VLOOKUP(A90,'Données projet'!$A$165:$I$185,3,0))</f>
        <v>4</v>
      </c>
      <c r="DW90" s="16">
        <f>IF(ISNA(VLOOKUP(A90,'Données projet'!$A$165:$I$185,4,0)),0,VLOOKUP(A90,'Données projet'!$A$165:$I$185,4,0))</f>
        <v>82.938461538461524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2.9487179487179502</v>
      </c>
      <c r="EJ90" s="13">
        <f>IF('Données projet'!$A$192&gt;35,EJ89+EI90-ER89,IF(A90&lt;'Données projet'!$A$192,$EG$205^A90,IF(A90='Données projet'!$A$192,'Données projet'!$B$192,EJ89+EI90-ER89)))</f>
        <v>213.58974358974348</v>
      </c>
      <c r="EK90" s="18">
        <f>EJ90*VLOOKUP('Données projet'!$B$15,Paramètres!$A$1:$I$89,3,0)*VLOOKUP('Données projet'!$B$15,Paramètres!$A$1:$I$89,5,0)</f>
        <v>216.5799999999999</v>
      </c>
      <c r="EL90" s="14">
        <f t="shared" si="99"/>
        <v>53.37088917986501</v>
      </c>
      <c r="EM90" s="22">
        <f t="shared" si="73"/>
        <v>470.16446532159807</v>
      </c>
      <c r="EN90" s="62">
        <f t="shared" si="74"/>
        <v>733.10003189538656</v>
      </c>
      <c r="EO90" s="62">
        <f ca="1">AVERAGE(OFFSET($EN$3,0,0,'Données projet'!$E$15+1,1))-AVERAGE(OFFSET($H$3,0,0,'Données projet'!$E$15+1,1))</f>
        <v>435.03433721979218</v>
      </c>
      <c r="EP90" s="62">
        <f t="shared" si="100"/>
        <v>267.10015759286387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2.9487179487179502</v>
      </c>
      <c r="FE90" s="13">
        <f>IF('Données projet'!$A$218&gt;35,FE89+FD90-FM89,IF(A90&lt;'Données projet'!$A$218,$FB$205^A90,IF(A90='Données projet'!$A$218,'Données projet'!$B$218,FE89+FD90-FM89)))</f>
        <v>213.58974358974348</v>
      </c>
      <c r="FF90" s="18">
        <f>FE90*VLOOKUP('Données projet'!$B$16,Paramètres!$A$1:$I$89,3,0)*VLOOKUP('Données projet'!$B$16,Paramètres!$A$1:$I$89,5,0)</f>
        <v>223.24399999999989</v>
      </c>
      <c r="FG90" s="14">
        <f t="shared" si="101"/>
        <v>54.819351308623148</v>
      </c>
      <c r="FH90" s="22">
        <f t="shared" si="76"/>
        <v>484.2936701958518</v>
      </c>
      <c r="FI90" s="62">
        <f t="shared" si="77"/>
        <v>747.22923676964024</v>
      </c>
      <c r="FJ90" s="62">
        <f ca="1">AVERAGE(OFFSET($FI$3,0,0,'Données projet'!$E$16+1,1))-AVERAGE(OFFSET($H$3,0,0,'Données projet'!$E$16+1,1))</f>
        <v>445.15313998584293</v>
      </c>
      <c r="FK90" s="62">
        <f t="shared" si="102"/>
        <v>272.85357736694834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-5.6843418860808015E-14</v>
      </c>
      <c r="GA90" s="18">
        <f>FZ90*VLOOKUP('Données projet'!$B$17,Paramètres!$A$1:$I$89,3,0)*VLOOKUP('Données projet'!$B$17,Paramètres!$A$1:$I$89,5,0)</f>
        <v>-4.9658410716801891E-14</v>
      </c>
      <c r="GB90" s="14" t="e">
        <f t="shared" si="103"/>
        <v>#NUM!</v>
      </c>
      <c r="GC90" s="22" t="e">
        <f t="shared" si="79"/>
        <v>#NUM!</v>
      </c>
      <c r="GD90" s="62" t="e">
        <f t="shared" si="80"/>
        <v>#NUM!</v>
      </c>
      <c r="GE90" s="62">
        <f ca="1">AVERAGE(OFFSET($GD$3,0,0,'Données projet'!$E$17+1,1))-AVERAGE(OFFSET($H$3,0,0,'Données projet'!$E$17+1,1))</f>
        <v>248.82613595888964</v>
      </c>
      <c r="GF90" s="62">
        <f t="shared" si="104"/>
        <v>255.8298580882084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135.66666666666666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3.6835164835164806</v>
      </c>
      <c r="N91" s="14">
        <f>IF('Données projet'!$A$36&gt;35,N90+M91-V90,IF(A91&lt;'Données projet'!$A$36,$K$205^A91,IF(A91='Données projet'!$A$36,'Données projet'!$B$36,N90+M91-V90)))</f>
        <v>162.98571428571427</v>
      </c>
      <c r="O91" s="14">
        <f>N91*VLOOKUP('Données projet'!$B$9,Paramètres!$A$1:$I$89,3,0)*VLOOKUP('Données projet'!$B$9,Paramètres!$A$1:$I$89,5,0)</f>
        <v>95.346642857142854</v>
      </c>
      <c r="P91" s="14">
        <f t="shared" si="87"/>
        <v>25.850343702560167</v>
      </c>
      <c r="Q91" s="22">
        <f t="shared" si="54"/>
        <v>211.08475159148273</v>
      </c>
      <c r="R91" s="62">
        <f t="shared" si="55"/>
        <v>474.54765145932379</v>
      </c>
      <c r="S91" s="62">
        <f ca="1">AVERAGE(OFFSET($R$3,0,0,'Données projet'!$E$9+1,1))-AVERAGE(OFFSET($H$3,0,0,'Données projet'!$E$9+1,1))</f>
        <v>221.18884567967481</v>
      </c>
      <c r="T91" s="62">
        <f t="shared" si="88"/>
        <v>189.31596996710888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1.5429166666666674</v>
      </c>
      <c r="AI91" s="14">
        <f>IF('Données projet'!$A$62&gt;35,AI90+AH91-AQ90,IF(A91&lt;'Données projet'!$A$62,$AF$205^A91,IF(A91='Données projet'!$A$62,'Données projet'!$B$62,AI90+AH91-AQ90)))</f>
        <v>103.32249999999996</v>
      </c>
      <c r="AJ91" s="14">
        <f>AI91*VLOOKUP('Données projet'!$B$10,Paramètres!$A$1:$I$89,3,0)*VLOOKUP('Données projet'!$B$10,Paramètres!$A$1:$I$89,5,0)</f>
        <v>119.02751999999994</v>
      </c>
      <c r="AK91" s="14">
        <f t="shared" si="89"/>
        <v>31.448077002121423</v>
      </c>
      <c r="AL91" s="22">
        <f t="shared" si="58"/>
        <v>262.07833144536136</v>
      </c>
      <c r="AM91" s="62">
        <f t="shared" si="59"/>
        <v>525.54123131320239</v>
      </c>
      <c r="AN91" s="62">
        <f ca="1">AVERAGE(OFFSET($AM$3,0,0,'Données projet'!$E$10+1,1))-AVERAGE(OFFSET($H$3,0,0,'Données projet'!$E$10+1,1))</f>
        <v>314.72063458462026</v>
      </c>
      <c r="AO91" s="62">
        <f t="shared" si="90"/>
        <v>216.4380325968244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2.9487179487179502</v>
      </c>
      <c r="BD91" s="13">
        <f>IF('Données projet'!$A$88&gt;35,BD90+BC91-BL90,IF(A91&lt;'Données projet'!$A$88,$BA$205^A91,IF(A91='Données projet'!$A$88,'Données projet'!$B$88,BD90+BC91-BL90)))</f>
        <v>216.53846153846143</v>
      </c>
      <c r="BE91" s="14">
        <f>BD91*VLOOKUP('Données projet'!$B$11,Paramètres!$A$1:$I$89,3,0)*VLOOKUP('Données projet'!$B$11,Paramètres!$A$1:$I$89,5,0)</f>
        <v>233.08199999999988</v>
      </c>
      <c r="BF91" s="14">
        <f t="shared" si="91"/>
        <v>56.948564849293405</v>
      </c>
      <c r="BG91" s="22">
        <f t="shared" si="61"/>
        <v>505.13656711251906</v>
      </c>
      <c r="BH91" s="62">
        <f t="shared" si="62"/>
        <v>768.59946698036015</v>
      </c>
      <c r="BI91" s="62">
        <f ca="1">AVERAGE(OFFSET($BH$3,0,0,'Données projet'!$E$11+1,1))-AVERAGE(OFFSET($H$3,0,0,'Données projet'!$E$11+1,1))</f>
        <v>455.26558725507834</v>
      </c>
      <c r="BJ91" s="62">
        <f t="shared" si="92"/>
        <v>278.60310966788552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1.5399999999999978</v>
      </c>
      <c r="BY91" s="13">
        <f>IF('Données projet'!$A$114&gt;35,BY90+BX91-CG90,IF(A91&lt;'Données projet'!$A$114,$BV$205^A91,IF(A91='Données projet'!$A$114,'Données projet'!$B$114,BY90+BX91-CG90)))</f>
        <v>301.81999999999965</v>
      </c>
      <c r="BZ91" s="14">
        <f>BY91*VLOOKUP('Données projet'!$B$12,Paramètres!$A$1:$I$89,3,0)*VLOOKUP('Données projet'!$B$12,Paramètres!$A$1:$I$89,5,0)</f>
        <v>156.94639999999984</v>
      </c>
      <c r="CA91" s="14">
        <f t="shared" si="93"/>
        <v>40.152996889442761</v>
      </c>
      <c r="CB91" s="22">
        <f t="shared" si="64"/>
        <v>343.28144958244587</v>
      </c>
      <c r="CC91" s="62">
        <f t="shared" si="65"/>
        <v>606.74434945028702</v>
      </c>
      <c r="CD91" s="62">
        <f ca="1">AVERAGE(OFFSET($CC$3,0,0,'Données projet'!$E$12+1,1))-AVERAGE(OFFSET($H$3,0,0,'Données projet'!$E$12+1,1))</f>
        <v>300.72820267660154</v>
      </c>
      <c r="CE91" s="62">
        <f t="shared" si="94"/>
        <v>228.35388778608589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2.9487179487179502</v>
      </c>
      <c r="CT91" s="13">
        <f>IF('Données projet'!$A$140&gt;35,CT90+CS91-DB90,IF(A91&lt;'Données projet'!$A$140,$CQ$205^A91,IF(A91='Données projet'!$A$140,'Données projet'!$B$140,CT90+CS91-DB90)))</f>
        <v>216.53846153846143</v>
      </c>
      <c r="CU91" s="18">
        <f>CT91*VLOOKUP('Données projet'!$B$13,Paramètres!$A$1:$I$89,3,0)*VLOOKUP('Données projet'!$B$13,Paramètres!$A$1:$I$89,5,0)</f>
        <v>185.78999999999994</v>
      </c>
      <c r="CV91" s="14">
        <f t="shared" si="95"/>
        <v>46.607971297863529</v>
      </c>
      <c r="CW91" s="22">
        <f t="shared" si="67"/>
        <v>404.75980001044553</v>
      </c>
      <c r="CX91" s="62">
        <f t="shared" si="68"/>
        <v>668.22269987828668</v>
      </c>
      <c r="CY91" s="62">
        <f ca="1">AVERAGE(OFFSET($CX$3,0,0,'Données projet'!$E$13+1,1))-AVERAGE(OFFSET($H$3,0,0,'Données projet'!$E$13+1,1))</f>
        <v>384.3367849108829</v>
      </c>
      <c r="CZ91" s="62">
        <f t="shared" si="96"/>
        <v>238.2697272367603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8.1205128205128201</v>
      </c>
      <c r="DO91" s="13">
        <f>IF('Données projet'!$A$166&gt;35,DO90+DN91-DW90,IF(A91&lt;'Données projet'!$A$166,$DL$205^A91,IF(A91='Données projet'!$A$166,'Données projet'!$B$166,DO90+DN91-DW90)))</f>
        <v>308.32051282051231</v>
      </c>
      <c r="DP91" s="18">
        <f>DO91*VLOOKUP('Données projet'!$B$14,Paramètres!$A$1:$I$89,3,0)*VLOOKUP('Données projet'!$B$14,Paramètres!$A$1:$I$89,5,0)</f>
        <v>144.29399999999976</v>
      </c>
      <c r="DQ91" s="14">
        <f t="shared" si="97"/>
        <v>37.278964348289335</v>
      </c>
      <c r="DR91" s="22">
        <f t="shared" si="70"/>
        <v>316.23957957327008</v>
      </c>
      <c r="DS91" s="62">
        <f t="shared" si="71"/>
        <v>579.70247944111111</v>
      </c>
      <c r="DT91" s="62">
        <f ca="1">AVERAGE(OFFSET($DS$3,0,0,'Données projet'!$E$14+1,1))-AVERAGE(OFFSET($H$3,0,0,'Données projet'!$E$14+1,1))</f>
        <v>304.1100958939968</v>
      </c>
      <c r="DU91" s="62">
        <f t="shared" si="98"/>
        <v>184.1255966824568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2.9487179487179502</v>
      </c>
      <c r="EJ91" s="13">
        <f>IF('Données projet'!$A$192&gt;35,EJ90+EI91-ER90,IF(A91&lt;'Données projet'!$A$192,$EG$205^A91,IF(A91='Données projet'!$A$192,'Données projet'!$B$192,EJ90+EI91-ER90)))</f>
        <v>216.53846153846143</v>
      </c>
      <c r="EK91" s="18">
        <f>EJ91*VLOOKUP('Données projet'!$B$15,Paramètres!$A$1:$I$89,3,0)*VLOOKUP('Données projet'!$B$15,Paramètres!$A$1:$I$89,5,0)</f>
        <v>219.56999999999991</v>
      </c>
      <c r="EL91" s="14">
        <f t="shared" si="99"/>
        <v>54.021416706086733</v>
      </c>
      <c r="EM91" s="22">
        <f t="shared" si="73"/>
        <v>476.50505076310088</v>
      </c>
      <c r="EN91" s="62">
        <f t="shared" si="74"/>
        <v>739.96795063094191</v>
      </c>
      <c r="EO91" s="62">
        <f ca="1">AVERAGE(OFFSET($EN$3,0,0,'Données projet'!$E$15+1,1))-AVERAGE(OFFSET($H$3,0,0,'Données projet'!$E$15+1,1))</f>
        <v>435.03433721979218</v>
      </c>
      <c r="EP91" s="62">
        <f t="shared" si="100"/>
        <v>267.10015759286387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2.9487179487179502</v>
      </c>
      <c r="FE91" s="13">
        <f>IF('Données projet'!$A$218&gt;35,FE90+FD91-FM90,IF(A91&lt;'Données projet'!$A$218,$FB$205^A91,IF(A91='Données projet'!$A$218,'Données projet'!$B$218,FE90+FD91-FM90)))</f>
        <v>216.53846153846143</v>
      </c>
      <c r="FF91" s="18">
        <f>FE91*VLOOKUP('Données projet'!$B$16,Paramètres!$A$1:$I$89,3,0)*VLOOKUP('Données projet'!$B$16,Paramètres!$A$1:$I$89,5,0)</f>
        <v>226.32599999999991</v>
      </c>
      <c r="FG91" s="14">
        <f t="shared" si="101"/>
        <v>55.487533861769222</v>
      </c>
      <c r="FH91" s="22">
        <f t="shared" si="76"/>
        <v>490.82523814258121</v>
      </c>
      <c r="FI91" s="62">
        <f t="shared" si="77"/>
        <v>754.28813801042224</v>
      </c>
      <c r="FJ91" s="62">
        <f ca="1">AVERAGE(OFFSET($FI$3,0,0,'Données projet'!$E$16+1,1))-AVERAGE(OFFSET($H$3,0,0,'Données projet'!$E$16+1,1))</f>
        <v>445.15313998584293</v>
      </c>
      <c r="FK91" s="62">
        <f t="shared" si="102"/>
        <v>272.85357736694834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-5.6843418860808015E-14</v>
      </c>
      <c r="GA91" s="18">
        <f>FZ91*VLOOKUP('Données projet'!$B$17,Paramètres!$A$1:$I$89,3,0)*VLOOKUP('Données projet'!$B$17,Paramètres!$A$1:$I$89,5,0)</f>
        <v>-4.9658410716801891E-14</v>
      </c>
      <c r="GB91" s="14" t="e">
        <f t="shared" si="103"/>
        <v>#NUM!</v>
      </c>
      <c r="GC91" s="22" t="e">
        <f t="shared" si="79"/>
        <v>#NUM!</v>
      </c>
      <c r="GD91" s="62" t="e">
        <f t="shared" si="80"/>
        <v>#NUM!</v>
      </c>
      <c r="GE91" s="62">
        <f ca="1">AVERAGE(OFFSET($GD$3,0,0,'Données projet'!$E$17+1,1))-AVERAGE(OFFSET($H$3,0,0,'Données projet'!$E$17+1,1))</f>
        <v>248.82613595888964</v>
      </c>
      <c r="GF91" s="62">
        <f t="shared" si="104"/>
        <v>255.8298580882084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135.66666666666666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>
        <f>VLOOKUP(A92,'Données projet'!$A$35:$I$55,2,0)</f>
        <v>166.66923076923075</v>
      </c>
      <c r="L92" s="13">
        <f>VLOOKUP(A92,'Données projet'!$A$35:$I$55,9,0)</f>
        <v>3.6835164835164806</v>
      </c>
      <c r="M92" s="13">
        <f t="array" ref="M92">INDEX(L:L,MIN(IF(ISNUMBER(L92:L288),ROW(L92:L288),"")))</f>
        <v>3.6835164835164806</v>
      </c>
      <c r="N92" s="14">
        <f>IF('Données projet'!$A$36&gt;35,N91+M92-V91,IF(A92&lt;'Données projet'!$A$36,$K$205^A92,IF(A92='Données projet'!$A$36,'Données projet'!$B$36,N91+M92-V91)))</f>
        <v>166.66923076923075</v>
      </c>
      <c r="O92" s="14">
        <f>N92*VLOOKUP('Données projet'!$B$9,Paramètres!$A$1:$I$89,3,0)*VLOOKUP('Données projet'!$B$9,Paramètres!$A$1:$I$89,5,0)</f>
        <v>97.501499999999993</v>
      </c>
      <c r="P92" s="14">
        <f t="shared" si="87"/>
        <v>26.365890676507046</v>
      </c>
      <c r="Q92" s="22">
        <f t="shared" si="54"/>
        <v>215.73570542824973</v>
      </c>
      <c r="R92" s="62">
        <f t="shared" si="55"/>
        <v>479.71679053643226</v>
      </c>
      <c r="S92" s="62">
        <f ca="1">AVERAGE(OFFSET($R$3,0,0,'Données projet'!$E$9+1,1))-AVERAGE(OFFSET($H$3,0,0,'Données projet'!$E$9+1,1))</f>
        <v>221.18884567967481</v>
      </c>
      <c r="T92" s="62">
        <f t="shared" si="88"/>
        <v>189.31596996710888</v>
      </c>
      <c r="U92" s="16">
        <f>IF(ISNA(VLOOKUP(A92,'Données projet'!$A$35:$I$55,3,0)),0,VLOOKUP(A92,'Données projet'!$A$35:$I$55,3,0))</f>
        <v>4</v>
      </c>
      <c r="V92" s="16">
        <f>IF(ISNA(VLOOKUP(A92,'Données projet'!$A$35:$I$55,4,0)),0,VLOOKUP(A92,'Données projet'!$A$35:$I$55,4,0))</f>
        <v>166.66923076923075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1.5429166666666674</v>
      </c>
      <c r="AI92" s="14">
        <f>IF('Données projet'!$A$62&gt;35,AI91+AH92-AQ91,IF(A92&lt;'Données projet'!$A$62,$AF$205^A92,IF(A92='Données projet'!$A$62,'Données projet'!$B$62,AI91+AH92-AQ91)))</f>
        <v>104.86541666666663</v>
      </c>
      <c r="AJ92" s="14">
        <f>AI92*VLOOKUP('Données projet'!$B$10,Paramètres!$A$1:$I$89,3,0)*VLOOKUP('Données projet'!$B$10,Paramètres!$A$1:$I$89,5,0)</f>
        <v>120.80495999999994</v>
      </c>
      <c r="AK92" s="14">
        <f t="shared" si="89"/>
        <v>31.862669881307355</v>
      </c>
      <c r="AL92" s="22">
        <f t="shared" si="58"/>
        <v>265.89612204327688</v>
      </c>
      <c r="AM92" s="62">
        <f t="shared" si="59"/>
        <v>529.8772071514594</v>
      </c>
      <c r="AN92" s="62">
        <f ca="1">AVERAGE(OFFSET($AM$3,0,0,'Données projet'!$E$10+1,1))-AVERAGE(OFFSET($H$3,0,0,'Données projet'!$E$10+1,1))</f>
        <v>314.72063458462026</v>
      </c>
      <c r="AO92" s="62">
        <f t="shared" si="90"/>
        <v>216.4380325968244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2.9487179487179502</v>
      </c>
      <c r="BD92" s="13">
        <f>IF('Données projet'!$A$88&gt;35,BD91+BC92-BL91,IF(A92&lt;'Données projet'!$A$88,$BA$205^A92,IF(A92='Données projet'!$A$88,'Données projet'!$B$88,BD91+BC92-BL91)))</f>
        <v>219.48717948717939</v>
      </c>
      <c r="BE92" s="14">
        <f>BD92*VLOOKUP('Données projet'!$B$11,Paramètres!$A$1:$I$89,3,0)*VLOOKUP('Données projet'!$B$11,Paramètres!$A$1:$I$89,5,0)</f>
        <v>236.25599999999989</v>
      </c>
      <c r="BF92" s="14">
        <f t="shared" si="91"/>
        <v>57.633254996820824</v>
      </c>
      <c r="BG92" s="22">
        <f t="shared" si="61"/>
        <v>511.85711911946265</v>
      </c>
      <c r="BH92" s="62">
        <f t="shared" si="62"/>
        <v>775.83820422764518</v>
      </c>
      <c r="BI92" s="62">
        <f ca="1">AVERAGE(OFFSET($BH$3,0,0,'Données projet'!$E$11+1,1))-AVERAGE(OFFSET($H$3,0,0,'Données projet'!$E$11+1,1))</f>
        <v>455.26558725507834</v>
      </c>
      <c r="BJ92" s="62">
        <f t="shared" si="92"/>
        <v>278.60310966788552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1.5399999999999978</v>
      </c>
      <c r="BY92" s="13">
        <f>IF('Données projet'!$A$114&gt;35,BY91+BX92-CG91,IF(A92&lt;'Données projet'!$A$114,$BV$205^A92,IF(A92='Données projet'!$A$114,'Données projet'!$B$114,BY91+BX92-CG91)))</f>
        <v>303.35999999999967</v>
      </c>
      <c r="BZ92" s="14">
        <f>BY92*VLOOKUP('Données projet'!$B$12,Paramètres!$A$1:$I$89,3,0)*VLOOKUP('Données projet'!$B$12,Paramètres!$A$1:$I$89,5,0)</f>
        <v>157.74719999999985</v>
      </c>
      <c r="CA92" s="14">
        <f t="shared" si="93"/>
        <v>40.333971493920025</v>
      </c>
      <c r="CB92" s="22">
        <f t="shared" si="64"/>
        <v>344.99137368524379</v>
      </c>
      <c r="CC92" s="62">
        <f t="shared" si="65"/>
        <v>608.97245879342631</v>
      </c>
      <c r="CD92" s="62">
        <f ca="1">AVERAGE(OFFSET($CC$3,0,0,'Données projet'!$E$12+1,1))-AVERAGE(OFFSET($H$3,0,0,'Données projet'!$E$12+1,1))</f>
        <v>300.72820267660154</v>
      </c>
      <c r="CE92" s="62">
        <f t="shared" si="94"/>
        <v>228.35388778608589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2.9487179487179502</v>
      </c>
      <c r="CT92" s="13">
        <f>IF('Données projet'!$A$140&gt;35,CT91+CS92-DB91,IF(A92&lt;'Données projet'!$A$140,$CQ$205^A92,IF(A92='Données projet'!$A$140,'Données projet'!$B$140,CT91+CS92-DB91)))</f>
        <v>219.48717948717939</v>
      </c>
      <c r="CU92" s="18">
        <f>CT92*VLOOKUP('Données projet'!$B$13,Paramètres!$A$1:$I$89,3,0)*VLOOKUP('Données projet'!$B$13,Paramètres!$A$1:$I$89,5,0)</f>
        <v>188.31999999999994</v>
      </c>
      <c r="CV92" s="14">
        <f t="shared" si="95"/>
        <v>47.168336933561967</v>
      </c>
      <c r="CW92" s="22">
        <f t="shared" si="67"/>
        <v>410.14218682595362</v>
      </c>
      <c r="CX92" s="62">
        <f t="shared" si="68"/>
        <v>674.12327193413614</v>
      </c>
      <c r="CY92" s="62">
        <f ca="1">AVERAGE(OFFSET($CX$3,0,0,'Données projet'!$E$13+1,1))-AVERAGE(OFFSET($H$3,0,0,'Données projet'!$E$13+1,1))</f>
        <v>384.3367849108829</v>
      </c>
      <c r="CZ92" s="62">
        <f t="shared" si="96"/>
        <v>238.2697272367603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8.1205128205128201</v>
      </c>
      <c r="DO92" s="13">
        <f>IF('Données projet'!$A$166&gt;35,DO91+DN92-DW91,IF(A92&lt;'Données projet'!$A$166,$DL$205^A92,IF(A92='Données projet'!$A$166,'Données projet'!$B$166,DO91+DN92-DW91)))</f>
        <v>316.44102564102513</v>
      </c>
      <c r="DP92" s="18">
        <f>DO92*VLOOKUP('Données projet'!$B$14,Paramètres!$A$1:$I$89,3,0)*VLOOKUP('Données projet'!$B$14,Paramètres!$A$1:$I$89,5,0)</f>
        <v>148.09439999999975</v>
      </c>
      <c r="DQ92" s="14">
        <f t="shared" si="97"/>
        <v>38.145209470220848</v>
      </c>
      <c r="DR92" s="22">
        <f t="shared" si="70"/>
        <v>324.36731982730089</v>
      </c>
      <c r="DS92" s="62">
        <f t="shared" si="71"/>
        <v>588.34840493548336</v>
      </c>
      <c r="DT92" s="62">
        <f ca="1">AVERAGE(OFFSET($DS$3,0,0,'Données projet'!$E$14+1,1))-AVERAGE(OFFSET($H$3,0,0,'Données projet'!$E$14+1,1))</f>
        <v>304.1100958939968</v>
      </c>
      <c r="DU92" s="62">
        <f t="shared" si="98"/>
        <v>184.1255966824568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2.9487179487179502</v>
      </c>
      <c r="EJ92" s="13">
        <f>IF('Données projet'!$A$192&gt;35,EJ91+EI92-ER91,IF(A92&lt;'Données projet'!$A$192,$EG$205^A92,IF(A92='Données projet'!$A$192,'Données projet'!$B$192,EJ91+EI92-ER91)))</f>
        <v>219.48717948717939</v>
      </c>
      <c r="EK92" s="18">
        <f>EJ92*VLOOKUP('Données projet'!$B$15,Paramètres!$A$1:$I$89,3,0)*VLOOKUP('Données projet'!$B$15,Paramètres!$A$1:$I$89,5,0)</f>
        <v>222.55999999999992</v>
      </c>
      <c r="EL92" s="14">
        <f t="shared" si="99"/>
        <v>54.670913877297529</v>
      </c>
      <c r="EM92" s="22">
        <f t="shared" si="73"/>
        <v>482.84384166962627</v>
      </c>
      <c r="EN92" s="62">
        <f t="shared" si="74"/>
        <v>746.82492677780874</v>
      </c>
      <c r="EO92" s="62">
        <f ca="1">AVERAGE(OFFSET($EN$3,0,0,'Données projet'!$E$15+1,1))-AVERAGE(OFFSET($H$3,0,0,'Données projet'!$E$15+1,1))</f>
        <v>435.03433721979218</v>
      </c>
      <c r="EP92" s="62">
        <f t="shared" si="100"/>
        <v>267.10015759286387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2.9487179487179502</v>
      </c>
      <c r="FE92" s="13">
        <f>IF('Données projet'!$A$218&gt;35,FE91+FD92-FM91,IF(A92&lt;'Données projet'!$A$218,$FB$205^A92,IF(A92='Données projet'!$A$218,'Données projet'!$B$218,FE91+FD92-FM91)))</f>
        <v>219.48717948717939</v>
      </c>
      <c r="FF92" s="18">
        <f>FE92*VLOOKUP('Données projet'!$B$16,Paramètres!$A$1:$I$89,3,0)*VLOOKUP('Données projet'!$B$16,Paramètres!$A$1:$I$89,5,0)</f>
        <v>229.40799999999993</v>
      </c>
      <c r="FG92" s="14">
        <f t="shared" si="101"/>
        <v>56.154658096528863</v>
      </c>
      <c r="FH92" s="22">
        <f t="shared" si="76"/>
        <v>497.35496285145433</v>
      </c>
      <c r="FI92" s="62">
        <f t="shared" si="77"/>
        <v>761.33604795963686</v>
      </c>
      <c r="FJ92" s="62">
        <f ca="1">AVERAGE(OFFSET($FI$3,0,0,'Données projet'!$E$16+1,1))-AVERAGE(OFFSET($H$3,0,0,'Données projet'!$E$16+1,1))</f>
        <v>445.15313998584293</v>
      </c>
      <c r="FK92" s="62">
        <f t="shared" si="102"/>
        <v>272.85357736694834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-5.6843418860808015E-14</v>
      </c>
      <c r="GA92" s="18">
        <f>FZ92*VLOOKUP('Données projet'!$B$17,Paramètres!$A$1:$I$89,3,0)*VLOOKUP('Données projet'!$B$17,Paramètres!$A$1:$I$89,5,0)</f>
        <v>-4.9658410716801891E-14</v>
      </c>
      <c r="GB92" s="14" t="e">
        <f t="shared" si="103"/>
        <v>#NUM!</v>
      </c>
      <c r="GC92" s="22" t="e">
        <f t="shared" si="79"/>
        <v>#NUM!</v>
      </c>
      <c r="GD92" s="62" t="e">
        <f t="shared" si="80"/>
        <v>#NUM!</v>
      </c>
      <c r="GE92" s="62">
        <f ca="1">AVERAGE(OFFSET($GD$3,0,0,'Données projet'!$E$17+1,1))-AVERAGE(OFFSET($H$3,0,0,'Données projet'!$E$17+1,1))</f>
        <v>248.82613595888964</v>
      </c>
      <c r="GF92" s="62">
        <f t="shared" si="104"/>
        <v>255.8298580882084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135.66666666666666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221.18884567967481</v>
      </c>
      <c r="T93" s="62">
        <f t="shared" si="88"/>
        <v>189.31596996710888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106.40833333333333</v>
      </c>
      <c r="AG93" s="13">
        <f>VLOOKUP(A93,'Données projet'!$A$61:$I$81,9,0)</f>
        <v>1.5429166666666674</v>
      </c>
      <c r="AH93" s="13">
        <f t="array" ref="AH93">INDEX(AG:AG,MIN(IF(ISNUMBER(AG93:AG289),ROW(AG93:AG289),"")))</f>
        <v>1.5429166666666674</v>
      </c>
      <c r="AI93" s="14">
        <f>IF('Données projet'!$A$62&gt;35,AI92+AH93-AQ92,IF(A93&lt;'Données projet'!$A$62,$AF$205^A93,IF(A93='Données projet'!$A$62,'Données projet'!$B$62,AI92+AH93-AQ92)))</f>
        <v>106.4083333333333</v>
      </c>
      <c r="AJ93" s="14">
        <f>AI93*VLOOKUP('Données projet'!$B$10,Paramètres!$A$1:$I$89,3,0)*VLOOKUP('Données projet'!$B$10,Paramètres!$A$1:$I$89,5,0)</f>
        <v>122.58239999999996</v>
      </c>
      <c r="AK93" s="14">
        <f t="shared" si="89"/>
        <v>32.276553297525268</v>
      </c>
      <c r="AL93" s="22">
        <f t="shared" si="58"/>
        <v>269.7126769931898</v>
      </c>
      <c r="AM93" s="62">
        <f t="shared" si="59"/>
        <v>534.20295798628263</v>
      </c>
      <c r="AN93" s="62">
        <f ca="1">AVERAGE(OFFSET($AM$3,0,0,'Données projet'!$E$10+1,1))-AVERAGE(OFFSET($H$3,0,0,'Données projet'!$E$10+1,1))</f>
        <v>314.72063458462026</v>
      </c>
      <c r="AO93" s="62">
        <f t="shared" si="90"/>
        <v>216.4380325968244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9.1666666666666679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222.43589743589743</v>
      </c>
      <c r="BB93" s="13">
        <f>VLOOKUP(A93,'Données projet'!$A$87:$I$107,9,0)</f>
        <v>2.9487179487179502</v>
      </c>
      <c r="BC93" s="13">
        <f t="array" ref="BC93">INDEX(BB:BB,MIN(IF(ISNUMBER(BB93:BB289),ROW(BB93:BB289),"")))</f>
        <v>2.9487179487179502</v>
      </c>
      <c r="BD93" s="13">
        <f>IF('Données projet'!$A$88&gt;35,BD92+BC93-BL92,IF(A93&lt;'Données projet'!$A$88,$BA$205^A93,IF(A93='Données projet'!$A$88,'Données projet'!$B$88,BD92+BC93-BL92)))</f>
        <v>222.43589743589735</v>
      </c>
      <c r="BE93" s="14">
        <f>BD93*VLOOKUP('Données projet'!$B$11,Paramètres!$A$1:$I$89,3,0)*VLOOKUP('Données projet'!$B$11,Paramètres!$A$1:$I$89,5,0)</f>
        <v>239.42999999999992</v>
      </c>
      <c r="BF93" s="14">
        <f t="shared" si="91"/>
        <v>58.316875238844261</v>
      </c>
      <c r="BG93" s="22">
        <f t="shared" si="61"/>
        <v>518.57580770765355</v>
      </c>
      <c r="BH93" s="62">
        <f t="shared" si="62"/>
        <v>783.06608870074638</v>
      </c>
      <c r="BI93" s="62">
        <f ca="1">AVERAGE(OFFSET($BH$3,0,0,'Données projet'!$E$11+1,1))-AVERAGE(OFFSET($H$3,0,0,'Données projet'!$E$11+1,1))</f>
        <v>455.26558725507834</v>
      </c>
      <c r="BJ93" s="62">
        <f t="shared" si="92"/>
        <v>278.60310966788552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16.666666666666668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304.89999999999998</v>
      </c>
      <c r="BW93" s="13">
        <f>VLOOKUP(A93,'Données projet'!$A$113:$I$133,9,0)</f>
        <v>1.5399999999999978</v>
      </c>
      <c r="BX93" s="13">
        <f t="array" ref="BX93">INDEX(BW:BW,MIN(IF(ISNUMBER(BW93:BW289),ROW(BW93:BW289),"")))</f>
        <v>1.5399999999999978</v>
      </c>
      <c r="BY93" s="13">
        <f>IF('Données projet'!$A$114&gt;35,BY92+BX93-CG92,IF(A93&lt;'Données projet'!$A$114,$BV$205^A93,IF(A93='Données projet'!$A$114,'Données projet'!$B$114,BY92+BX93-CG92)))</f>
        <v>304.89999999999969</v>
      </c>
      <c r="BZ93" s="14">
        <f>BY93*VLOOKUP('Données projet'!$B$12,Paramètres!$A$1:$I$89,3,0)*VLOOKUP('Données projet'!$B$12,Paramètres!$A$1:$I$89,5,0)</f>
        <v>158.54799999999986</v>
      </c>
      <c r="CA93" s="14">
        <f t="shared" si="93"/>
        <v>40.514839191262929</v>
      </c>
      <c r="CB93" s="22">
        <f t="shared" si="64"/>
        <v>346.70111159144932</v>
      </c>
      <c r="CC93" s="62">
        <f t="shared" si="65"/>
        <v>611.19139258454209</v>
      </c>
      <c r="CD93" s="62">
        <f ca="1">AVERAGE(OFFSET($CC$3,0,0,'Données projet'!$E$12+1,1))-AVERAGE(OFFSET($H$3,0,0,'Données projet'!$E$12+1,1))</f>
        <v>300.72820267660154</v>
      </c>
      <c r="CE93" s="62">
        <f t="shared" si="94"/>
        <v>228.35388778608589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222.43589743589743</v>
      </c>
      <c r="CR93" s="13">
        <f>VLOOKUP(A93,'Données projet'!$A$139:$I$159,9,0)</f>
        <v>2.9487179487179502</v>
      </c>
      <c r="CS93" s="13">
        <f t="array" ref="CS93">INDEX(CR:CR,MIN(IF(ISNUMBER(CR93:CR289),ROW(CR93:CR289),"")))</f>
        <v>2.9487179487179502</v>
      </c>
      <c r="CT93" s="13">
        <f>IF('Données projet'!$A$140&gt;35,CT92+CS93-DB92,IF(A93&lt;'Données projet'!$A$140,$CQ$205^A93,IF(A93='Données projet'!$A$140,'Données projet'!$B$140,CT92+CS93-DB92)))</f>
        <v>222.43589743589735</v>
      </c>
      <c r="CU93" s="18">
        <f>CT93*VLOOKUP('Données projet'!$B$13,Paramètres!$A$1:$I$89,3,0)*VLOOKUP('Données projet'!$B$13,Paramètres!$A$1:$I$89,5,0)</f>
        <v>190.84999999999994</v>
      </c>
      <c r="CV93" s="14">
        <f t="shared" si="95"/>
        <v>47.727826934814601</v>
      </c>
      <c r="CW93" s="22">
        <f t="shared" si="67"/>
        <v>415.52304857813533</v>
      </c>
      <c r="CX93" s="62">
        <f t="shared" si="68"/>
        <v>680.01332957122804</v>
      </c>
      <c r="CY93" s="62">
        <f ca="1">AVERAGE(OFFSET($CX$3,0,0,'Données projet'!$E$13+1,1))-AVERAGE(OFFSET($H$3,0,0,'Données projet'!$E$13+1,1))</f>
        <v>384.3367849108829</v>
      </c>
      <c r="CZ93" s="62">
        <f t="shared" si="96"/>
        <v>238.2697272367603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16.666666666666668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8.1205128205128201</v>
      </c>
      <c r="DO93" s="13">
        <f>IF('Données projet'!$A$166&gt;35,DO92+DN93-DW92,IF(A93&lt;'Données projet'!$A$166,$DL$205^A93,IF(A93='Données projet'!$A$166,'Données projet'!$B$166,DO92+DN93-DW92)))</f>
        <v>324.56153846153796</v>
      </c>
      <c r="DP93" s="18">
        <f>DO93*VLOOKUP('Données projet'!$B$14,Paramètres!$A$1:$I$89,3,0)*VLOOKUP('Données projet'!$B$14,Paramètres!$A$1:$I$89,5,0)</f>
        <v>151.89479999999978</v>
      </c>
      <c r="DQ93" s="14">
        <f t="shared" si="97"/>
        <v>39.008870628729497</v>
      </c>
      <c r="DR93" s="22">
        <f t="shared" si="70"/>
        <v>332.49055967837018</v>
      </c>
      <c r="DS93" s="62">
        <f t="shared" si="71"/>
        <v>596.98084067146294</v>
      </c>
      <c r="DT93" s="62">
        <f ca="1">AVERAGE(OFFSET($DS$3,0,0,'Données projet'!$E$14+1,1))-AVERAGE(OFFSET($H$3,0,0,'Données projet'!$E$14+1,1))</f>
        <v>304.1100958939968</v>
      </c>
      <c r="DU93" s="62">
        <f t="shared" si="98"/>
        <v>184.1255966824568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222.43589743589743</v>
      </c>
      <c r="EH93" s="13">
        <f>VLOOKUP(A93,'Données projet'!$A$191:$I$211,9,0)</f>
        <v>2.9487179487179502</v>
      </c>
      <c r="EI93" s="13">
        <f t="array" ref="EI93">INDEX(EH:EH,MIN(IF(ISNUMBER(EH93:EH289),ROW(EH93:EH289),"")))</f>
        <v>2.9487179487179502</v>
      </c>
      <c r="EJ93" s="13">
        <f>IF('Données projet'!$A$192&gt;35,EJ92+EI93-ER92,IF(A93&lt;'Données projet'!$A$192,$EG$205^A93,IF(A93='Données projet'!$A$192,'Données projet'!$B$192,EJ92+EI93-ER92)))</f>
        <v>222.43589743589735</v>
      </c>
      <c r="EK93" s="18">
        <f>EJ93*VLOOKUP('Données projet'!$B$15,Paramètres!$A$1:$I$89,3,0)*VLOOKUP('Données projet'!$B$15,Paramètres!$A$1:$I$89,5,0)</f>
        <v>225.54999999999993</v>
      </c>
      <c r="EL93" s="14">
        <f t="shared" si="99"/>
        <v>55.319396135995213</v>
      </c>
      <c r="EM93" s="22">
        <f t="shared" si="73"/>
        <v>489.1808649368582</v>
      </c>
      <c r="EN93" s="62">
        <f t="shared" si="74"/>
        <v>753.67114592995097</v>
      </c>
      <c r="EO93" s="62">
        <f ca="1">AVERAGE(OFFSET($EN$3,0,0,'Données projet'!$E$15+1,1))-AVERAGE(OFFSET($H$3,0,0,'Données projet'!$E$15+1,1))</f>
        <v>435.03433721979218</v>
      </c>
      <c r="EP93" s="62">
        <f t="shared" si="100"/>
        <v>267.10015759286387</v>
      </c>
      <c r="EQ93" s="16">
        <f>IF(ISNA(VLOOKUP(A93,'Données projet'!$A$191:$I$211,3,0)),0,VLOOKUP(A93,'Données projet'!$A$191:$I$211,3,0))</f>
        <v>7</v>
      </c>
      <c r="ER93" s="16">
        <f>IF(ISNA(VLOOKUP(A93,'Données projet'!$A$191:$I$211,4,0)),0,VLOOKUP(A93,'Données projet'!$A$191:$I$211,4,0))</f>
        <v>16.666666666666668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222.43589743589743</v>
      </c>
      <c r="FC93" s="13">
        <f>VLOOKUP(A93,'Données projet'!$A$217:$I$237,9,0)</f>
        <v>2.9487179487179502</v>
      </c>
      <c r="FD93" s="13">
        <f t="array" ref="FD93">INDEX(FC:FC,MIN(IF(ISNUMBER(FC93:FC289),ROW(FC93:FC289),"")))</f>
        <v>2.9487179487179502</v>
      </c>
      <c r="FE93" s="13">
        <f>IF('Données projet'!$A$218&gt;35,FE92+FD93-FM92,IF(A93&lt;'Données projet'!$A$218,$FB$205^A93,IF(A93='Données projet'!$A$218,'Données projet'!$B$218,FE92+FD93-FM92)))</f>
        <v>222.43589743589735</v>
      </c>
      <c r="FF93" s="18">
        <f>FE93*VLOOKUP('Données projet'!$B$16,Paramètres!$A$1:$I$89,3,0)*VLOOKUP('Données projet'!$B$16,Paramètres!$A$1:$I$89,5,0)</f>
        <v>232.48999999999995</v>
      </c>
      <c r="FG93" s="14">
        <f t="shared" si="101"/>
        <v>56.820739874502536</v>
      </c>
      <c r="FH93" s="22">
        <f t="shared" si="76"/>
        <v>503.8828719480918</v>
      </c>
      <c r="FI93" s="62">
        <f t="shared" si="77"/>
        <v>768.37315294118457</v>
      </c>
      <c r="FJ93" s="62">
        <f ca="1">AVERAGE(OFFSET($FI$3,0,0,'Données projet'!$E$16+1,1))-AVERAGE(OFFSET($H$3,0,0,'Données projet'!$E$16+1,1))</f>
        <v>445.15313998584293</v>
      </c>
      <c r="FK93" s="62">
        <f t="shared" si="102"/>
        <v>272.85357736694834</v>
      </c>
      <c r="FL93" s="16">
        <f>IF(ISNA(VLOOKUP(A93,'Données projet'!$A$217:$I$237,3,0)),0,VLOOKUP(A93,'Données projet'!$A$217:$I$237,3,0))</f>
        <v>7</v>
      </c>
      <c r="FM93" s="16">
        <f>IF(ISNA(VLOOKUP(A93,'Données projet'!$A$217:$I$237,4,0)),0,VLOOKUP(A93,'Données projet'!$A$217:$I$237,4,0))</f>
        <v>16.666666666666668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-5.6843418860808015E-14</v>
      </c>
      <c r="GA93" s="18">
        <f>FZ93*VLOOKUP('Données projet'!$B$17,Paramètres!$A$1:$I$89,3,0)*VLOOKUP('Données projet'!$B$17,Paramètres!$A$1:$I$89,5,0)</f>
        <v>-4.9658410716801891E-14</v>
      </c>
      <c r="GB93" s="14" t="e">
        <f t="shared" si="103"/>
        <v>#NUM!</v>
      </c>
      <c r="GC93" s="22" t="e">
        <f t="shared" si="79"/>
        <v>#NUM!</v>
      </c>
      <c r="GD93" s="62" t="e">
        <f t="shared" si="80"/>
        <v>#NUM!</v>
      </c>
      <c r="GE93" s="62">
        <f ca="1">AVERAGE(OFFSET($GD$3,0,0,'Données projet'!$E$17+1,1))-AVERAGE(OFFSET($H$3,0,0,'Données projet'!$E$17+1,1))</f>
        <v>248.82613595888964</v>
      </c>
      <c r="GF93" s="62">
        <f t="shared" si="104"/>
        <v>255.8298580882084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135.66666666666666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221.18884567967481</v>
      </c>
      <c r="T94" s="62">
        <f t="shared" si="88"/>
        <v>189.31596996710888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1.4583333333333344</v>
      </c>
      <c r="AI94" s="14">
        <f>IF('Données projet'!$A$62&gt;35,AI93+AH94-AQ93,IF(A94&lt;'Données projet'!$A$62,$AF$205^A94,IF(A94='Données projet'!$A$62,'Données projet'!$B$62,AI93+AH94-AQ93)))</f>
        <v>98.69999999999996</v>
      </c>
      <c r="AJ94" s="14">
        <f>AI94*VLOOKUP('Données projet'!$B$10,Paramètres!$A$1:$I$89,3,0)*VLOOKUP('Données projet'!$B$10,Paramètres!$A$1:$I$89,5,0)</f>
        <v>113.70239999999994</v>
      </c>
      <c r="AK94" s="14">
        <f t="shared" si="89"/>
        <v>30.20161113802142</v>
      </c>
      <c r="AL94" s="22">
        <f t="shared" si="58"/>
        <v>250.6328193987205</v>
      </c>
      <c r="AM94" s="62">
        <f t="shared" si="59"/>
        <v>515.62346286651166</v>
      </c>
      <c r="AN94" s="62">
        <f ca="1">AVERAGE(OFFSET($AM$3,0,0,'Données projet'!$E$10+1,1))-AVERAGE(OFFSET($H$3,0,0,'Données projet'!$E$10+1,1))</f>
        <v>314.72063458462026</v>
      </c>
      <c r="AO94" s="62">
        <f t="shared" si="90"/>
        <v>216.4380325968244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2.9487179487179445</v>
      </c>
      <c r="BD94" s="13">
        <f>IF('Données projet'!$A$88&gt;35,BD93+BC94-BL93,IF(A94&lt;'Données projet'!$A$88,$BA$205^A94,IF(A94='Données projet'!$A$88,'Données projet'!$B$88,BD93+BC94-BL93)))</f>
        <v>208.71794871794864</v>
      </c>
      <c r="BE94" s="14">
        <f>BD94*VLOOKUP('Données projet'!$B$11,Paramètres!$A$1:$I$89,3,0)*VLOOKUP('Données projet'!$B$11,Paramètres!$A$1:$I$89,5,0)</f>
        <v>224.66399999999993</v>
      </c>
      <c r="BF94" s="14">
        <f t="shared" si="91"/>
        <v>55.127342094465867</v>
      </c>
      <c r="BG94" s="22">
        <f t="shared" si="61"/>
        <v>487.30325414786125</v>
      </c>
      <c r="BH94" s="62">
        <f t="shared" si="62"/>
        <v>752.29389761565244</v>
      </c>
      <c r="BI94" s="62">
        <f ca="1">AVERAGE(OFFSET($BH$3,0,0,'Données projet'!$E$11+1,1))-AVERAGE(OFFSET($H$3,0,0,'Données projet'!$E$11+1,1))</f>
        <v>455.26558725507834</v>
      </c>
      <c r="BJ94" s="62">
        <f t="shared" si="92"/>
        <v>278.60310966788552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1.2800000000000069</v>
      </c>
      <c r="BY94" s="13">
        <f>IF('Données projet'!$A$114&gt;35,BY93+BX94-CG93,IF(A94&lt;'Données projet'!$A$114,$BV$205^A94,IF(A94='Données projet'!$A$114,'Données projet'!$B$114,BY93+BX94-CG93)))</f>
        <v>306.17999999999972</v>
      </c>
      <c r="BZ94" s="14">
        <f>BY94*VLOOKUP('Données projet'!$B$12,Paramètres!$A$1:$I$89,3,0)*VLOOKUP('Données projet'!$B$12,Paramètres!$A$1:$I$89,5,0)</f>
        <v>159.21359999999987</v>
      </c>
      <c r="CA94" s="14">
        <f t="shared" si="93"/>
        <v>40.665089859977073</v>
      </c>
      <c r="CB94" s="22">
        <f t="shared" si="64"/>
        <v>348.12205150612652</v>
      </c>
      <c r="CC94" s="62">
        <f t="shared" si="65"/>
        <v>613.11269497391777</v>
      </c>
      <c r="CD94" s="62">
        <f ca="1">AVERAGE(OFFSET($CC$3,0,0,'Données projet'!$E$12+1,1))-AVERAGE(OFFSET($H$3,0,0,'Données projet'!$E$12+1,1))</f>
        <v>300.72820267660154</v>
      </c>
      <c r="CE94" s="62">
        <f t="shared" si="94"/>
        <v>228.35388778608589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2.9487179487179445</v>
      </c>
      <c r="CT94" s="13">
        <f>IF('Données projet'!$A$140&gt;35,CT93+CS94-DB93,IF(A94&lt;'Données projet'!$A$140,$CQ$205^A94,IF(A94='Données projet'!$A$140,'Données projet'!$B$140,CT93+CS94-DB93)))</f>
        <v>208.71794871794864</v>
      </c>
      <c r="CU94" s="18">
        <f>CT94*VLOOKUP('Données projet'!$B$13,Paramètres!$A$1:$I$89,3,0)*VLOOKUP('Données projet'!$B$13,Paramètres!$A$1:$I$89,5,0)</f>
        <v>179.07999999999996</v>
      </c>
      <c r="CV94" s="14">
        <f t="shared" si="95"/>
        <v>45.117442114052658</v>
      </c>
      <c r="CW94" s="22">
        <f t="shared" si="67"/>
        <v>390.47721168197495</v>
      </c>
      <c r="CX94" s="62">
        <f t="shared" si="68"/>
        <v>655.46785514976614</v>
      </c>
      <c r="CY94" s="62">
        <f ca="1">AVERAGE(OFFSET($CX$3,0,0,'Données projet'!$E$13+1,1))-AVERAGE(OFFSET($H$3,0,0,'Données projet'!$E$13+1,1))</f>
        <v>384.3367849108829</v>
      </c>
      <c r="CZ94" s="62">
        <f t="shared" si="96"/>
        <v>238.2697272367603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8.1205128205128201</v>
      </c>
      <c r="DO94" s="13">
        <f>IF('Données projet'!$A$166&gt;35,DO93+DN94-DW93,IF(A94&lt;'Données projet'!$A$166,$DL$205^A94,IF(A94='Données projet'!$A$166,'Données projet'!$B$166,DO93+DN94-DW93)))</f>
        <v>332.68205128205079</v>
      </c>
      <c r="DP94" s="18">
        <f>DO94*VLOOKUP('Données projet'!$B$14,Paramètres!$A$1:$I$89,3,0)*VLOOKUP('Données projet'!$B$14,Paramètres!$A$1:$I$89,5,0)</f>
        <v>155.69519999999977</v>
      </c>
      <c r="DQ94" s="14">
        <f t="shared" si="97"/>
        <v>39.870019909996607</v>
      </c>
      <c r="DR94" s="22">
        <f t="shared" si="70"/>
        <v>340.60942467657702</v>
      </c>
      <c r="DS94" s="62">
        <f t="shared" si="71"/>
        <v>605.60006814436815</v>
      </c>
      <c r="DT94" s="62">
        <f ca="1">AVERAGE(OFFSET($DS$3,0,0,'Données projet'!$E$14+1,1))-AVERAGE(OFFSET($H$3,0,0,'Données projet'!$E$14+1,1))</f>
        <v>304.1100958939968</v>
      </c>
      <c r="DU94" s="62">
        <f t="shared" si="98"/>
        <v>184.1255966824568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2.9487179487179445</v>
      </c>
      <c r="EJ94" s="13">
        <f>IF('Données projet'!$A$192&gt;35,EJ93+EI94-ER93,IF(A94&lt;'Données projet'!$A$192,$EG$205^A94,IF(A94='Données projet'!$A$192,'Données projet'!$B$192,EJ93+EI94-ER93)))</f>
        <v>208.71794871794864</v>
      </c>
      <c r="EK94" s="18">
        <f>EJ94*VLOOKUP('Données projet'!$B$15,Paramètres!$A$1:$I$89,3,0)*VLOOKUP('Données projet'!$B$15,Paramètres!$A$1:$I$89,5,0)</f>
        <v>211.63999999999996</v>
      </c>
      <c r="EL94" s="14">
        <f t="shared" si="99"/>
        <v>52.293804542136542</v>
      </c>
      <c r="EM94" s="22">
        <f t="shared" si="73"/>
        <v>459.68470957755443</v>
      </c>
      <c r="EN94" s="62">
        <f t="shared" si="74"/>
        <v>724.67535304534567</v>
      </c>
      <c r="EO94" s="62">
        <f ca="1">AVERAGE(OFFSET($EN$3,0,0,'Données projet'!$E$15+1,1))-AVERAGE(OFFSET($H$3,0,0,'Données projet'!$E$15+1,1))</f>
        <v>435.03433721979218</v>
      </c>
      <c r="EP94" s="62">
        <f t="shared" si="100"/>
        <v>267.10015759286387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2.9487179487179445</v>
      </c>
      <c r="FE94" s="13">
        <f>IF('Données projet'!$A$218&gt;35,FE93+FD94-FM93,IF(A94&lt;'Données projet'!$A$218,$FB$205^A94,IF(A94='Données projet'!$A$218,'Données projet'!$B$218,FE93+FD94-FM93)))</f>
        <v>208.71794871794864</v>
      </c>
      <c r="FF94" s="18">
        <f>FE94*VLOOKUP('Données projet'!$B$16,Paramètres!$A$1:$I$89,3,0)*VLOOKUP('Données projet'!$B$16,Paramètres!$A$1:$I$89,5,0)</f>
        <v>218.15199999999993</v>
      </c>
      <c r="FG94" s="14">
        <f t="shared" si="101"/>
        <v>53.713035074209799</v>
      </c>
      <c r="FH94" s="22">
        <f t="shared" si="76"/>
        <v>473.49826942091528</v>
      </c>
      <c r="FI94" s="62">
        <f t="shared" si="77"/>
        <v>738.48891288870641</v>
      </c>
      <c r="FJ94" s="62">
        <f ca="1">AVERAGE(OFFSET($FI$3,0,0,'Données projet'!$E$16+1,1))-AVERAGE(OFFSET($H$3,0,0,'Données projet'!$E$16+1,1))</f>
        <v>445.15313998584293</v>
      </c>
      <c r="FK94" s="62">
        <f t="shared" si="102"/>
        <v>272.85357736694834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-5.6843418860808015E-14</v>
      </c>
      <c r="GA94" s="18">
        <f>FZ94*VLOOKUP('Données projet'!$B$17,Paramètres!$A$1:$I$89,3,0)*VLOOKUP('Données projet'!$B$17,Paramètres!$A$1:$I$89,5,0)</f>
        <v>-4.9658410716801891E-14</v>
      </c>
      <c r="GB94" s="14" t="e">
        <f t="shared" si="103"/>
        <v>#NUM!</v>
      </c>
      <c r="GC94" s="22" t="e">
        <f t="shared" si="79"/>
        <v>#NUM!</v>
      </c>
      <c r="GD94" s="62" t="e">
        <f t="shared" si="80"/>
        <v>#NUM!</v>
      </c>
      <c r="GE94" s="62">
        <f ca="1">AVERAGE(OFFSET($GD$3,0,0,'Données projet'!$E$17+1,1))-AVERAGE(OFFSET($H$3,0,0,'Données projet'!$E$17+1,1))</f>
        <v>248.82613595888964</v>
      </c>
      <c r="GF94" s="62">
        <f t="shared" si="104"/>
        <v>255.8298580882084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135.66666666666666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221.18884567967481</v>
      </c>
      <c r="T95" s="62">
        <f t="shared" si="88"/>
        <v>189.31596996710888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1.4583333333333344</v>
      </c>
      <c r="AI95" s="14">
        <f>IF('Données projet'!$A$62&gt;35,AI94+AH95-AQ94,IF(A95&lt;'Données projet'!$A$62,$AF$205^A95,IF(A95='Données projet'!$A$62,'Données projet'!$B$62,AI94+AH95-AQ94)))</f>
        <v>100.15833333333329</v>
      </c>
      <c r="AJ95" s="14">
        <f>AI95*VLOOKUP('Données projet'!$B$10,Paramètres!$A$1:$I$89,3,0)*VLOOKUP('Données projet'!$B$10,Paramètres!$A$1:$I$89,5,0)</f>
        <v>115.38239999999995</v>
      </c>
      <c r="AK95" s="14">
        <f t="shared" si="89"/>
        <v>30.59557273099043</v>
      </c>
      <c r="AL95" s="22">
        <f t="shared" si="58"/>
        <v>254.24496917314158</v>
      </c>
      <c r="AM95" s="62">
        <f t="shared" si="59"/>
        <v>519.72729494533814</v>
      </c>
      <c r="AN95" s="62">
        <f ca="1">AVERAGE(OFFSET($AM$3,0,0,'Données projet'!$E$10+1,1))-AVERAGE(OFFSET($H$3,0,0,'Données projet'!$E$10+1,1))</f>
        <v>314.72063458462026</v>
      </c>
      <c r="AO95" s="62">
        <f t="shared" si="90"/>
        <v>216.4380325968244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2.9487179487179445</v>
      </c>
      <c r="BD95" s="13">
        <f>IF('Données projet'!$A$88&gt;35,BD94+BC95-BL94,IF(A95&lt;'Données projet'!$A$88,$BA$205^A95,IF(A95='Données projet'!$A$88,'Données projet'!$B$88,BD94+BC95-BL94)))</f>
        <v>211.6666666666666</v>
      </c>
      <c r="BE95" s="14">
        <f>BD95*VLOOKUP('Données projet'!$B$11,Paramètres!$A$1:$I$89,3,0)*VLOOKUP('Données projet'!$B$11,Paramètres!$A$1:$I$89,5,0)</f>
        <v>227.83799999999994</v>
      </c>
      <c r="BF95" s="14">
        <f t="shared" si="91"/>
        <v>55.814949938288613</v>
      </c>
      <c r="BG95" s="22">
        <f t="shared" si="61"/>
        <v>494.02888780918585</v>
      </c>
      <c r="BH95" s="62">
        <f t="shared" si="62"/>
        <v>759.51121358138244</v>
      </c>
      <c r="BI95" s="62">
        <f ca="1">AVERAGE(OFFSET($BH$3,0,0,'Données projet'!$E$11+1,1))-AVERAGE(OFFSET($H$3,0,0,'Données projet'!$E$11+1,1))</f>
        <v>455.26558725507834</v>
      </c>
      <c r="BJ95" s="62">
        <f t="shared" si="92"/>
        <v>278.60310966788552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1.2800000000000069</v>
      </c>
      <c r="BY95" s="13">
        <f>IF('Données projet'!$A$114&gt;35,BY94+BX95-CG94,IF(A95&lt;'Données projet'!$A$114,$BV$205^A95,IF(A95='Données projet'!$A$114,'Données projet'!$B$114,BY94+BX95-CG94)))</f>
        <v>307.45999999999975</v>
      </c>
      <c r="BZ95" s="14">
        <f>BY95*VLOOKUP('Données projet'!$B$12,Paramètres!$A$1:$I$89,3,0)*VLOOKUP('Données projet'!$B$12,Paramètres!$A$1:$I$89,5,0)</f>
        <v>159.87919999999988</v>
      </c>
      <c r="CA95" s="14">
        <f t="shared" si="93"/>
        <v>40.815267431915544</v>
      </c>
      <c r="CB95" s="22">
        <f t="shared" si="64"/>
        <v>349.54286411058598</v>
      </c>
      <c r="CC95" s="62">
        <f t="shared" si="65"/>
        <v>615.02518988278257</v>
      </c>
      <c r="CD95" s="62">
        <f ca="1">AVERAGE(OFFSET($CC$3,0,0,'Données projet'!$E$12+1,1))-AVERAGE(OFFSET($H$3,0,0,'Données projet'!$E$12+1,1))</f>
        <v>300.72820267660154</v>
      </c>
      <c r="CE95" s="62">
        <f t="shared" si="94"/>
        <v>228.35388778608589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2.9487179487179445</v>
      </c>
      <c r="CT95" s="13">
        <f>IF('Données projet'!$A$140&gt;35,CT94+CS95-DB94,IF(A95&lt;'Données projet'!$A$140,$CQ$205^A95,IF(A95='Données projet'!$A$140,'Données projet'!$B$140,CT94+CS95-DB94)))</f>
        <v>211.6666666666666</v>
      </c>
      <c r="CU95" s="18">
        <f>CT95*VLOOKUP('Données projet'!$B$13,Paramètres!$A$1:$I$89,3,0)*VLOOKUP('Données projet'!$B$13,Paramètres!$A$1:$I$89,5,0)</f>
        <v>181.60999999999996</v>
      </c>
      <c r="CV95" s="14">
        <f t="shared" si="95"/>
        <v>45.680195657252334</v>
      </c>
      <c r="CW95" s="22">
        <f t="shared" si="67"/>
        <v>395.86375743638109</v>
      </c>
      <c r="CX95" s="62">
        <f t="shared" si="68"/>
        <v>661.34608320857762</v>
      </c>
      <c r="CY95" s="62">
        <f ca="1">AVERAGE(OFFSET($CX$3,0,0,'Données projet'!$E$13+1,1))-AVERAGE(OFFSET($H$3,0,0,'Données projet'!$E$13+1,1))</f>
        <v>384.3367849108829</v>
      </c>
      <c r="CZ95" s="62">
        <f t="shared" si="96"/>
        <v>238.2697272367603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8.1205128205128201</v>
      </c>
      <c r="DO95" s="13">
        <f>IF('Données projet'!$A$166&gt;35,DO94+DN95-DW94,IF(A95&lt;'Données projet'!$A$166,$DL$205^A95,IF(A95='Données projet'!$A$166,'Données projet'!$B$166,DO94+DN95-DW94)))</f>
        <v>340.80256410256362</v>
      </c>
      <c r="DP95" s="18">
        <f>DO95*VLOOKUP('Données projet'!$B$14,Paramètres!$A$1:$I$89,3,0)*VLOOKUP('Données projet'!$B$14,Paramètres!$A$1:$I$89,5,0)</f>
        <v>159.49559999999977</v>
      </c>
      <c r="DQ95" s="14">
        <f t="shared" si="97"/>
        <v>40.728725680425562</v>
      </c>
      <c r="DR95" s="22">
        <f t="shared" si="70"/>
        <v>348.72403389340735</v>
      </c>
      <c r="DS95" s="62">
        <f t="shared" si="71"/>
        <v>614.20635966560394</v>
      </c>
      <c r="DT95" s="62">
        <f ca="1">AVERAGE(OFFSET($DS$3,0,0,'Données projet'!$E$14+1,1))-AVERAGE(OFFSET($H$3,0,0,'Données projet'!$E$14+1,1))</f>
        <v>304.1100958939968</v>
      </c>
      <c r="DU95" s="62">
        <f t="shared" si="98"/>
        <v>184.1255966824568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2.9487179487179445</v>
      </c>
      <c r="EJ95" s="13">
        <f>IF('Données projet'!$A$192&gt;35,EJ94+EI95-ER94,IF(A95&lt;'Données projet'!$A$192,$EG$205^A95,IF(A95='Données projet'!$A$192,'Données projet'!$B$192,EJ94+EI95-ER94)))</f>
        <v>211.6666666666666</v>
      </c>
      <c r="EK95" s="18">
        <f>EJ95*VLOOKUP('Données projet'!$B$15,Paramètres!$A$1:$I$89,3,0)*VLOOKUP('Données projet'!$B$15,Paramètres!$A$1:$I$89,5,0)</f>
        <v>214.62999999999994</v>
      </c>
      <c r="EL95" s="14">
        <f t="shared" si="99"/>
        <v>52.946069440467525</v>
      </c>
      <c r="EM95" s="22">
        <f t="shared" si="73"/>
        <v>466.02832094214745</v>
      </c>
      <c r="EN95" s="62">
        <f t="shared" si="74"/>
        <v>731.51064671434392</v>
      </c>
      <c r="EO95" s="62">
        <f ca="1">AVERAGE(OFFSET($EN$3,0,0,'Données projet'!$E$15+1,1))-AVERAGE(OFFSET($H$3,0,0,'Données projet'!$E$15+1,1))</f>
        <v>435.03433721979218</v>
      </c>
      <c r="EP95" s="62">
        <f t="shared" si="100"/>
        <v>267.10015759286387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2.9487179487179445</v>
      </c>
      <c r="FE95" s="13">
        <f>IF('Données projet'!$A$218&gt;35,FE94+FD95-FM94,IF(A95&lt;'Données projet'!$A$218,$FB$205^A95,IF(A95='Données projet'!$A$218,'Données projet'!$B$218,FE94+FD95-FM94)))</f>
        <v>211.6666666666666</v>
      </c>
      <c r="FF95" s="18">
        <f>FE95*VLOOKUP('Données projet'!$B$16,Paramètres!$A$1:$I$89,3,0)*VLOOKUP('Données projet'!$B$16,Paramètres!$A$1:$I$89,5,0)</f>
        <v>221.23399999999995</v>
      </c>
      <c r="FG95" s="14">
        <f t="shared" si="101"/>
        <v>54.383002150969347</v>
      </c>
      <c r="FH95" s="22">
        <f t="shared" si="76"/>
        <v>480.0329454129382</v>
      </c>
      <c r="FI95" s="62">
        <f t="shared" si="77"/>
        <v>745.51527118513468</v>
      </c>
      <c r="FJ95" s="62">
        <f ca="1">AVERAGE(OFFSET($FI$3,0,0,'Données projet'!$E$16+1,1))-AVERAGE(OFFSET($H$3,0,0,'Données projet'!$E$16+1,1))</f>
        <v>445.15313998584293</v>
      </c>
      <c r="FK95" s="62">
        <f t="shared" si="102"/>
        <v>272.85357736694834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-5.6843418860808015E-14</v>
      </c>
      <c r="GA95" s="18">
        <f>FZ95*VLOOKUP('Données projet'!$B$17,Paramètres!$A$1:$I$89,3,0)*VLOOKUP('Données projet'!$B$17,Paramètres!$A$1:$I$89,5,0)</f>
        <v>-4.9658410716801891E-14</v>
      </c>
      <c r="GB95" s="14" t="e">
        <f t="shared" si="103"/>
        <v>#NUM!</v>
      </c>
      <c r="GC95" s="22" t="e">
        <f t="shared" si="79"/>
        <v>#NUM!</v>
      </c>
      <c r="GD95" s="62" t="e">
        <f t="shared" si="80"/>
        <v>#NUM!</v>
      </c>
      <c r="GE95" s="62">
        <f ca="1">AVERAGE(OFFSET($GD$3,0,0,'Données projet'!$E$17+1,1))-AVERAGE(OFFSET($H$3,0,0,'Données projet'!$E$17+1,1))</f>
        <v>248.82613595888964</v>
      </c>
      <c r="GF95" s="62">
        <f t="shared" si="104"/>
        <v>255.8298580882084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135.66666666666666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221.18884567967481</v>
      </c>
      <c r="T96" s="62">
        <f t="shared" si="88"/>
        <v>189.31596996710888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1.4583333333333344</v>
      </c>
      <c r="AI96" s="14">
        <f>IF('Données projet'!$A$62&gt;35,AI95+AH96-AQ95,IF(A96&lt;'Données projet'!$A$62,$AF$205^A96,IF(A96='Données projet'!$A$62,'Données projet'!$B$62,AI95+AH96-AQ95)))</f>
        <v>101.61666666666662</v>
      </c>
      <c r="AJ96" s="14">
        <f>AI96*VLOOKUP('Données projet'!$B$10,Paramètres!$A$1:$I$89,3,0)*VLOOKUP('Données projet'!$B$10,Paramètres!$A$1:$I$89,5,0)</f>
        <v>117.06239999999994</v>
      </c>
      <c r="AK96" s="14">
        <f t="shared" si="89"/>
        <v>30.988867171899123</v>
      </c>
      <c r="AL96" s="22">
        <f t="shared" si="58"/>
        <v>257.85595699105755</v>
      </c>
      <c r="AM96" s="62">
        <f t="shared" si="59"/>
        <v>523.82143547891496</v>
      </c>
      <c r="AN96" s="62">
        <f ca="1">AVERAGE(OFFSET($AM$3,0,0,'Données projet'!$E$10+1,1))-AVERAGE(OFFSET($H$3,0,0,'Données projet'!$E$10+1,1))</f>
        <v>314.72063458462026</v>
      </c>
      <c r="AO96" s="62">
        <f t="shared" si="90"/>
        <v>216.4380325968244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2.9487179487179445</v>
      </c>
      <c r="BD96" s="13">
        <f>IF('Données projet'!$A$88&gt;35,BD95+BC96-BL95,IF(A96&lt;'Données projet'!$A$88,$BA$205^A96,IF(A96='Données projet'!$A$88,'Données projet'!$B$88,BD95+BC96-BL95)))</f>
        <v>214.61538461538456</v>
      </c>
      <c r="BE96" s="14">
        <f>BD96*VLOOKUP('Données projet'!$B$11,Paramètres!$A$1:$I$89,3,0)*VLOOKUP('Données projet'!$B$11,Paramètres!$A$1:$I$89,5,0)</f>
        <v>231.01199999999992</v>
      </c>
      <c r="BF96" s="14">
        <f t="shared" si="91"/>
        <v>56.501443648313938</v>
      </c>
      <c r="BG96" s="22">
        <f t="shared" si="61"/>
        <v>500.75258102081324</v>
      </c>
      <c r="BH96" s="62">
        <f t="shared" si="62"/>
        <v>766.71805950867065</v>
      </c>
      <c r="BI96" s="62">
        <f ca="1">AVERAGE(OFFSET($BH$3,0,0,'Données projet'!$E$11+1,1))-AVERAGE(OFFSET($H$3,0,0,'Données projet'!$E$11+1,1))</f>
        <v>455.26558725507834</v>
      </c>
      <c r="BJ96" s="62">
        <f t="shared" si="92"/>
        <v>278.60310966788552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1.2800000000000069</v>
      </c>
      <c r="BY96" s="13">
        <f>IF('Données projet'!$A$114&gt;35,BY95+BX96-CG95,IF(A96&lt;'Données projet'!$A$114,$BV$205^A96,IF(A96='Données projet'!$A$114,'Données projet'!$B$114,BY95+BX96-CG95)))</f>
        <v>308.73999999999978</v>
      </c>
      <c r="BZ96" s="14">
        <f>BY96*VLOOKUP('Données projet'!$B$12,Paramètres!$A$1:$I$89,3,0)*VLOOKUP('Données projet'!$B$12,Paramètres!$A$1:$I$89,5,0)</f>
        <v>160.5447999999999</v>
      </c>
      <c r="CA96" s="14">
        <f t="shared" si="93"/>
        <v>40.965372246732414</v>
      </c>
      <c r="CB96" s="22">
        <f t="shared" si="64"/>
        <v>350.96354999639215</v>
      </c>
      <c r="CC96" s="62">
        <f t="shared" si="65"/>
        <v>616.92902848424956</v>
      </c>
      <c r="CD96" s="62">
        <f ca="1">AVERAGE(OFFSET($CC$3,0,0,'Données projet'!$E$12+1,1))-AVERAGE(OFFSET($H$3,0,0,'Données projet'!$E$12+1,1))</f>
        <v>300.72820267660154</v>
      </c>
      <c r="CE96" s="62">
        <f t="shared" si="94"/>
        <v>228.35388778608589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2.9487179487179445</v>
      </c>
      <c r="CT96" s="13">
        <f>IF('Données projet'!$A$140&gt;35,CT95+CS96-DB95,IF(A96&lt;'Données projet'!$A$140,$CQ$205^A96,IF(A96='Données projet'!$A$140,'Données projet'!$B$140,CT95+CS96-DB95)))</f>
        <v>214.61538461538456</v>
      </c>
      <c r="CU96" s="18">
        <f>CT96*VLOOKUP('Données projet'!$B$13,Paramètres!$A$1:$I$89,3,0)*VLOOKUP('Données projet'!$B$13,Paramètres!$A$1:$I$89,5,0)</f>
        <v>184.14</v>
      </c>
      <c r="CV96" s="14">
        <f t="shared" si="95"/>
        <v>46.242037368587773</v>
      </c>
      <c r="CW96" s="22">
        <f t="shared" si="67"/>
        <v>401.24871508362367</v>
      </c>
      <c r="CX96" s="62">
        <f t="shared" si="68"/>
        <v>667.21419357148102</v>
      </c>
      <c r="CY96" s="62">
        <f ca="1">AVERAGE(OFFSET($CX$3,0,0,'Données projet'!$E$13+1,1))-AVERAGE(OFFSET($H$3,0,0,'Données projet'!$E$13+1,1))</f>
        <v>384.3367849108829</v>
      </c>
      <c r="CZ96" s="62">
        <f t="shared" si="96"/>
        <v>238.2697272367603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>
        <f>VLOOKUP(A96,'Données projet'!$A$165:$I$185,2,0)</f>
        <v>348.92307692307691</v>
      </c>
      <c r="DM96" s="13">
        <f>VLOOKUP(A96,'Données projet'!$A$165:$I$185,9,0)</f>
        <v>8.1205128205128201</v>
      </c>
      <c r="DN96" s="13">
        <f t="array" ref="DN96">INDEX(DM:DM,MIN(IF(ISNUMBER(DM96:DM292),ROW(DM96:DM292),"")))</f>
        <v>8.1205128205128201</v>
      </c>
      <c r="DO96" s="13">
        <f>IF('Données projet'!$A$166&gt;35,DO95+DN96-DW95,IF(A96&lt;'Données projet'!$A$166,$DL$205^A96,IF(A96='Données projet'!$A$166,'Données projet'!$B$166,DO95+DN96-DW95)))</f>
        <v>348.92307692307645</v>
      </c>
      <c r="DP96" s="18">
        <f>DO96*VLOOKUP('Données projet'!$B$14,Paramètres!$A$1:$I$89,3,0)*VLOOKUP('Données projet'!$B$14,Paramètres!$A$1:$I$89,5,0)</f>
        <v>163.29599999999979</v>
      </c>
      <c r="DQ96" s="14">
        <f t="shared" si="97"/>
        <v>41.585052862581854</v>
      </c>
      <c r="DR96" s="22">
        <f t="shared" si="70"/>
        <v>356.8345004023297</v>
      </c>
      <c r="DS96" s="62">
        <f t="shared" si="71"/>
        <v>622.79997889018705</v>
      </c>
      <c r="DT96" s="62">
        <f ca="1">AVERAGE(OFFSET($DS$3,0,0,'Données projet'!$E$14+1,1))-AVERAGE(OFFSET($H$3,0,0,'Données projet'!$E$14+1,1))</f>
        <v>304.1100958939968</v>
      </c>
      <c r="DU96" s="62">
        <f t="shared" si="98"/>
        <v>184.1255966824568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2.9487179487179445</v>
      </c>
      <c r="EJ96" s="13">
        <f>IF('Données projet'!$A$192&gt;35,EJ95+EI96-ER95,IF(A96&lt;'Données projet'!$A$192,$EG$205^A96,IF(A96='Données projet'!$A$192,'Données projet'!$B$192,EJ95+EI96-ER95)))</f>
        <v>214.61538461538456</v>
      </c>
      <c r="EK96" s="18">
        <f>EJ96*VLOOKUP('Données projet'!$B$15,Paramètres!$A$1:$I$89,3,0)*VLOOKUP('Données projet'!$B$15,Paramètres!$A$1:$I$89,5,0)</f>
        <v>217.61999999999998</v>
      </c>
      <c r="EL96" s="14">
        <f t="shared" si="99"/>
        <v>53.597277471320098</v>
      </c>
      <c r="EM96" s="22">
        <f t="shared" si="73"/>
        <v>472.37009159588246</v>
      </c>
      <c r="EN96" s="62">
        <f t="shared" si="74"/>
        <v>738.33557008373987</v>
      </c>
      <c r="EO96" s="62">
        <f ca="1">AVERAGE(OFFSET($EN$3,0,0,'Données projet'!$E$15+1,1))-AVERAGE(OFFSET($H$3,0,0,'Données projet'!$E$15+1,1))</f>
        <v>435.03433721979218</v>
      </c>
      <c r="EP96" s="62">
        <f t="shared" si="100"/>
        <v>267.10015759286387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2.9487179487179445</v>
      </c>
      <c r="FE96" s="13">
        <f>IF('Données projet'!$A$218&gt;35,FE95+FD96-FM95,IF(A96&lt;'Données projet'!$A$218,$FB$205^A96,IF(A96='Données projet'!$A$218,'Données projet'!$B$218,FE95+FD96-FM95)))</f>
        <v>214.61538461538456</v>
      </c>
      <c r="FF96" s="18">
        <f>FE96*VLOOKUP('Données projet'!$B$16,Paramètres!$A$1:$I$89,3,0)*VLOOKUP('Données projet'!$B$16,Paramètres!$A$1:$I$89,5,0)</f>
        <v>224.31599999999997</v>
      </c>
      <c r="FG96" s="14">
        <f t="shared" si="101"/>
        <v>55.051883677338395</v>
      </c>
      <c r="FH96" s="22">
        <f t="shared" si="76"/>
        <v>486.56573073803094</v>
      </c>
      <c r="FI96" s="62">
        <f t="shared" si="77"/>
        <v>752.53120922588835</v>
      </c>
      <c r="FJ96" s="62">
        <f ca="1">AVERAGE(OFFSET($FI$3,0,0,'Données projet'!$E$16+1,1))-AVERAGE(OFFSET($H$3,0,0,'Données projet'!$E$16+1,1))</f>
        <v>445.15313998584293</v>
      </c>
      <c r="FK96" s="62">
        <f t="shared" si="102"/>
        <v>272.85357736694834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-5.6843418860808015E-14</v>
      </c>
      <c r="GA96" s="18">
        <f>FZ96*VLOOKUP('Données projet'!$B$17,Paramètres!$A$1:$I$89,3,0)*VLOOKUP('Données projet'!$B$17,Paramètres!$A$1:$I$89,5,0)</f>
        <v>-4.9658410716801891E-14</v>
      </c>
      <c r="GB96" s="14" t="e">
        <f t="shared" si="103"/>
        <v>#NUM!</v>
      </c>
      <c r="GC96" s="22" t="e">
        <f t="shared" si="79"/>
        <v>#NUM!</v>
      </c>
      <c r="GD96" s="62" t="e">
        <f t="shared" si="80"/>
        <v>#NUM!</v>
      </c>
      <c r="GE96" s="62">
        <f ca="1">AVERAGE(OFFSET($GD$3,0,0,'Données projet'!$E$17+1,1))-AVERAGE(OFFSET($H$3,0,0,'Données projet'!$E$17+1,1))</f>
        <v>248.82613595888964</v>
      </c>
      <c r="GF96" s="62">
        <f t="shared" si="104"/>
        <v>255.8298580882084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135.66666666666666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221.18884567967481</v>
      </c>
      <c r="T97" s="62">
        <f t="shared" si="88"/>
        <v>189.31596996710888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1.4583333333333344</v>
      </c>
      <c r="AI97" s="14">
        <f>IF('Données projet'!$A$62&gt;35,AI96+AH97-AQ96,IF(A97&lt;'Données projet'!$A$62,$AF$205^A97,IF(A97='Données projet'!$A$62,'Données projet'!$B$62,AI96+AH97-AQ96)))</f>
        <v>103.07499999999995</v>
      </c>
      <c r="AJ97" s="14">
        <f>AI97*VLOOKUP('Données projet'!$B$10,Paramètres!$A$1:$I$89,3,0)*VLOOKUP('Données projet'!$B$10,Paramètres!$A$1:$I$89,5,0)</f>
        <v>118.74239999999992</v>
      </c>
      <c r="AK97" s="14">
        <f t="shared" si="89"/>
        <v>31.38150514154874</v>
      </c>
      <c r="AL97" s="22">
        <f t="shared" si="58"/>
        <v>261.46580145486388</v>
      </c>
      <c r="AM97" s="62">
        <f t="shared" si="59"/>
        <v>527.90605103893313</v>
      </c>
      <c r="AN97" s="62">
        <f ca="1">AVERAGE(OFFSET($AM$3,0,0,'Données projet'!$E$10+1,1))-AVERAGE(OFFSET($H$3,0,0,'Données projet'!$E$10+1,1))</f>
        <v>314.72063458462026</v>
      </c>
      <c r="AO97" s="62">
        <f t="shared" si="90"/>
        <v>216.4380325968244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2.9487179487179445</v>
      </c>
      <c r="BD97" s="13">
        <f>IF('Données projet'!$A$88&gt;35,BD96+BC97-BL96,IF(A97&lt;'Données projet'!$A$88,$BA$205^A97,IF(A97='Données projet'!$A$88,'Données projet'!$B$88,BD96+BC97-BL96)))</f>
        <v>217.56410256410251</v>
      </c>
      <c r="BE97" s="14">
        <f>BD97*VLOOKUP('Données projet'!$B$11,Paramètres!$A$1:$I$89,3,0)*VLOOKUP('Données projet'!$B$11,Paramètres!$A$1:$I$89,5,0)</f>
        <v>234.18599999999992</v>
      </c>
      <c r="BF97" s="14">
        <f t="shared" si="91"/>
        <v>57.186840301472806</v>
      </c>
      <c r="BG97" s="22">
        <f t="shared" si="61"/>
        <v>507.47436352506497</v>
      </c>
      <c r="BH97" s="62">
        <f t="shared" si="62"/>
        <v>773.91461310913417</v>
      </c>
      <c r="BI97" s="62">
        <f ca="1">AVERAGE(OFFSET($BH$3,0,0,'Données projet'!$E$11+1,1))-AVERAGE(OFFSET($H$3,0,0,'Données projet'!$E$11+1,1))</f>
        <v>455.26558725507834</v>
      </c>
      <c r="BJ97" s="62">
        <f t="shared" si="92"/>
        <v>278.60310966788552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1.2800000000000069</v>
      </c>
      <c r="BY97" s="13">
        <f>IF('Données projet'!$A$114&gt;35,BY96+BX97-CG96,IF(A97&lt;'Données projet'!$A$114,$BV$205^A97,IF(A97='Données projet'!$A$114,'Données projet'!$B$114,BY96+BX97-CG96)))</f>
        <v>310.01999999999981</v>
      </c>
      <c r="BZ97" s="14">
        <f>BY97*VLOOKUP('Données projet'!$B$12,Paramètres!$A$1:$I$89,3,0)*VLOOKUP('Données projet'!$B$12,Paramètres!$A$1:$I$89,5,0)</f>
        <v>161.21039999999991</v>
      </c>
      <c r="CA97" s="14">
        <f t="shared" si="93"/>
        <v>41.115404641102025</v>
      </c>
      <c r="CB97" s="22">
        <f t="shared" si="64"/>
        <v>352.38410974991922</v>
      </c>
      <c r="CC97" s="62">
        <f t="shared" si="65"/>
        <v>618.82435933398847</v>
      </c>
      <c r="CD97" s="62">
        <f ca="1">AVERAGE(OFFSET($CC$3,0,0,'Données projet'!$E$12+1,1))-AVERAGE(OFFSET($H$3,0,0,'Données projet'!$E$12+1,1))</f>
        <v>300.72820267660154</v>
      </c>
      <c r="CE97" s="62">
        <f t="shared" si="94"/>
        <v>228.35388778608589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2.9487179487179445</v>
      </c>
      <c r="CT97" s="13">
        <f>IF('Données projet'!$A$140&gt;35,CT96+CS97-DB96,IF(A97&lt;'Données projet'!$A$140,$CQ$205^A97,IF(A97='Données projet'!$A$140,'Données projet'!$B$140,CT96+CS97-DB96)))</f>
        <v>217.56410256410251</v>
      </c>
      <c r="CU97" s="18">
        <f>CT97*VLOOKUP('Données projet'!$B$13,Paramètres!$A$1:$I$89,3,0)*VLOOKUP('Données projet'!$B$13,Paramètres!$A$1:$I$89,5,0)</f>
        <v>186.67</v>
      </c>
      <c r="CV97" s="14">
        <f t="shared" si="95"/>
        <v>46.802981224198852</v>
      </c>
      <c r="CW97" s="22">
        <f t="shared" si="67"/>
        <v>406.63210896547963</v>
      </c>
      <c r="CX97" s="62">
        <f t="shared" si="68"/>
        <v>673.07235854954888</v>
      </c>
      <c r="CY97" s="62">
        <f ca="1">AVERAGE(OFFSET($CX$3,0,0,'Données projet'!$E$13+1,1))-AVERAGE(OFFSET($H$3,0,0,'Données projet'!$E$13+1,1))</f>
        <v>384.3367849108829</v>
      </c>
      <c r="CZ97" s="62">
        <f t="shared" si="96"/>
        <v>238.2697272367603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8.1576923076923151</v>
      </c>
      <c r="DO97" s="13">
        <f>IF('Données projet'!$A$166&gt;35,DO96+DN97-DW96,IF(A97&lt;'Données projet'!$A$166,$DL$205^A97,IF(A97='Données projet'!$A$166,'Données projet'!$B$166,DO96+DN97-DW96)))</f>
        <v>357.08076923076874</v>
      </c>
      <c r="DP97" s="18">
        <f>DO97*VLOOKUP('Données projet'!$B$14,Paramètres!$A$1:$I$89,3,0)*VLOOKUP('Données projet'!$B$14,Paramètres!$A$1:$I$89,5,0)</f>
        <v>167.11379999999977</v>
      </c>
      <c r="DQ97" s="14">
        <f t="shared" si="97"/>
        <v>42.442968004718075</v>
      </c>
      <c r="DR97" s="22">
        <f t="shared" si="70"/>
        <v>364.97803760821688</v>
      </c>
      <c r="DS97" s="62">
        <f t="shared" si="71"/>
        <v>631.41828719228602</v>
      </c>
      <c r="DT97" s="62">
        <f ca="1">AVERAGE(OFFSET($DS$3,0,0,'Données projet'!$E$14+1,1))-AVERAGE(OFFSET($H$3,0,0,'Données projet'!$E$14+1,1))</f>
        <v>304.1100958939968</v>
      </c>
      <c r="DU97" s="62">
        <f t="shared" si="98"/>
        <v>184.1255966824568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2.9487179487179445</v>
      </c>
      <c r="EJ97" s="13">
        <f>IF('Données projet'!$A$192&gt;35,EJ96+EI97-ER96,IF(A97&lt;'Données projet'!$A$192,$EG$205^A97,IF(A97='Données projet'!$A$192,'Données projet'!$B$192,EJ96+EI97-ER96)))</f>
        <v>217.56410256410251</v>
      </c>
      <c r="EK97" s="18">
        <f>EJ97*VLOOKUP('Données projet'!$B$15,Paramètres!$A$1:$I$89,3,0)*VLOOKUP('Données projet'!$B$15,Paramètres!$A$1:$I$89,5,0)</f>
        <v>220.60999999999996</v>
      </c>
      <c r="EL97" s="14">
        <f t="shared" si="99"/>
        <v>54.247444833873203</v>
      </c>
      <c r="EM97" s="22">
        <f t="shared" si="73"/>
        <v>478.7100497523291</v>
      </c>
      <c r="EN97" s="62">
        <f t="shared" si="74"/>
        <v>745.15029933639835</v>
      </c>
      <c r="EO97" s="62">
        <f ca="1">AVERAGE(OFFSET($EN$3,0,0,'Données projet'!$E$15+1,1))-AVERAGE(OFFSET($H$3,0,0,'Données projet'!$E$15+1,1))</f>
        <v>435.03433721979218</v>
      </c>
      <c r="EP97" s="62">
        <f t="shared" si="100"/>
        <v>267.10015759286387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2.9487179487179445</v>
      </c>
      <c r="FE97" s="13">
        <f>IF('Données projet'!$A$218&gt;35,FE96+FD97-FM96,IF(A97&lt;'Données projet'!$A$218,$FB$205^A97,IF(A97='Données projet'!$A$218,'Données projet'!$B$218,FE96+FD97-FM96)))</f>
        <v>217.56410256410251</v>
      </c>
      <c r="FF97" s="18">
        <f>FE97*VLOOKUP('Données projet'!$B$16,Paramètres!$A$1:$I$89,3,0)*VLOOKUP('Données projet'!$B$16,Paramètres!$A$1:$I$89,5,0)</f>
        <v>227.39799999999997</v>
      </c>
      <c r="FG97" s="14">
        <f t="shared" si="101"/>
        <v>55.719696292134564</v>
      </c>
      <c r="FH97" s="22">
        <f t="shared" si="76"/>
        <v>493.09665437546772</v>
      </c>
      <c r="FI97" s="62">
        <f t="shared" si="77"/>
        <v>759.53690395953686</v>
      </c>
      <c r="FJ97" s="62">
        <f ca="1">AVERAGE(OFFSET($FI$3,0,0,'Données projet'!$E$16+1,1))-AVERAGE(OFFSET($H$3,0,0,'Données projet'!$E$16+1,1))</f>
        <v>445.15313998584293</v>
      </c>
      <c r="FK97" s="62">
        <f t="shared" si="102"/>
        <v>272.85357736694834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-5.6843418860808015E-14</v>
      </c>
      <c r="GA97" s="18">
        <f>FZ97*VLOOKUP('Données projet'!$B$17,Paramètres!$A$1:$I$89,3,0)*VLOOKUP('Données projet'!$B$17,Paramètres!$A$1:$I$89,5,0)</f>
        <v>-4.9658410716801891E-14</v>
      </c>
      <c r="GB97" s="14" t="e">
        <f t="shared" si="103"/>
        <v>#NUM!</v>
      </c>
      <c r="GC97" s="22" t="e">
        <f t="shared" si="79"/>
        <v>#NUM!</v>
      </c>
      <c r="GD97" s="62" t="e">
        <f t="shared" si="80"/>
        <v>#NUM!</v>
      </c>
      <c r="GE97" s="62">
        <f ca="1">AVERAGE(OFFSET($GD$3,0,0,'Données projet'!$E$17+1,1))-AVERAGE(OFFSET($H$3,0,0,'Données projet'!$E$17+1,1))</f>
        <v>248.82613595888964</v>
      </c>
      <c r="GF97" s="62">
        <f t="shared" si="104"/>
        <v>255.8298580882084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135.66666666666666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221.18884567967481</v>
      </c>
      <c r="T98" s="62">
        <f t="shared" si="88"/>
        <v>189.31596996710888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1.4583333333333344</v>
      </c>
      <c r="AI98" s="14">
        <f>IF('Données projet'!$A$62&gt;35,AI97+AH98-AQ97,IF(A98&lt;'Données projet'!$A$62,$AF$205^A98,IF(A98='Données projet'!$A$62,'Données projet'!$B$62,AI97+AH98-AQ97)))</f>
        <v>104.53333333333327</v>
      </c>
      <c r="AJ98" s="14">
        <f>AI98*VLOOKUP('Données projet'!$B$10,Paramètres!$A$1:$I$89,3,0)*VLOOKUP('Données projet'!$B$10,Paramètres!$A$1:$I$89,5,0)</f>
        <v>120.42239999999991</v>
      </c>
      <c r="AK98" s="14">
        <f t="shared" si="89"/>
        <v>31.773497001152442</v>
      </c>
      <c r="AL98" s="22">
        <f t="shared" si="58"/>
        <v>265.07452061034036</v>
      </c>
      <c r="AM98" s="62">
        <f t="shared" si="59"/>
        <v>531.9813050735313</v>
      </c>
      <c r="AN98" s="62">
        <f ca="1">AVERAGE(OFFSET($AM$3,0,0,'Données projet'!$E$10+1,1))-AVERAGE(OFFSET($H$3,0,0,'Données projet'!$E$10+1,1))</f>
        <v>314.72063458462026</v>
      </c>
      <c r="AO98" s="62">
        <f t="shared" si="90"/>
        <v>216.4380325968244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220.5128205128205</v>
      </c>
      <c r="BB98" s="13">
        <f>VLOOKUP(A98,'Données projet'!$A$87:$I$107,9,0)</f>
        <v>2.9487179487179445</v>
      </c>
      <c r="BC98" s="13">
        <f t="array" ref="BC98">INDEX(BB:BB,MIN(IF(ISNUMBER(BB98:BB294),ROW(BB98:BB294),"")))</f>
        <v>2.9487179487179445</v>
      </c>
      <c r="BD98" s="13">
        <f>IF('Données projet'!$A$88&gt;35,BD97+BC98-BL97,IF(A98&lt;'Données projet'!$A$88,$BA$205^A98,IF(A98='Données projet'!$A$88,'Données projet'!$B$88,BD97+BC98-BL97)))</f>
        <v>220.51282051282047</v>
      </c>
      <c r="BE98" s="14">
        <f>BD98*VLOOKUP('Données projet'!$B$11,Paramètres!$A$1:$I$89,3,0)*VLOOKUP('Données projet'!$B$11,Paramètres!$A$1:$I$89,5,0)</f>
        <v>237.35999999999993</v>
      </c>
      <c r="BF98" s="14">
        <f t="shared" si="91"/>
        <v>57.87115648519854</v>
      </c>
      <c r="BG98" s="22">
        <f t="shared" si="61"/>
        <v>514.19426421172068</v>
      </c>
      <c r="BH98" s="62">
        <f t="shared" si="62"/>
        <v>781.10104867491157</v>
      </c>
      <c r="BI98" s="62">
        <f ca="1">AVERAGE(OFFSET($BH$3,0,0,'Données projet'!$E$11+1,1))-AVERAGE(OFFSET($H$3,0,0,'Données projet'!$E$11+1,1))</f>
        <v>455.26558725507834</v>
      </c>
      <c r="BJ98" s="62">
        <f t="shared" si="92"/>
        <v>278.60310966788552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311.3</v>
      </c>
      <c r="BW98" s="13">
        <f>VLOOKUP(A98,'Données projet'!$A$113:$I$133,9,0)</f>
        <v>1.2800000000000069</v>
      </c>
      <c r="BX98" s="13">
        <f t="array" ref="BX98">INDEX(BW:BW,MIN(IF(ISNUMBER(BW98:BW294),ROW(BW98:BW294),"")))</f>
        <v>1.2800000000000069</v>
      </c>
      <c r="BY98" s="13">
        <f>IF('Données projet'!$A$114&gt;35,BY97+BX98-CG97,IF(A98&lt;'Données projet'!$A$114,$BV$205^A98,IF(A98='Données projet'!$A$114,'Données projet'!$B$114,BY97+BX98-CG97)))</f>
        <v>311.29999999999984</v>
      </c>
      <c r="BZ98" s="14">
        <f>BY98*VLOOKUP('Données projet'!$B$12,Paramètres!$A$1:$I$89,3,0)*VLOOKUP('Données projet'!$B$12,Paramètres!$A$1:$I$89,5,0)</f>
        <v>161.87599999999992</v>
      </c>
      <c r="CA98" s="14">
        <f t="shared" si="93"/>
        <v>41.265364948757565</v>
      </c>
      <c r="CB98" s="22">
        <f t="shared" si="64"/>
        <v>353.80454395241924</v>
      </c>
      <c r="CC98" s="62">
        <f t="shared" si="65"/>
        <v>620.71132841561007</v>
      </c>
      <c r="CD98" s="62">
        <f ca="1">AVERAGE(OFFSET($CC$3,0,0,'Données projet'!$E$12+1,1))-AVERAGE(OFFSET($H$3,0,0,'Données projet'!$E$12+1,1))</f>
        <v>300.72820267660154</v>
      </c>
      <c r="CE98" s="62">
        <f t="shared" si="94"/>
        <v>228.35388778608589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220.5128205128205</v>
      </c>
      <c r="CR98" s="13">
        <f>VLOOKUP(A98,'Données projet'!$A$139:$I$159,9,0)</f>
        <v>2.9487179487179445</v>
      </c>
      <c r="CS98" s="13">
        <f t="array" ref="CS98">INDEX(CR:CR,MIN(IF(ISNUMBER(CR98:CR294),ROW(CR98:CR294),"")))</f>
        <v>2.9487179487179445</v>
      </c>
      <c r="CT98" s="13">
        <f>IF('Données projet'!$A$140&gt;35,CT97+CS98-DB97,IF(A98&lt;'Données projet'!$A$140,$CQ$205^A98,IF(A98='Données projet'!$A$140,'Données projet'!$B$140,CT97+CS98-DB97)))</f>
        <v>220.51282051282047</v>
      </c>
      <c r="CU98" s="18">
        <f>CT98*VLOOKUP('Données projet'!$B$13,Paramètres!$A$1:$I$89,3,0)*VLOOKUP('Données projet'!$B$13,Paramètres!$A$1:$I$89,5,0)</f>
        <v>189.2</v>
      </c>
      <c r="CV98" s="14">
        <f t="shared" si="95"/>
        <v>47.363040799609699</v>
      </c>
      <c r="CW98" s="22">
        <f t="shared" si="67"/>
        <v>412.01396272598686</v>
      </c>
      <c r="CX98" s="62">
        <f t="shared" si="68"/>
        <v>678.92074718917775</v>
      </c>
      <c r="CY98" s="62">
        <f ca="1">AVERAGE(OFFSET($CX$3,0,0,'Données projet'!$E$13+1,1))-AVERAGE(OFFSET($H$3,0,0,'Données projet'!$E$13+1,1))</f>
        <v>384.3367849108829</v>
      </c>
      <c r="CZ98" s="62">
        <f t="shared" si="96"/>
        <v>238.2697272367603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8.1576923076923151</v>
      </c>
      <c r="DO98" s="13">
        <f>IF('Données projet'!$A$166&gt;35,DO97+DN98-DW97,IF(A98&lt;'Données projet'!$A$166,$DL$205^A98,IF(A98='Données projet'!$A$166,'Données projet'!$B$166,DO97+DN98-DW97)))</f>
        <v>365.23846153846102</v>
      </c>
      <c r="DP98" s="18">
        <f>DO98*VLOOKUP('Données projet'!$B$14,Paramètres!$A$1:$I$89,3,0)*VLOOKUP('Données projet'!$B$14,Paramètres!$A$1:$I$89,5,0)</f>
        <v>170.93159999999975</v>
      </c>
      <c r="DQ98" s="14">
        <f t="shared" si="97"/>
        <v>43.298604585177706</v>
      </c>
      <c r="DR98" s="22">
        <f t="shared" si="70"/>
        <v>373.11760631918406</v>
      </c>
      <c r="DS98" s="62">
        <f t="shared" si="71"/>
        <v>640.02439078237489</v>
      </c>
      <c r="DT98" s="62">
        <f ca="1">AVERAGE(OFFSET($DS$3,0,0,'Données projet'!$E$14+1,1))-AVERAGE(OFFSET($H$3,0,0,'Données projet'!$E$14+1,1))</f>
        <v>304.1100958939968</v>
      </c>
      <c r="DU98" s="62">
        <f t="shared" si="98"/>
        <v>184.1255966824568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220.5128205128205</v>
      </c>
      <c r="EH98" s="13">
        <f>VLOOKUP(A98,'Données projet'!$A$191:$I$211,9,0)</f>
        <v>2.9487179487179445</v>
      </c>
      <c r="EI98" s="13">
        <f t="array" ref="EI98">INDEX(EH:EH,MIN(IF(ISNUMBER(EH98:EH294),ROW(EH98:EH294),"")))</f>
        <v>2.9487179487179445</v>
      </c>
      <c r="EJ98" s="13">
        <f>IF('Données projet'!$A$192&gt;35,EJ97+EI98-ER97,IF(A98&lt;'Données projet'!$A$192,$EG$205^A98,IF(A98='Données projet'!$A$192,'Données projet'!$B$192,EJ97+EI98-ER97)))</f>
        <v>220.51282051282047</v>
      </c>
      <c r="EK98" s="18">
        <f>EJ98*VLOOKUP('Données projet'!$B$15,Paramètres!$A$1:$I$89,3,0)*VLOOKUP('Données projet'!$B$15,Paramètres!$A$1:$I$89,5,0)</f>
        <v>223.59999999999997</v>
      </c>
      <c r="EL98" s="14">
        <f t="shared" si="99"/>
        <v>54.896587262968644</v>
      </c>
      <c r="EM98" s="22">
        <f t="shared" si="73"/>
        <v>485.04822281633693</v>
      </c>
      <c r="EN98" s="62">
        <f t="shared" si="74"/>
        <v>751.95500727952776</v>
      </c>
      <c r="EO98" s="62">
        <f ca="1">AVERAGE(OFFSET($EN$3,0,0,'Données projet'!$E$15+1,1))-AVERAGE(OFFSET($H$3,0,0,'Données projet'!$E$15+1,1))</f>
        <v>435.03433721979218</v>
      </c>
      <c r="EP98" s="62">
        <f t="shared" si="100"/>
        <v>267.10015759286387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220.5128205128205</v>
      </c>
      <c r="FC98" s="13">
        <f>VLOOKUP(A98,'Données projet'!$A$217:$I$237,9,0)</f>
        <v>2.9487179487179445</v>
      </c>
      <c r="FD98" s="13">
        <f t="array" ref="FD98">INDEX(FC:FC,MIN(IF(ISNUMBER(FC98:FC294),ROW(FC98:FC294),"")))</f>
        <v>2.9487179487179445</v>
      </c>
      <c r="FE98" s="13">
        <f>IF('Données projet'!$A$218&gt;35,FE97+FD98-FM97,IF(A98&lt;'Données projet'!$A$218,$FB$205^A98,IF(A98='Données projet'!$A$218,'Données projet'!$B$218,FE97+FD98-FM97)))</f>
        <v>220.51282051282047</v>
      </c>
      <c r="FF98" s="18">
        <f>FE98*VLOOKUP('Données projet'!$B$16,Paramètres!$A$1:$I$89,3,0)*VLOOKUP('Données projet'!$B$16,Paramètres!$A$1:$I$89,5,0)</f>
        <v>230.48</v>
      </c>
      <c r="FG98" s="14">
        <f t="shared" si="101"/>
        <v>56.386456157236054</v>
      </c>
      <c r="FH98" s="22">
        <f t="shared" si="76"/>
        <v>499.62574447385276</v>
      </c>
      <c r="FI98" s="62">
        <f t="shared" si="77"/>
        <v>766.53252893704371</v>
      </c>
      <c r="FJ98" s="62">
        <f ca="1">AVERAGE(OFFSET($FI$3,0,0,'Données projet'!$E$16+1,1))-AVERAGE(OFFSET($H$3,0,0,'Données projet'!$E$16+1,1))</f>
        <v>445.15313998584293</v>
      </c>
      <c r="FK98" s="62">
        <f t="shared" si="102"/>
        <v>272.85357736694834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-5.6843418860808015E-14</v>
      </c>
      <c r="GA98" s="18">
        <f>FZ98*VLOOKUP('Données projet'!$B$17,Paramètres!$A$1:$I$89,3,0)*VLOOKUP('Données projet'!$B$17,Paramètres!$A$1:$I$89,5,0)</f>
        <v>-4.9658410716801891E-14</v>
      </c>
      <c r="GB98" s="14" t="e">
        <f t="shared" si="103"/>
        <v>#NUM!</v>
      </c>
      <c r="GC98" s="22" t="e">
        <f t="shared" si="79"/>
        <v>#NUM!</v>
      </c>
      <c r="GD98" s="62" t="e">
        <f t="shared" si="80"/>
        <v>#NUM!</v>
      </c>
      <c r="GE98" s="62">
        <f ca="1">AVERAGE(OFFSET($GD$3,0,0,'Données projet'!$E$17+1,1))-AVERAGE(OFFSET($H$3,0,0,'Données projet'!$E$17+1,1))</f>
        <v>248.82613595888964</v>
      </c>
      <c r="GF98" s="62">
        <f t="shared" si="104"/>
        <v>255.8298580882084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135.66666666666666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221.18884567967481</v>
      </c>
      <c r="T99" s="62">
        <f t="shared" si="88"/>
        <v>189.31596996710888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1.4583333333333344</v>
      </c>
      <c r="AI99" s="14">
        <f>IF('Données projet'!$A$62&gt;35,AI98+AH99-AQ98,IF(A99&lt;'Données projet'!$A$62,$AF$205^A99,IF(A99='Données projet'!$A$62,'Données projet'!$B$62,AI98+AH99-AQ98)))</f>
        <v>105.9916666666666</v>
      </c>
      <c r="AJ99" s="14">
        <f>AI99*VLOOKUP('Données projet'!$B$10,Paramètres!$A$1:$I$89,3,0)*VLOOKUP('Données projet'!$B$10,Paramètres!$A$1:$I$89,5,0)</f>
        <v>122.10239999999992</v>
      </c>
      <c r="AK99" s="14">
        <f t="shared" si="89"/>
        <v>32.164852806220239</v>
      </c>
      <c r="AL99" s="22">
        <f t="shared" si="58"/>
        <v>268.68213197083338</v>
      </c>
      <c r="AM99" s="62">
        <f t="shared" si="59"/>
        <v>536.04735797600893</v>
      </c>
      <c r="AN99" s="62">
        <f ca="1">AVERAGE(OFFSET($AM$3,0,0,'Données projet'!$E$10+1,1))-AVERAGE(OFFSET($H$3,0,0,'Données projet'!$E$10+1,1))</f>
        <v>314.72063458462026</v>
      </c>
      <c r="AO99" s="62">
        <f t="shared" si="90"/>
        <v>216.4380325968244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2.6923076923076961</v>
      </c>
      <c r="BD99" s="13">
        <f>IF('Données projet'!$A$88&gt;35,BD98+BC99-BL98,IF(A99&lt;'Données projet'!$A$88,$BA$205^A99,IF(A99='Données projet'!$A$88,'Données projet'!$B$88,BD98+BC99-BL98)))</f>
        <v>223.20512820512818</v>
      </c>
      <c r="BE99" s="14">
        <f>BD99*VLOOKUP('Données projet'!$B$11,Paramètres!$A$1:$I$89,3,0)*VLOOKUP('Données projet'!$B$11,Paramètres!$A$1:$I$89,5,0)</f>
        <v>240.25799999999998</v>
      </c>
      <c r="BF99" s="14">
        <f t="shared" si="91"/>
        <v>58.495036967441735</v>
      </c>
      <c r="BG99" s="22">
        <f t="shared" si="61"/>
        <v>520.3282060516276</v>
      </c>
      <c r="BH99" s="62">
        <f t="shared" si="62"/>
        <v>787.6934320568032</v>
      </c>
      <c r="BI99" s="62">
        <f ca="1">AVERAGE(OFFSET($BH$3,0,0,'Données projet'!$E$11+1,1))-AVERAGE(OFFSET($H$3,0,0,'Données projet'!$E$11+1,1))</f>
        <v>455.26558725507834</v>
      </c>
      <c r="BJ99" s="62">
        <f t="shared" si="92"/>
        <v>278.60310966788552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1.0399999999999978</v>
      </c>
      <c r="BY99" s="13">
        <f>IF('Données projet'!$A$114&gt;35,BY98+BX99-CG98,IF(A99&lt;'Données projet'!$A$114,$BV$205^A99,IF(A99='Données projet'!$A$114,'Données projet'!$B$114,BY98+BX99-CG98)))</f>
        <v>312.33999999999986</v>
      </c>
      <c r="BZ99" s="14">
        <f>BY99*VLOOKUP('Données projet'!$B$12,Paramètres!$A$1:$I$89,3,0)*VLOOKUP('Données projet'!$B$12,Paramètres!$A$1:$I$89,5,0)</f>
        <v>162.41679999999994</v>
      </c>
      <c r="CA99" s="14">
        <f t="shared" si="93"/>
        <v>41.387154847720005</v>
      </c>
      <c r="CB99" s="22">
        <f t="shared" si="64"/>
        <v>354.95855469311226</v>
      </c>
      <c r="CC99" s="62">
        <f t="shared" si="65"/>
        <v>622.32378069828781</v>
      </c>
      <c r="CD99" s="62">
        <f ca="1">AVERAGE(OFFSET($CC$3,0,0,'Données projet'!$E$12+1,1))-AVERAGE(OFFSET($H$3,0,0,'Données projet'!$E$12+1,1))</f>
        <v>300.72820267660154</v>
      </c>
      <c r="CE99" s="62">
        <f t="shared" si="94"/>
        <v>228.35388778608589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2.6923076923076961</v>
      </c>
      <c r="CT99" s="13">
        <f>IF('Données projet'!$A$140&gt;35,CT98+CS99-DB98,IF(A99&lt;'Données projet'!$A$140,$CQ$205^A99,IF(A99='Données projet'!$A$140,'Données projet'!$B$140,CT98+CS99-DB98)))</f>
        <v>223.20512820512818</v>
      </c>
      <c r="CU99" s="18">
        <f>CT99*VLOOKUP('Données projet'!$B$13,Paramètres!$A$1:$I$89,3,0)*VLOOKUP('Données projet'!$B$13,Paramètres!$A$1:$I$89,5,0)</f>
        <v>191.51</v>
      </c>
      <c r="CV99" s="14">
        <f t="shared" si="95"/>
        <v>47.873638453591653</v>
      </c>
      <c r="CW99" s="22">
        <f t="shared" si="67"/>
        <v>416.92650364000542</v>
      </c>
      <c r="CX99" s="62">
        <f t="shared" si="68"/>
        <v>684.29172964518102</v>
      </c>
      <c r="CY99" s="62">
        <f ca="1">AVERAGE(OFFSET($CX$3,0,0,'Données projet'!$E$13+1,1))-AVERAGE(OFFSET($H$3,0,0,'Données projet'!$E$13+1,1))</f>
        <v>384.3367849108829</v>
      </c>
      <c r="CZ99" s="62">
        <f t="shared" si="96"/>
        <v>238.2697272367603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8.1576923076923151</v>
      </c>
      <c r="DO99" s="13">
        <f>IF('Données projet'!$A$166&gt;35,DO98+DN99-DW98,IF(A99&lt;'Données projet'!$A$166,$DL$205^A99,IF(A99='Données projet'!$A$166,'Données projet'!$B$166,DO98+DN99-DW98)))</f>
        <v>373.39615384615331</v>
      </c>
      <c r="DP99" s="18">
        <f>DO99*VLOOKUP('Données projet'!$B$14,Paramètres!$A$1:$I$89,3,0)*VLOOKUP('Données projet'!$B$14,Paramètres!$A$1:$I$89,5,0)</f>
        <v>174.74939999999975</v>
      </c>
      <c r="DQ99" s="14">
        <f t="shared" si="97"/>
        <v>44.152019355804249</v>
      </c>
      <c r="DR99" s="22">
        <f t="shared" si="70"/>
        <v>381.25330537802529</v>
      </c>
      <c r="DS99" s="62">
        <f t="shared" si="71"/>
        <v>648.61853138320089</v>
      </c>
      <c r="DT99" s="62">
        <f ca="1">AVERAGE(OFFSET($DS$3,0,0,'Données projet'!$E$14+1,1))-AVERAGE(OFFSET($H$3,0,0,'Données projet'!$E$14+1,1))</f>
        <v>304.1100958939968</v>
      </c>
      <c r="DU99" s="62">
        <f t="shared" si="98"/>
        <v>184.1255966824568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2.6923076923076961</v>
      </c>
      <c r="EJ99" s="13">
        <f>IF('Données projet'!$A$192&gt;35,EJ98+EI99-ER98,IF(A99&lt;'Données projet'!$A$192,$EG$205^A99,IF(A99='Données projet'!$A$192,'Données projet'!$B$192,EJ98+EI99-ER98)))</f>
        <v>223.20512820512818</v>
      </c>
      <c r="EK99" s="18">
        <f>EJ99*VLOOKUP('Données projet'!$B$15,Paramètres!$A$1:$I$89,3,0)*VLOOKUP('Données projet'!$B$15,Paramètres!$A$1:$I$89,5,0)</f>
        <v>226.32999999999998</v>
      </c>
      <c r="EL99" s="14">
        <f t="shared" si="99"/>
        <v>55.488400377052272</v>
      </c>
      <c r="EM99" s="22">
        <f t="shared" si="73"/>
        <v>490.83371399003272</v>
      </c>
      <c r="EN99" s="62">
        <f t="shared" si="74"/>
        <v>758.19893999520832</v>
      </c>
      <c r="EO99" s="62">
        <f ca="1">AVERAGE(OFFSET($EN$3,0,0,'Données projet'!$E$15+1,1))-AVERAGE(OFFSET($H$3,0,0,'Données projet'!$E$15+1,1))</f>
        <v>435.03433721979218</v>
      </c>
      <c r="EP99" s="62">
        <f t="shared" si="100"/>
        <v>267.10015759286387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2.6923076923076961</v>
      </c>
      <c r="FE99" s="13">
        <f>IF('Données projet'!$A$218&gt;35,FE98+FD99-FM98,IF(A99&lt;'Données projet'!$A$218,$FB$205^A99,IF(A99='Données projet'!$A$218,'Données projet'!$B$218,FE98+FD99-FM98)))</f>
        <v>223.20512820512818</v>
      </c>
      <c r="FF99" s="18">
        <f>FE99*VLOOKUP('Données projet'!$B$16,Paramètres!$A$1:$I$89,3,0)*VLOOKUP('Données projet'!$B$16,Paramètres!$A$1:$I$89,5,0)</f>
        <v>233.29399999999998</v>
      </c>
      <c r="FG99" s="14">
        <f t="shared" si="101"/>
        <v>56.994330815285466</v>
      </c>
      <c r="FH99" s="22">
        <f t="shared" si="76"/>
        <v>505.58550950328885</v>
      </c>
      <c r="FI99" s="62">
        <f t="shared" si="77"/>
        <v>772.95073550846439</v>
      </c>
      <c r="FJ99" s="62">
        <f ca="1">AVERAGE(OFFSET($FI$3,0,0,'Données projet'!$E$16+1,1))-AVERAGE(OFFSET($H$3,0,0,'Données projet'!$E$16+1,1))</f>
        <v>445.15313998584293</v>
      </c>
      <c r="FK99" s="62">
        <f t="shared" si="102"/>
        <v>272.85357736694834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-5.6843418860808015E-14</v>
      </c>
      <c r="GA99" s="18">
        <f>FZ99*VLOOKUP('Données projet'!$B$17,Paramètres!$A$1:$I$89,3,0)*VLOOKUP('Données projet'!$B$17,Paramètres!$A$1:$I$89,5,0)</f>
        <v>-4.9658410716801891E-14</v>
      </c>
      <c r="GB99" s="14" t="e">
        <f t="shared" si="103"/>
        <v>#NUM!</v>
      </c>
      <c r="GC99" s="22" t="e">
        <f t="shared" si="79"/>
        <v>#NUM!</v>
      </c>
      <c r="GD99" s="62" t="e">
        <f t="shared" si="80"/>
        <v>#NUM!</v>
      </c>
      <c r="GE99" s="62">
        <f ca="1">AVERAGE(OFFSET($GD$3,0,0,'Données projet'!$E$17+1,1))-AVERAGE(OFFSET($H$3,0,0,'Données projet'!$E$17+1,1))</f>
        <v>248.82613595888964</v>
      </c>
      <c r="GF99" s="62">
        <f t="shared" si="104"/>
        <v>255.8298580882084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135.66666666666666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221.18884567967481</v>
      </c>
      <c r="T100" s="62">
        <f t="shared" si="88"/>
        <v>189.31596996710888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1.4583333333333344</v>
      </c>
      <c r="AI100" s="14">
        <f>IF('Données projet'!$A$62&gt;35,AI99+AH100-AQ99,IF(A100&lt;'Données projet'!$A$62,$AF$205^A100,IF(A100='Données projet'!$A$62,'Données projet'!$B$62,AI99+AH100-AQ99)))</f>
        <v>107.44999999999993</v>
      </c>
      <c r="AJ100" s="14">
        <f>AI100*VLOOKUP('Données projet'!$B$10,Paramètres!$A$1:$I$89,3,0)*VLOOKUP('Données projet'!$B$10,Paramètres!$A$1:$I$89,5,0)</f>
        <v>123.78239999999991</v>
      </c>
      <c r="AK100" s="14">
        <f t="shared" si="89"/>
        <v>32.555582319658349</v>
      </c>
      <c r="AL100" s="22">
        <f t="shared" si="58"/>
        <v>272.2886525400715</v>
      </c>
      <c r="AM100" s="62">
        <f t="shared" si="59"/>
        <v>540.10436715140008</v>
      </c>
      <c r="AN100" s="62">
        <f ca="1">AVERAGE(OFFSET($AM$3,0,0,'Données projet'!$E$10+1,1))-AVERAGE(OFFSET($H$3,0,0,'Données projet'!$E$10+1,1))</f>
        <v>314.72063458462026</v>
      </c>
      <c r="AO100" s="62">
        <f t="shared" si="90"/>
        <v>216.4380325968244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2.6923076923076961</v>
      </c>
      <c r="BD100" s="13">
        <f>IF('Données projet'!$A$88&gt;35,BD99+BC100-BL99,IF(A100&lt;'Données projet'!$A$88,$BA$205^A100,IF(A100='Données projet'!$A$88,'Données projet'!$B$88,BD99+BC100-BL99)))</f>
        <v>225.89743589743588</v>
      </c>
      <c r="BE100" s="14">
        <f>BD100*VLOOKUP('Données projet'!$B$11,Paramètres!$A$1:$I$89,3,0)*VLOOKUP('Données projet'!$B$11,Paramètres!$A$1:$I$89,5,0)</f>
        <v>243.15599999999995</v>
      </c>
      <c r="BF100" s="14">
        <f t="shared" si="91"/>
        <v>59.118042100772975</v>
      </c>
      <c r="BG100" s="22">
        <f t="shared" si="61"/>
        <v>526.46062332551276</v>
      </c>
      <c r="BH100" s="62">
        <f t="shared" si="62"/>
        <v>794.27633793684129</v>
      </c>
      <c r="BI100" s="62">
        <f ca="1">AVERAGE(OFFSET($BH$3,0,0,'Données projet'!$E$11+1,1))-AVERAGE(OFFSET($H$3,0,0,'Données projet'!$E$11+1,1))</f>
        <v>455.26558725507834</v>
      </c>
      <c r="BJ100" s="62">
        <f t="shared" si="92"/>
        <v>278.60310966788552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1.0399999999999978</v>
      </c>
      <c r="BY100" s="13">
        <f>IF('Données projet'!$A$114&gt;35,BY99+BX100-CG99,IF(A100&lt;'Données projet'!$A$114,$BV$205^A100,IF(A100='Données projet'!$A$114,'Données projet'!$B$114,BY99+BX100-CG99)))</f>
        <v>313.37999999999988</v>
      </c>
      <c r="BZ100" s="14">
        <f>BY100*VLOOKUP('Données projet'!$B$12,Paramètres!$A$1:$I$89,3,0)*VLOOKUP('Données projet'!$B$12,Paramètres!$A$1:$I$89,5,0)</f>
        <v>162.95759999999996</v>
      </c>
      <c r="CA100" s="14">
        <f t="shared" si="93"/>
        <v>41.508897552694791</v>
      </c>
      <c r="CB100" s="22">
        <f t="shared" si="64"/>
        <v>356.11248323760998</v>
      </c>
      <c r="CC100" s="62">
        <f t="shared" si="65"/>
        <v>623.92819784893845</v>
      </c>
      <c r="CD100" s="62">
        <f ca="1">AVERAGE(OFFSET($CC$3,0,0,'Données projet'!$E$12+1,1))-AVERAGE(OFFSET($H$3,0,0,'Données projet'!$E$12+1,1))</f>
        <v>300.72820267660154</v>
      </c>
      <c r="CE100" s="62">
        <f t="shared" si="94"/>
        <v>228.35388778608589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2.6923076923076961</v>
      </c>
      <c r="CT100" s="13">
        <f>IF('Données projet'!$A$140&gt;35,CT99+CS100-DB99,IF(A100&lt;'Données projet'!$A$140,$CQ$205^A100,IF(A100='Données projet'!$A$140,'Données projet'!$B$140,CT99+CS100-DB99)))</f>
        <v>225.89743589743588</v>
      </c>
      <c r="CU100" s="18">
        <f>CT100*VLOOKUP('Données projet'!$B$13,Paramètres!$A$1:$I$89,3,0)*VLOOKUP('Données projet'!$B$13,Paramètres!$A$1:$I$89,5,0)</f>
        <v>193.82000000000002</v>
      </c>
      <c r="CV100" s="14">
        <f t="shared" si="95"/>
        <v>48.38351970256722</v>
      </c>
      <c r="CW100" s="22">
        <f t="shared" si="67"/>
        <v>421.83779681530456</v>
      </c>
      <c r="CX100" s="62">
        <f t="shared" si="68"/>
        <v>689.65351142663303</v>
      </c>
      <c r="CY100" s="62">
        <f ca="1">AVERAGE(OFFSET($CX$3,0,0,'Données projet'!$E$13+1,1))-AVERAGE(OFFSET($H$3,0,0,'Données projet'!$E$13+1,1))</f>
        <v>384.3367849108829</v>
      </c>
      <c r="CZ100" s="62">
        <f t="shared" si="96"/>
        <v>238.2697272367603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8.1576923076923151</v>
      </c>
      <c r="DO100" s="13">
        <f>IF('Données projet'!$A$166&gt;35,DO99+DN100-DW99,IF(A100&lt;'Données projet'!$A$166,$DL$205^A100,IF(A100='Données projet'!$A$166,'Données projet'!$B$166,DO99+DN100-DW99)))</f>
        <v>381.5538461538456</v>
      </c>
      <c r="DP100" s="18">
        <f>DO100*VLOOKUP('Données projet'!$B$14,Paramètres!$A$1:$I$89,3,0)*VLOOKUP('Données projet'!$B$14,Paramètres!$A$1:$I$89,5,0)</f>
        <v>178.56719999999976</v>
      </c>
      <c r="DQ100" s="14">
        <f t="shared" si="97"/>
        <v>45.003266447079469</v>
      </c>
      <c r="DR100" s="22">
        <f t="shared" si="70"/>
        <v>389.38522906199631</v>
      </c>
      <c r="DS100" s="62">
        <f t="shared" si="71"/>
        <v>657.2009436733249</v>
      </c>
      <c r="DT100" s="62">
        <f ca="1">AVERAGE(OFFSET($DS$3,0,0,'Données projet'!$E$14+1,1))-AVERAGE(OFFSET($H$3,0,0,'Données projet'!$E$14+1,1))</f>
        <v>304.1100958939968</v>
      </c>
      <c r="DU100" s="62">
        <f t="shared" si="98"/>
        <v>184.1255966824568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2.6923076923076961</v>
      </c>
      <c r="EJ100" s="13">
        <f>IF('Données projet'!$A$192&gt;35,EJ99+EI100-ER99,IF(A100&lt;'Données projet'!$A$192,$EG$205^A100,IF(A100='Données projet'!$A$192,'Données projet'!$B$192,EJ99+EI100-ER99)))</f>
        <v>225.89743589743588</v>
      </c>
      <c r="EK100" s="18">
        <f>EJ100*VLOOKUP('Données projet'!$B$15,Paramètres!$A$1:$I$89,3,0)*VLOOKUP('Données projet'!$B$15,Paramètres!$A$1:$I$89,5,0)</f>
        <v>229.06000000000003</v>
      </c>
      <c r="EL100" s="14">
        <f t="shared" si="99"/>
        <v>56.079383135033673</v>
      </c>
      <c r="EM100" s="22">
        <f t="shared" si="73"/>
        <v>496.61775896018366</v>
      </c>
      <c r="EN100" s="62">
        <f t="shared" si="74"/>
        <v>764.4334735715122</v>
      </c>
      <c r="EO100" s="62">
        <f ca="1">AVERAGE(OFFSET($EN$3,0,0,'Données projet'!$E$15+1,1))-AVERAGE(OFFSET($H$3,0,0,'Données projet'!$E$15+1,1))</f>
        <v>435.03433721979218</v>
      </c>
      <c r="EP100" s="62">
        <f t="shared" si="100"/>
        <v>267.10015759286387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2.6923076923076961</v>
      </c>
      <c r="FE100" s="13">
        <f>IF('Données projet'!$A$218&gt;35,FE99+FD100-FM99,IF(A100&lt;'Données projet'!$A$218,$FB$205^A100,IF(A100='Données projet'!$A$218,'Données projet'!$B$218,FE99+FD100-FM99)))</f>
        <v>225.89743589743588</v>
      </c>
      <c r="FF100" s="18">
        <f>FE100*VLOOKUP('Données projet'!$B$16,Paramètres!$A$1:$I$89,3,0)*VLOOKUP('Données projet'!$B$16,Paramètres!$A$1:$I$89,5,0)</f>
        <v>236.108</v>
      </c>
      <c r="FG100" s="14">
        <f t="shared" si="101"/>
        <v>57.601352581738276</v>
      </c>
      <c r="FH100" s="22">
        <f t="shared" si="76"/>
        <v>511.5437890798608</v>
      </c>
      <c r="FI100" s="62">
        <f t="shared" si="77"/>
        <v>779.35950369118927</v>
      </c>
      <c r="FJ100" s="62">
        <f ca="1">AVERAGE(OFFSET($FI$3,0,0,'Données projet'!$E$16+1,1))-AVERAGE(OFFSET($H$3,0,0,'Données projet'!$E$16+1,1))</f>
        <v>445.15313998584293</v>
      </c>
      <c r="FK100" s="62">
        <f t="shared" si="102"/>
        <v>272.85357736694834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-5.6843418860808015E-14</v>
      </c>
      <c r="GA100" s="18">
        <f>FZ100*VLOOKUP('Données projet'!$B$17,Paramètres!$A$1:$I$89,3,0)*VLOOKUP('Données projet'!$B$17,Paramètres!$A$1:$I$89,5,0)</f>
        <v>-4.9658410716801891E-14</v>
      </c>
      <c r="GB100" s="14" t="e">
        <f t="shared" si="103"/>
        <v>#NUM!</v>
      </c>
      <c r="GC100" s="22" t="e">
        <f t="shared" si="79"/>
        <v>#NUM!</v>
      </c>
      <c r="GD100" s="62" t="e">
        <f t="shared" si="80"/>
        <v>#NUM!</v>
      </c>
      <c r="GE100" s="62">
        <f ca="1">AVERAGE(OFFSET($GD$3,0,0,'Données projet'!$E$17+1,1))-AVERAGE(OFFSET($H$3,0,0,'Données projet'!$E$17+1,1))</f>
        <v>248.82613595888964</v>
      </c>
      <c r="GF100" s="62">
        <f t="shared" si="104"/>
        <v>255.8298580882084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135.66666666666666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221.18884567967481</v>
      </c>
      <c r="T101" s="62">
        <f t="shared" si="88"/>
        <v>189.31596996710888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1.4583333333333344</v>
      </c>
      <c r="AI101" s="14">
        <f>IF('Données projet'!$A$62&gt;35,AI100+AH101-AQ100,IF(A101&lt;'Données projet'!$A$62,$AF$205^A101,IF(A101='Données projet'!$A$62,'Données projet'!$B$62,AI100+AH101-AQ100)))</f>
        <v>108.90833333333326</v>
      </c>
      <c r="AJ101" s="14">
        <f>AI101*VLOOKUP('Données projet'!$B$10,Paramètres!$A$1:$I$89,3,0)*VLOOKUP('Données projet'!$B$10,Paramètres!$A$1:$I$89,5,0)</f>
        <v>125.4623999999999</v>
      </c>
      <c r="AK101" s="14">
        <f t="shared" si="89"/>
        <v>32.945695024136818</v>
      </c>
      <c r="AL101" s="22">
        <f t="shared" si="58"/>
        <v>275.89409883370479</v>
      </c>
      <c r="AM101" s="62">
        <f t="shared" si="59"/>
        <v>544.15248708101115</v>
      </c>
      <c r="AN101" s="62">
        <f ca="1">AVERAGE(OFFSET($AM$3,0,0,'Données projet'!$E$10+1,1))-AVERAGE(OFFSET($H$3,0,0,'Données projet'!$E$10+1,1))</f>
        <v>314.72063458462026</v>
      </c>
      <c r="AO101" s="62">
        <f t="shared" si="90"/>
        <v>216.4380325968244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2.6923076923076961</v>
      </c>
      <c r="BD101" s="13">
        <f>IF('Données projet'!$A$88&gt;35,BD100+BC101-BL100,IF(A101&lt;'Données projet'!$A$88,$BA$205^A101,IF(A101='Données projet'!$A$88,'Données projet'!$B$88,BD100+BC101-BL100)))</f>
        <v>228.58974358974359</v>
      </c>
      <c r="BE101" s="14">
        <f>BD101*VLOOKUP('Données projet'!$B$11,Paramètres!$A$1:$I$89,3,0)*VLOOKUP('Données projet'!$B$11,Paramètres!$A$1:$I$89,5,0)</f>
        <v>246.054</v>
      </c>
      <c r="BF101" s="14">
        <f t="shared" si="91"/>
        <v>59.740183524680141</v>
      </c>
      <c r="BG101" s="22">
        <f t="shared" si="61"/>
        <v>532.59153630548462</v>
      </c>
      <c r="BH101" s="62">
        <f t="shared" si="62"/>
        <v>800.84992455279098</v>
      </c>
      <c r="BI101" s="62">
        <f ca="1">AVERAGE(OFFSET($BH$3,0,0,'Données projet'!$E$11+1,1))-AVERAGE(OFFSET($H$3,0,0,'Données projet'!$E$11+1,1))</f>
        <v>455.26558725507834</v>
      </c>
      <c r="BJ101" s="62">
        <f t="shared" si="92"/>
        <v>278.60310966788552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1.0399999999999978</v>
      </c>
      <c r="BY101" s="13">
        <f>IF('Données projet'!$A$114&gt;35,BY100+BX101-CG100,IF(A101&lt;'Données projet'!$A$114,$BV$205^A101,IF(A101='Données projet'!$A$114,'Données projet'!$B$114,BY100+BX101-CG100)))</f>
        <v>314.4199999999999</v>
      </c>
      <c r="BZ101" s="14">
        <f>BY101*VLOOKUP('Données projet'!$B$12,Paramètres!$A$1:$I$89,3,0)*VLOOKUP('Données projet'!$B$12,Paramètres!$A$1:$I$89,5,0)</f>
        <v>163.49839999999998</v>
      </c>
      <c r="CA101" s="14">
        <f t="shared" si="93"/>
        <v>41.63059323850004</v>
      </c>
      <c r="CB101" s="22">
        <f t="shared" si="64"/>
        <v>357.26632989038745</v>
      </c>
      <c r="CC101" s="62">
        <f t="shared" si="65"/>
        <v>625.52471813769375</v>
      </c>
      <c r="CD101" s="62">
        <f ca="1">AVERAGE(OFFSET($CC$3,0,0,'Données projet'!$E$12+1,1))-AVERAGE(OFFSET($H$3,0,0,'Données projet'!$E$12+1,1))</f>
        <v>300.72820267660154</v>
      </c>
      <c r="CE101" s="62">
        <f t="shared" si="94"/>
        <v>228.35388778608589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2.6923076923076961</v>
      </c>
      <c r="CT101" s="13">
        <f>IF('Données projet'!$A$140&gt;35,CT100+CS101-DB100,IF(A101&lt;'Données projet'!$A$140,$CQ$205^A101,IF(A101='Données projet'!$A$140,'Données projet'!$B$140,CT100+CS101-DB100)))</f>
        <v>228.58974358974359</v>
      </c>
      <c r="CU101" s="18">
        <f>CT101*VLOOKUP('Données projet'!$B$13,Paramètres!$A$1:$I$89,3,0)*VLOOKUP('Données projet'!$B$13,Paramètres!$A$1:$I$89,5,0)</f>
        <v>196.13000000000002</v>
      </c>
      <c r="CV101" s="14">
        <f t="shared" si="95"/>
        <v>48.892694072552018</v>
      </c>
      <c r="CW101" s="22">
        <f t="shared" si="67"/>
        <v>426.74785884302815</v>
      </c>
      <c r="CX101" s="62">
        <f t="shared" si="68"/>
        <v>695.00624709033445</v>
      </c>
      <c r="CY101" s="62">
        <f ca="1">AVERAGE(OFFSET($CX$3,0,0,'Données projet'!$E$13+1,1))-AVERAGE(OFFSET($H$3,0,0,'Données projet'!$E$13+1,1))</f>
        <v>384.3367849108829</v>
      </c>
      <c r="CZ101" s="62">
        <f t="shared" si="96"/>
        <v>238.2697272367603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8.1576923076923151</v>
      </c>
      <c r="DO101" s="13">
        <f>IF('Données projet'!$A$166&gt;35,DO100+DN101-DW100,IF(A101&lt;'Données projet'!$A$166,$DL$205^A101,IF(A101='Données projet'!$A$166,'Données projet'!$B$166,DO100+DN101-DW100)))</f>
        <v>389.71153846153788</v>
      </c>
      <c r="DP101" s="18">
        <f>DO101*VLOOKUP('Données projet'!$B$14,Paramètres!$A$1:$I$89,3,0)*VLOOKUP('Données projet'!$B$14,Paramètres!$A$1:$I$89,5,0)</f>
        <v>182.38499999999974</v>
      </c>
      <c r="DQ101" s="14">
        <f t="shared" si="97"/>
        <v>45.852397542618846</v>
      </c>
      <c r="DR101" s="22">
        <f t="shared" si="70"/>
        <v>397.51346738672737</v>
      </c>
      <c r="DS101" s="62">
        <f t="shared" si="71"/>
        <v>665.77185563403373</v>
      </c>
      <c r="DT101" s="62">
        <f ca="1">AVERAGE(OFFSET($DS$3,0,0,'Données projet'!$E$14+1,1))-AVERAGE(OFFSET($H$3,0,0,'Données projet'!$E$14+1,1))</f>
        <v>304.1100958939968</v>
      </c>
      <c r="DU101" s="62">
        <f t="shared" si="98"/>
        <v>184.1255966824568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2.6923076923076961</v>
      </c>
      <c r="EJ101" s="13">
        <f>IF('Données projet'!$A$192&gt;35,EJ100+EI101-ER100,IF(A101&lt;'Données projet'!$A$192,$EG$205^A101,IF(A101='Données projet'!$A$192,'Données projet'!$B$192,EJ100+EI101-ER100)))</f>
        <v>228.58974358974359</v>
      </c>
      <c r="EK101" s="18">
        <f>EJ101*VLOOKUP('Données projet'!$B$15,Paramètres!$A$1:$I$89,3,0)*VLOOKUP('Données projet'!$B$15,Paramètres!$A$1:$I$89,5,0)</f>
        <v>231.79000000000002</v>
      </c>
      <c r="EL101" s="14">
        <f t="shared" si="99"/>
        <v>56.669546578132703</v>
      </c>
      <c r="EM101" s="22">
        <f t="shared" si="73"/>
        <v>502.4003769569145</v>
      </c>
      <c r="EN101" s="62">
        <f t="shared" si="74"/>
        <v>770.6587652042208</v>
      </c>
      <c r="EO101" s="62">
        <f ca="1">AVERAGE(OFFSET($EN$3,0,0,'Données projet'!$E$15+1,1))-AVERAGE(OFFSET($H$3,0,0,'Données projet'!$E$15+1,1))</f>
        <v>435.03433721979218</v>
      </c>
      <c r="EP101" s="62">
        <f t="shared" si="100"/>
        <v>267.10015759286387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2.6923076923076961</v>
      </c>
      <c r="FE101" s="13">
        <f>IF('Données projet'!$A$218&gt;35,FE100+FD101-FM100,IF(A101&lt;'Données projet'!$A$218,$FB$205^A101,IF(A101='Données projet'!$A$218,'Données projet'!$B$218,FE100+FD101-FM100)))</f>
        <v>228.58974358974359</v>
      </c>
      <c r="FF101" s="18">
        <f>FE101*VLOOKUP('Données projet'!$B$16,Paramètres!$A$1:$I$89,3,0)*VLOOKUP('Données projet'!$B$16,Paramètres!$A$1:$I$89,5,0)</f>
        <v>238.92200000000003</v>
      </c>
      <c r="FG101" s="14">
        <f t="shared" si="101"/>
        <v>58.207532797468268</v>
      </c>
      <c r="FH101" s="22">
        <f t="shared" si="76"/>
        <v>517.50060295559058</v>
      </c>
      <c r="FI101" s="62">
        <f t="shared" si="77"/>
        <v>785.75899120289694</v>
      </c>
      <c r="FJ101" s="62">
        <f ca="1">AVERAGE(OFFSET($FI$3,0,0,'Données projet'!$E$16+1,1))-AVERAGE(OFFSET($H$3,0,0,'Données projet'!$E$16+1,1))</f>
        <v>445.15313998584293</v>
      </c>
      <c r="FK101" s="62">
        <f t="shared" si="102"/>
        <v>272.85357736694834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-5.6843418860808015E-14</v>
      </c>
      <c r="GA101" s="18">
        <f>FZ101*VLOOKUP('Données projet'!$B$17,Paramètres!$A$1:$I$89,3,0)*VLOOKUP('Données projet'!$B$17,Paramètres!$A$1:$I$89,5,0)</f>
        <v>-4.9658410716801891E-14</v>
      </c>
      <c r="GB101" s="14" t="e">
        <f t="shared" si="103"/>
        <v>#NUM!</v>
      </c>
      <c r="GC101" s="22" t="e">
        <f t="shared" si="79"/>
        <v>#NUM!</v>
      </c>
      <c r="GD101" s="62" t="e">
        <f t="shared" si="80"/>
        <v>#NUM!</v>
      </c>
      <c r="GE101" s="62">
        <f ca="1">AVERAGE(OFFSET($GD$3,0,0,'Données projet'!$E$17+1,1))-AVERAGE(OFFSET($H$3,0,0,'Données projet'!$E$17+1,1))</f>
        <v>248.82613595888964</v>
      </c>
      <c r="GF101" s="62">
        <f t="shared" si="104"/>
        <v>255.8298580882084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135.66666666666666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221.18884567967481</v>
      </c>
      <c r="T102" s="62">
        <f t="shared" si="88"/>
        <v>189.31596996710888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1.4583333333333344</v>
      </c>
      <c r="AI102" s="14">
        <f>IF('Données projet'!$A$62&gt;35,AI101+AH102-AQ101,IF(A102&lt;'Données projet'!$A$62,$AF$205^A102,IF(A102='Données projet'!$A$62,'Données projet'!$B$62,AI101+AH102-AQ101)))</f>
        <v>110.36666666666659</v>
      </c>
      <c r="AJ102" s="14">
        <f>AI102*VLOOKUP('Données projet'!$B$10,Paramètres!$A$1:$I$89,3,0)*VLOOKUP('Données projet'!$B$10,Paramètres!$A$1:$I$89,5,0)</f>
        <v>127.14239999999991</v>
      </c>
      <c r="AK102" s="14">
        <f t="shared" si="89"/>
        <v>33.335200133776368</v>
      </c>
      <c r="AL102" s="22">
        <f t="shared" si="58"/>
        <v>279.49848689966035</v>
      </c>
      <c r="AM102" s="62">
        <f t="shared" si="59"/>
        <v>548.19186938503026</v>
      </c>
      <c r="AN102" s="62">
        <f ca="1">AVERAGE(OFFSET($AM$3,0,0,'Données projet'!$E$10+1,1))-AVERAGE(OFFSET($H$3,0,0,'Données projet'!$E$10+1,1))</f>
        <v>314.72063458462026</v>
      </c>
      <c r="AO102" s="62">
        <f t="shared" si="90"/>
        <v>216.4380325968244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2.6923076923076961</v>
      </c>
      <c r="BD102" s="13">
        <f>IF('Données projet'!$A$88&gt;35,BD101+BC102-BL101,IF(A102&lt;'Données projet'!$A$88,$BA$205^A102,IF(A102='Données projet'!$A$88,'Données projet'!$B$88,BD101+BC102-BL101)))</f>
        <v>231.2820512820513</v>
      </c>
      <c r="BE102" s="14">
        <f>BD102*VLOOKUP('Données projet'!$B$11,Paramètres!$A$1:$I$89,3,0)*VLOOKUP('Données projet'!$B$11,Paramètres!$A$1:$I$89,5,0)</f>
        <v>248.952</v>
      </c>
      <c r="BF102" s="14">
        <f t="shared" si="91"/>
        <v>60.361472588695563</v>
      </c>
      <c r="BG102" s="22">
        <f t="shared" si="61"/>
        <v>538.72096475864475</v>
      </c>
      <c r="BH102" s="62">
        <f t="shared" si="62"/>
        <v>807.41434724401472</v>
      </c>
      <c r="BI102" s="62">
        <f ca="1">AVERAGE(OFFSET($BH$3,0,0,'Données projet'!$E$11+1,1))-AVERAGE(OFFSET($H$3,0,0,'Données projet'!$E$11+1,1))</f>
        <v>455.26558725507834</v>
      </c>
      <c r="BJ102" s="62">
        <f t="shared" si="92"/>
        <v>278.60310966788552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1.0399999999999978</v>
      </c>
      <c r="BY102" s="13">
        <f>IF('Données projet'!$A$114&gt;35,BY101+BX102-CG101,IF(A102&lt;'Données projet'!$A$114,$BV$205^A102,IF(A102='Données projet'!$A$114,'Données projet'!$B$114,BY101+BX102-CG101)))</f>
        <v>315.45999999999992</v>
      </c>
      <c r="BZ102" s="14">
        <f>BY102*VLOOKUP('Données projet'!$B$12,Paramètres!$A$1:$I$89,3,0)*VLOOKUP('Données projet'!$B$12,Paramètres!$A$1:$I$89,5,0)</f>
        <v>164.03919999999997</v>
      </c>
      <c r="CA102" s="14">
        <f t="shared" si="93"/>
        <v>41.752242078730234</v>
      </c>
      <c r="CB102" s="22">
        <f t="shared" si="64"/>
        <v>358.42009495378846</v>
      </c>
      <c r="CC102" s="62">
        <f t="shared" si="65"/>
        <v>627.11347743915849</v>
      </c>
      <c r="CD102" s="62">
        <f ca="1">AVERAGE(OFFSET($CC$3,0,0,'Données projet'!$E$12+1,1))-AVERAGE(OFFSET($H$3,0,0,'Données projet'!$E$12+1,1))</f>
        <v>300.72820267660154</v>
      </c>
      <c r="CE102" s="62">
        <f t="shared" si="94"/>
        <v>228.35388778608589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2.6923076923076961</v>
      </c>
      <c r="CT102" s="13">
        <f>IF('Données projet'!$A$140&gt;35,CT101+CS102-DB101,IF(A102&lt;'Données projet'!$A$140,$CQ$205^A102,IF(A102='Données projet'!$A$140,'Données projet'!$B$140,CT101+CS102-DB101)))</f>
        <v>231.2820512820513</v>
      </c>
      <c r="CU102" s="18">
        <f>CT102*VLOOKUP('Données projet'!$B$13,Paramètres!$A$1:$I$89,3,0)*VLOOKUP('Données projet'!$B$13,Paramètres!$A$1:$I$89,5,0)</f>
        <v>198.44000000000003</v>
      </c>
      <c r="CV102" s="14">
        <f t="shared" si="95"/>
        <v>49.401170852255561</v>
      </c>
      <c r="CW102" s="22">
        <f t="shared" si="67"/>
        <v>431.65670590101172</v>
      </c>
      <c r="CX102" s="62">
        <f t="shared" si="68"/>
        <v>700.35008838638169</v>
      </c>
      <c r="CY102" s="62">
        <f ca="1">AVERAGE(OFFSET($CX$3,0,0,'Données projet'!$E$13+1,1))-AVERAGE(OFFSET($H$3,0,0,'Données projet'!$E$13+1,1))</f>
        <v>384.3367849108829</v>
      </c>
      <c r="CZ102" s="62">
        <f t="shared" si="96"/>
        <v>238.2697272367603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>
        <f>VLOOKUP(A102,'Données projet'!$A$165:$I$185,2,0)</f>
        <v>397.8692307692308</v>
      </c>
      <c r="DM102" s="13">
        <f>VLOOKUP(A102,'Données projet'!$A$165:$I$185,9,0)</f>
        <v>8.1576923076923151</v>
      </c>
      <c r="DN102" s="13">
        <f t="array" ref="DN102">INDEX(DM:DM,MIN(IF(ISNUMBER(DM102:DM298),ROW(DM102:DM298),"")))</f>
        <v>8.1576923076923151</v>
      </c>
      <c r="DO102" s="13">
        <f>IF('Données projet'!$A$166&gt;35,DO101+DN102-DW101,IF(A102&lt;'Données projet'!$A$166,$DL$205^A102,IF(A102='Données projet'!$A$166,'Données projet'!$B$166,DO101+DN102-DW101)))</f>
        <v>397.86923076923017</v>
      </c>
      <c r="DP102" s="18">
        <f>DO102*VLOOKUP('Données projet'!$B$14,Paramètres!$A$1:$I$89,3,0)*VLOOKUP('Données projet'!$B$14,Paramètres!$A$1:$I$89,5,0)</f>
        <v>186.20279999999971</v>
      </c>
      <c r="DQ102" s="14">
        <f t="shared" si="97"/>
        <v>46.699462038644107</v>
      </c>
      <c r="DR102" s="22">
        <f t="shared" si="70"/>
        <v>405.63810638397126</v>
      </c>
      <c r="DS102" s="62">
        <f t="shared" si="71"/>
        <v>674.33148886934123</v>
      </c>
      <c r="DT102" s="62">
        <f ca="1">AVERAGE(OFFSET($DS$3,0,0,'Données projet'!$E$14+1,1))-AVERAGE(OFFSET($H$3,0,0,'Données projet'!$E$14+1,1))</f>
        <v>304.1100958939968</v>
      </c>
      <c r="DU102" s="62">
        <f t="shared" si="98"/>
        <v>184.1255966824568</v>
      </c>
      <c r="DV102" s="16">
        <f>IF(ISNA(VLOOKUP(A102,'Données projet'!$A$165:$I$185,3,0)),0,VLOOKUP(A102,'Données projet'!$A$165:$I$185,3,0))</f>
        <v>5</v>
      </c>
      <c r="DW102" s="16">
        <f>IF(ISNA(VLOOKUP(A102,'Données projet'!$A$165:$I$185,4,0)),0,VLOOKUP(A102,'Données projet'!$A$165:$I$185,4,0))</f>
        <v>198.32307692307691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2.6923076923076961</v>
      </c>
      <c r="EJ102" s="13">
        <f>IF('Données projet'!$A$192&gt;35,EJ101+EI102-ER101,IF(A102&lt;'Données projet'!$A$192,$EG$205^A102,IF(A102='Données projet'!$A$192,'Données projet'!$B$192,EJ101+EI102-ER101)))</f>
        <v>231.2820512820513</v>
      </c>
      <c r="EK102" s="18">
        <f>EJ102*VLOOKUP('Données projet'!$B$15,Paramètres!$A$1:$I$89,3,0)*VLOOKUP('Données projet'!$B$15,Paramètres!$A$1:$I$89,5,0)</f>
        <v>234.52</v>
      </c>
      <c r="EL102" s="14">
        <f t="shared" si="99"/>
        <v>57.25890147251733</v>
      </c>
      <c r="EM102" s="22">
        <f t="shared" si="73"/>
        <v>508.18158673130102</v>
      </c>
      <c r="EN102" s="62">
        <f t="shared" si="74"/>
        <v>776.87496921667093</v>
      </c>
      <c r="EO102" s="62">
        <f ca="1">AVERAGE(OFFSET($EN$3,0,0,'Données projet'!$E$15+1,1))-AVERAGE(OFFSET($H$3,0,0,'Données projet'!$E$15+1,1))</f>
        <v>435.03433721979218</v>
      </c>
      <c r="EP102" s="62">
        <f t="shared" si="100"/>
        <v>267.10015759286387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2.6923076923076961</v>
      </c>
      <c r="FE102" s="13">
        <f>IF('Données projet'!$A$218&gt;35,FE101+FD102-FM101,IF(A102&lt;'Données projet'!$A$218,$FB$205^A102,IF(A102='Données projet'!$A$218,'Données projet'!$B$218,FE101+FD102-FM101)))</f>
        <v>231.2820512820513</v>
      </c>
      <c r="FF102" s="18">
        <f>FE102*VLOOKUP('Données projet'!$B$16,Paramètres!$A$1:$I$89,3,0)*VLOOKUP('Données projet'!$B$16,Paramètres!$A$1:$I$89,5,0)</f>
        <v>241.73600000000005</v>
      </c>
      <c r="FG102" s="14">
        <f t="shared" si="101"/>
        <v>58.812882520832375</v>
      </c>
      <c r="FH102" s="22">
        <f t="shared" si="76"/>
        <v>523.45597039044981</v>
      </c>
      <c r="FI102" s="62">
        <f t="shared" si="77"/>
        <v>792.14935287581977</v>
      </c>
      <c r="FJ102" s="62">
        <f ca="1">AVERAGE(OFFSET($FI$3,0,0,'Données projet'!$E$16+1,1))-AVERAGE(OFFSET($H$3,0,0,'Données projet'!$E$16+1,1))</f>
        <v>445.15313998584293</v>
      </c>
      <c r="FK102" s="62">
        <f t="shared" si="102"/>
        <v>272.85357736694834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-5.6843418860808015E-14</v>
      </c>
      <c r="GA102" s="18">
        <f>FZ102*VLOOKUP('Données projet'!$B$17,Paramètres!$A$1:$I$89,3,0)*VLOOKUP('Données projet'!$B$17,Paramètres!$A$1:$I$89,5,0)</f>
        <v>-4.9658410716801891E-14</v>
      </c>
      <c r="GB102" s="14" t="e">
        <f t="shared" si="103"/>
        <v>#NUM!</v>
      </c>
      <c r="GC102" s="22" t="e">
        <f t="shared" si="79"/>
        <v>#NUM!</v>
      </c>
      <c r="GD102" s="62" t="e">
        <f t="shared" si="80"/>
        <v>#NUM!</v>
      </c>
      <c r="GE102" s="62">
        <f ca="1">AVERAGE(OFFSET($GD$3,0,0,'Données projet'!$E$17+1,1))-AVERAGE(OFFSET($H$3,0,0,'Données projet'!$E$17+1,1))</f>
        <v>248.82613595888964</v>
      </c>
      <c r="GF102" s="62">
        <f t="shared" si="104"/>
        <v>255.8298580882084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135.66666666666666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221.18884567967481</v>
      </c>
      <c r="T103" s="62">
        <f t="shared" si="88"/>
        <v>189.31596996710888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111.825</v>
      </c>
      <c r="AG103" s="13">
        <f>VLOOKUP(A103,'Données projet'!$A$61:$I$81,9,0)</f>
        <v>1.4583333333333344</v>
      </c>
      <c r="AH103" s="13">
        <f t="array" ref="AH103">INDEX(AG:AG,MIN(IF(ISNUMBER(AG103:AG299),ROW(AG103:AG299),"")))</f>
        <v>1.4583333333333344</v>
      </c>
      <c r="AI103" s="14">
        <f>IF('Données projet'!$A$62&gt;35,AI102+AH103-AQ102,IF(A103&lt;'Données projet'!$A$62,$AF$205^A103,IF(A103='Données projet'!$A$62,'Données projet'!$B$62,AI102+AH103-AQ102)))</f>
        <v>111.82499999999992</v>
      </c>
      <c r="AJ103" s="14">
        <f>AI103*VLOOKUP('Données projet'!$B$10,Paramètres!$A$1:$I$89,3,0)*VLOOKUP('Données projet'!$B$10,Paramètres!$A$1:$I$89,5,0)</f>
        <v>128.8223999999999</v>
      </c>
      <c r="AK103" s="14">
        <f t="shared" si="89"/>
        <v>33.72410660519936</v>
      </c>
      <c r="AL103" s="22">
        <f t="shared" si="58"/>
        <v>283.10183233738871</v>
      </c>
      <c r="AM103" s="62">
        <f t="shared" si="59"/>
        <v>552.22266288329342</v>
      </c>
      <c r="AN103" s="62">
        <f ca="1">AVERAGE(OFFSET($AM$3,0,0,'Données projet'!$E$10+1,1))-AVERAGE(OFFSET($H$3,0,0,'Données projet'!$E$10+1,1))</f>
        <v>314.72063458462026</v>
      </c>
      <c r="AO103" s="62">
        <f t="shared" si="90"/>
        <v>216.4380325968244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9.125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233.97435897435898</v>
      </c>
      <c r="BB103" s="13">
        <f>VLOOKUP(A103,'Données projet'!$A$87:$I$107,9,0)</f>
        <v>2.6923076923076961</v>
      </c>
      <c r="BC103" s="13">
        <f t="array" ref="BC103">INDEX(BB:BB,MIN(IF(ISNUMBER(BB103:BB299),ROW(BB103:BB299),"")))</f>
        <v>2.6923076923076961</v>
      </c>
      <c r="BD103" s="13">
        <f>IF('Données projet'!$A$88&gt;35,BD102+BC103-BL102,IF(A103&lt;'Données projet'!$A$88,$BA$205^A103,IF(A103='Données projet'!$A$88,'Données projet'!$B$88,BD102+BC103-BL102)))</f>
        <v>233.97435897435901</v>
      </c>
      <c r="BE103" s="14">
        <f>BD103*VLOOKUP('Données projet'!$B$11,Paramètres!$A$1:$I$89,3,0)*VLOOKUP('Données projet'!$B$11,Paramètres!$A$1:$I$89,5,0)</f>
        <v>251.85000000000002</v>
      </c>
      <c r="BF103" s="14">
        <f t="shared" si="91"/>
        <v>60.981920362908248</v>
      </c>
      <c r="BG103" s="22">
        <f t="shared" si="61"/>
        <v>544.8489279653985</v>
      </c>
      <c r="BH103" s="62">
        <f t="shared" si="62"/>
        <v>813.9697585113031</v>
      </c>
      <c r="BI103" s="62">
        <f ca="1">AVERAGE(OFFSET($BH$3,0,0,'Données projet'!$E$11+1,1))-AVERAGE(OFFSET($H$3,0,0,'Données projet'!$E$11+1,1))</f>
        <v>455.26558725507834</v>
      </c>
      <c r="BJ103" s="62">
        <f t="shared" si="92"/>
        <v>278.60310966788552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16.025641025641026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316.5</v>
      </c>
      <c r="BW103" s="13">
        <f>VLOOKUP(A103,'Données projet'!$A$113:$I$133,9,0)</f>
        <v>1.0399999999999978</v>
      </c>
      <c r="BX103" s="13">
        <f t="array" ref="BX103">INDEX(BW:BW,MIN(IF(ISNUMBER(BW103:BW299),ROW(BW103:BW299),"")))</f>
        <v>1.0399999999999978</v>
      </c>
      <c r="BY103" s="13">
        <f>IF('Données projet'!$A$114&gt;35,BY102+BX103-CG102,IF(A103&lt;'Données projet'!$A$114,$BV$205^A103,IF(A103='Données projet'!$A$114,'Données projet'!$B$114,BY102+BX103-CG102)))</f>
        <v>316.49999999999994</v>
      </c>
      <c r="BZ103" s="14">
        <f>BY103*VLOOKUP('Données projet'!$B$12,Paramètres!$A$1:$I$89,3,0)*VLOOKUP('Données projet'!$B$12,Paramètres!$A$1:$I$89,5,0)</f>
        <v>164.57999999999998</v>
      </c>
      <c r="CA103" s="14">
        <f t="shared" si="93"/>
        <v>41.873844245768836</v>
      </c>
      <c r="CB103" s="22">
        <f t="shared" si="64"/>
        <v>359.57377872804733</v>
      </c>
      <c r="CC103" s="62">
        <f t="shared" si="65"/>
        <v>628.69460927395198</v>
      </c>
      <c r="CD103" s="62">
        <f ca="1">AVERAGE(OFFSET($CC$3,0,0,'Données projet'!$E$12+1,1))-AVERAGE(OFFSET($H$3,0,0,'Données projet'!$E$12+1,1))</f>
        <v>300.72820267660154</v>
      </c>
      <c r="CE103" s="62">
        <f t="shared" si="94"/>
        <v>228.35388778608589</v>
      </c>
      <c r="CF103" s="16">
        <f>IF(ISNA(VLOOKUP(A103,'Données projet'!$A$113:$I$133,3,0)),0,VLOOKUP(A103,'Données projet'!$A$113:$I$133,3,0))</f>
        <v>1</v>
      </c>
      <c r="CG103" s="16">
        <f>IF(ISNA(VLOOKUP(A103,'Données projet'!$A$113:$I$133,4,0)),0,VLOOKUP(A103,'Données projet'!$A$113:$I$133,4,0))</f>
        <v>316.5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233.97435897435898</v>
      </c>
      <c r="CR103" s="13">
        <f>VLOOKUP(A103,'Données projet'!$A$139:$I$159,9,0)</f>
        <v>2.6923076923076961</v>
      </c>
      <c r="CS103" s="13">
        <f t="array" ref="CS103">INDEX(CR:CR,MIN(IF(ISNUMBER(CR103:CR299),ROW(CR103:CR299),"")))</f>
        <v>2.6923076923076961</v>
      </c>
      <c r="CT103" s="13">
        <f>IF('Données projet'!$A$140&gt;35,CT102+CS103-DB102,IF(A103&lt;'Données projet'!$A$140,$CQ$205^A103,IF(A103='Données projet'!$A$140,'Données projet'!$B$140,CT102+CS103-DB102)))</f>
        <v>233.97435897435901</v>
      </c>
      <c r="CU103" s="18">
        <f>CT103*VLOOKUP('Données projet'!$B$13,Paramètres!$A$1:$I$89,3,0)*VLOOKUP('Données projet'!$B$13,Paramètres!$A$1:$I$89,5,0)</f>
        <v>200.75000000000006</v>
      </c>
      <c r="CV103" s="14">
        <f t="shared" si="95"/>
        <v>49.908959101684808</v>
      </c>
      <c r="CW103" s="22">
        <f t="shared" si="67"/>
        <v>436.56435376876772</v>
      </c>
      <c r="CX103" s="62">
        <f t="shared" si="68"/>
        <v>705.68518431467237</v>
      </c>
      <c r="CY103" s="62">
        <f ca="1">AVERAGE(OFFSET($CX$3,0,0,'Données projet'!$E$13+1,1))-AVERAGE(OFFSET($H$3,0,0,'Données projet'!$E$13+1,1))</f>
        <v>384.3367849108829</v>
      </c>
      <c r="CZ103" s="62">
        <f t="shared" si="96"/>
        <v>238.2697272367603</v>
      </c>
      <c r="DA103" s="16">
        <f>IF(ISNA(VLOOKUP(A103,'Données projet'!$A$139:$I$159,3,0)),0,VLOOKUP(A103,'Données projet'!$A$139:$I$159,3,0))</f>
        <v>8</v>
      </c>
      <c r="DB103" s="16">
        <f>IF(ISNA(VLOOKUP(A103,'Données projet'!$A$139:$I$159,4,0)),0,VLOOKUP(A103,'Données projet'!$A$139:$I$159,4,0))</f>
        <v>16.025641025641026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5.849230769230763</v>
      </c>
      <c r="DO103" s="13">
        <f>IF('Données projet'!$A$166&gt;35,DO102+DN103-DW102,IF(A103&lt;'Données projet'!$A$166,$DL$205^A103,IF(A103='Données projet'!$A$166,'Données projet'!$B$166,DO102+DN103-DW102)))</f>
        <v>205.39538461538402</v>
      </c>
      <c r="DP103" s="18">
        <f>DO103*VLOOKUP('Données projet'!$B$14,Paramètres!$A$1:$I$89,3,0)*VLOOKUP('Données projet'!$B$14,Paramètres!$A$1:$I$89,5,0)</f>
        <v>96.125039999999714</v>
      </c>
      <c r="DQ103" s="14">
        <f t="shared" si="97"/>
        <v>26.03672918496029</v>
      </c>
      <c r="DR103" s="22">
        <f t="shared" si="70"/>
        <v>212.76508133047199</v>
      </c>
      <c r="DS103" s="62">
        <f t="shared" si="71"/>
        <v>481.88591187637667</v>
      </c>
      <c r="DT103" s="62">
        <f ca="1">AVERAGE(OFFSET($DS$3,0,0,'Données projet'!$E$14+1,1))-AVERAGE(OFFSET($H$3,0,0,'Données projet'!$E$14+1,1))</f>
        <v>304.1100958939968</v>
      </c>
      <c r="DU103" s="62">
        <f t="shared" si="98"/>
        <v>184.1255966824568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233.97435897435898</v>
      </c>
      <c r="EH103" s="13">
        <f>VLOOKUP(A103,'Données projet'!$A$191:$I$211,9,0)</f>
        <v>2.6923076923076961</v>
      </c>
      <c r="EI103" s="13">
        <f t="array" ref="EI103">INDEX(EH:EH,MIN(IF(ISNUMBER(EH103:EH299),ROW(EH103:EH299),"")))</f>
        <v>2.6923076923076961</v>
      </c>
      <c r="EJ103" s="13">
        <f>IF('Données projet'!$A$192&gt;35,EJ102+EI103-ER102,IF(A103&lt;'Données projet'!$A$192,$EG$205^A103,IF(A103='Données projet'!$A$192,'Données projet'!$B$192,EJ102+EI103-ER102)))</f>
        <v>233.97435897435901</v>
      </c>
      <c r="EK103" s="18">
        <f>EJ103*VLOOKUP('Données projet'!$B$15,Paramètres!$A$1:$I$89,3,0)*VLOOKUP('Données projet'!$B$15,Paramètres!$A$1:$I$89,5,0)</f>
        <v>237.25000000000006</v>
      </c>
      <c r="EL103" s="14">
        <f t="shared" si="99"/>
        <v>57.847458319275574</v>
      </c>
      <c r="EM103" s="22">
        <f t="shared" si="73"/>
        <v>513.96140657273838</v>
      </c>
      <c r="EN103" s="62">
        <f t="shared" si="74"/>
        <v>783.08223711864298</v>
      </c>
      <c r="EO103" s="62">
        <f ca="1">AVERAGE(OFFSET($EN$3,0,0,'Données projet'!$E$15+1,1))-AVERAGE(OFFSET($H$3,0,0,'Données projet'!$E$15+1,1))</f>
        <v>435.03433721979218</v>
      </c>
      <c r="EP103" s="62">
        <f t="shared" si="100"/>
        <v>267.10015759286387</v>
      </c>
      <c r="EQ103" s="16">
        <f>IF(ISNA(VLOOKUP(A103,'Données projet'!$A$191:$I$211,3,0)),0,VLOOKUP(A103,'Données projet'!$A$191:$I$211,3,0))</f>
        <v>8</v>
      </c>
      <c r="ER103" s="16">
        <f>IF(ISNA(VLOOKUP(A103,'Données projet'!$A$191:$I$211,4,0)),0,VLOOKUP(A103,'Données projet'!$A$191:$I$211,4,0))</f>
        <v>16.025641025641026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233.97435897435898</v>
      </c>
      <c r="FC103" s="13">
        <f>VLOOKUP(A103,'Données projet'!$A$217:$I$237,9,0)</f>
        <v>2.6923076923076961</v>
      </c>
      <c r="FD103" s="13">
        <f t="array" ref="FD103">INDEX(FC:FC,MIN(IF(ISNUMBER(FC103:FC299),ROW(FC103:FC299),"")))</f>
        <v>2.6923076923076961</v>
      </c>
      <c r="FE103" s="13">
        <f>IF('Données projet'!$A$218&gt;35,FE102+FD103-FM102,IF(A103&lt;'Données projet'!$A$218,$FB$205^A103,IF(A103='Données projet'!$A$218,'Données projet'!$B$218,FE102+FD103-FM102)))</f>
        <v>233.97435897435901</v>
      </c>
      <c r="FF103" s="18">
        <f>FE103*VLOOKUP('Données projet'!$B$16,Paramètres!$A$1:$I$89,3,0)*VLOOKUP('Données projet'!$B$16,Paramètres!$A$1:$I$89,5,0)</f>
        <v>244.55000000000007</v>
      </c>
      <c r="FG103" s="14">
        <f t="shared" si="101"/>
        <v>59.417412537913492</v>
      </c>
      <c r="FH103" s="22">
        <f t="shared" si="76"/>
        <v>529.40991017019951</v>
      </c>
      <c r="FI103" s="62">
        <f t="shared" si="77"/>
        <v>798.53074071610422</v>
      </c>
      <c r="FJ103" s="62">
        <f ca="1">AVERAGE(OFFSET($FI$3,0,0,'Données projet'!$E$16+1,1))-AVERAGE(OFFSET($H$3,0,0,'Données projet'!$E$16+1,1))</f>
        <v>445.15313998584293</v>
      </c>
      <c r="FK103" s="62">
        <f t="shared" si="102"/>
        <v>272.85357736694834</v>
      </c>
      <c r="FL103" s="16">
        <f>IF(ISNA(VLOOKUP(A103,'Données projet'!$A$217:$I$237,3,0)),0,VLOOKUP(A103,'Données projet'!$A$217:$I$237,3,0))</f>
        <v>8</v>
      </c>
      <c r="FM103" s="16">
        <f>IF(ISNA(VLOOKUP(A103,'Données projet'!$A$217:$I$237,4,0)),0,VLOOKUP(A103,'Données projet'!$A$217:$I$237,4,0))</f>
        <v>16.025641025641026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-5.6843418860808015E-14</v>
      </c>
      <c r="GA103" s="18">
        <f>FZ103*VLOOKUP('Données projet'!$B$17,Paramètres!$A$1:$I$89,3,0)*VLOOKUP('Données projet'!$B$17,Paramètres!$A$1:$I$89,5,0)</f>
        <v>-4.9658410716801891E-14</v>
      </c>
      <c r="GB103" s="14" t="e">
        <f t="shared" si="103"/>
        <v>#NUM!</v>
      </c>
      <c r="GC103" s="22" t="e">
        <f t="shared" si="79"/>
        <v>#NUM!</v>
      </c>
      <c r="GD103" s="62" t="e">
        <f t="shared" si="80"/>
        <v>#NUM!</v>
      </c>
      <c r="GE103" s="62">
        <f ca="1">AVERAGE(OFFSET($GD$3,0,0,'Données projet'!$E$17+1,1))-AVERAGE(OFFSET($H$3,0,0,'Données projet'!$E$17+1,1))</f>
        <v>248.82613595888964</v>
      </c>
      <c r="GF103" s="62">
        <f t="shared" si="104"/>
        <v>255.8298580882084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135.66666666666666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221.18884567967481</v>
      </c>
      <c r="T104" s="62">
        <f t="shared" si="88"/>
        <v>189.31596996710888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1.3833333333333342</v>
      </c>
      <c r="AI104" s="14">
        <f>IF('Données projet'!$A$62&gt;35,AI103+AH104-AQ103,IF(A104&lt;'Données projet'!$A$62,$AF$205^A104,IF(A104='Données projet'!$A$62,'Données projet'!$B$62,AI103+AH104-AQ103)))</f>
        <v>104.08333333333326</v>
      </c>
      <c r="AJ104" s="14">
        <f>AI104*VLOOKUP('Données projet'!$B$10,Paramètres!$A$1:$I$89,3,0)*VLOOKUP('Données projet'!$B$10,Paramètres!$A$1:$I$89,5,0)</f>
        <v>119.90399999999991</v>
      </c>
      <c r="AK104" s="14">
        <f t="shared" si="89"/>
        <v>31.65260782781338</v>
      </c>
      <c r="AL104" s="22">
        <f t="shared" si="58"/>
        <v>263.96109196677475</v>
      </c>
      <c r="AM104" s="62">
        <f t="shared" si="59"/>
        <v>533.50195530499445</v>
      </c>
      <c r="AN104" s="62">
        <f ca="1">AVERAGE(OFFSET($AM$3,0,0,'Données projet'!$E$10+1,1))-AVERAGE(OFFSET($H$3,0,0,'Données projet'!$E$10+1,1))</f>
        <v>314.72063458462026</v>
      </c>
      <c r="AO104" s="62">
        <f t="shared" si="90"/>
        <v>216.4380325968244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2.4358974358974348</v>
      </c>
      <c r="BD104" s="13">
        <f>IF('Données projet'!$A$88&gt;35,BD103+BC104-BL103,IF(A104&lt;'Données projet'!$A$88,$BA$205^A104,IF(A104='Données projet'!$A$88,'Données projet'!$B$88,BD103+BC104-BL103)))</f>
        <v>220.38461538461542</v>
      </c>
      <c r="BE104" s="14">
        <f>BD104*VLOOKUP('Données projet'!$B$11,Paramètres!$A$1:$I$89,3,0)*VLOOKUP('Données projet'!$B$11,Paramètres!$A$1:$I$89,5,0)</f>
        <v>237.22200000000004</v>
      </c>
      <c r="BF104" s="14">
        <f t="shared" si="91"/>
        <v>57.841425854670099</v>
      </c>
      <c r="BG104" s="22">
        <f t="shared" si="61"/>
        <v>513.90213336355043</v>
      </c>
      <c r="BH104" s="62">
        <f t="shared" si="62"/>
        <v>783.4429967017702</v>
      </c>
      <c r="BI104" s="62">
        <f ca="1">AVERAGE(OFFSET($BH$3,0,0,'Données projet'!$E$11+1,1))-AVERAGE(OFFSET($H$3,0,0,'Données projet'!$E$11+1,1))</f>
        <v>455.26558725507834</v>
      </c>
      <c r="BJ104" s="62">
        <f t="shared" si="92"/>
        <v>278.60310966788552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-5.6843418860808015E-14</v>
      </c>
      <c r="BZ104" s="14">
        <f>BY104*VLOOKUP('Données projet'!$B$12,Paramètres!$A$1:$I$89,3,0)*VLOOKUP('Données projet'!$B$12,Paramètres!$A$1:$I$89,5,0)</f>
        <v>-2.9558577807620169E-14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300.72820267660154</v>
      </c>
      <c r="CE104" s="62">
        <f t="shared" si="94"/>
        <v>228.35388778608589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2.4358974358974348</v>
      </c>
      <c r="CT104" s="13">
        <f>IF('Données projet'!$A$140&gt;35,CT103+CS104-DB103,IF(A104&lt;'Données projet'!$A$140,$CQ$205^A104,IF(A104='Données projet'!$A$140,'Données projet'!$B$140,CT103+CS104-DB103)))</f>
        <v>220.38461538461542</v>
      </c>
      <c r="CU104" s="18">
        <f>CT104*VLOOKUP('Données projet'!$B$13,Paramètres!$A$1:$I$89,3,0)*VLOOKUP('Données projet'!$B$13,Paramètres!$A$1:$I$89,5,0)</f>
        <v>189.09000000000003</v>
      </c>
      <c r="CV104" s="14">
        <f t="shared" si="95"/>
        <v>47.338708590747125</v>
      </c>
      <c r="CW104" s="22">
        <f t="shared" si="67"/>
        <v>411.7800007955513</v>
      </c>
      <c r="CX104" s="62">
        <f t="shared" si="68"/>
        <v>681.32086413377101</v>
      </c>
      <c r="CY104" s="62">
        <f ca="1">AVERAGE(OFFSET($CX$3,0,0,'Données projet'!$E$13+1,1))-AVERAGE(OFFSET($H$3,0,0,'Données projet'!$E$13+1,1))</f>
        <v>384.3367849108829</v>
      </c>
      <c r="CZ104" s="62">
        <f t="shared" si="96"/>
        <v>238.2697272367603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5.849230769230763</v>
      </c>
      <c r="DO104" s="13">
        <f>IF('Données projet'!$A$166&gt;35,DO103+DN104-DW103,IF(A104&lt;'Données projet'!$A$166,$DL$205^A104,IF(A104='Données projet'!$A$166,'Données projet'!$B$166,DO103+DN104-DW103)))</f>
        <v>211.24461538461478</v>
      </c>
      <c r="DP104" s="18">
        <f>DO104*VLOOKUP('Données projet'!$B$14,Paramètres!$A$1:$I$89,3,0)*VLOOKUP('Données projet'!$B$14,Paramètres!$A$1:$I$89,5,0)</f>
        <v>98.862479999999707</v>
      </c>
      <c r="DQ104" s="14">
        <f t="shared" si="97"/>
        <v>26.690818919395912</v>
      </c>
      <c r="DR104" s="22">
        <f t="shared" si="70"/>
        <v>218.67199561794735</v>
      </c>
      <c r="DS104" s="62">
        <f t="shared" si="71"/>
        <v>488.21285895616705</v>
      </c>
      <c r="DT104" s="62">
        <f ca="1">AVERAGE(OFFSET($DS$3,0,0,'Données projet'!$E$14+1,1))-AVERAGE(OFFSET($H$3,0,0,'Données projet'!$E$14+1,1))</f>
        <v>304.1100958939968</v>
      </c>
      <c r="DU104" s="62">
        <f t="shared" si="98"/>
        <v>184.1255966824568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2.4358974358974348</v>
      </c>
      <c r="EJ104" s="13">
        <f>IF('Données projet'!$A$192&gt;35,EJ103+EI104-ER103,IF(A104&lt;'Données projet'!$A$192,$EG$205^A104,IF(A104='Données projet'!$A$192,'Données projet'!$B$192,EJ103+EI104-ER103)))</f>
        <v>220.38461538461542</v>
      </c>
      <c r="EK104" s="18">
        <f>EJ104*VLOOKUP('Données projet'!$B$15,Paramètres!$A$1:$I$89,3,0)*VLOOKUP('Données projet'!$B$15,Paramètres!$A$1:$I$89,5,0)</f>
        <v>223.47000000000006</v>
      </c>
      <c r="EL104" s="14">
        <f t="shared" si="99"/>
        <v>54.868384782625867</v>
      </c>
      <c r="EM104" s="22">
        <f t="shared" si="73"/>
        <v>484.77268682974017</v>
      </c>
      <c r="EN104" s="62">
        <f t="shared" si="74"/>
        <v>754.31355016795987</v>
      </c>
      <c r="EO104" s="62">
        <f ca="1">AVERAGE(OFFSET($EN$3,0,0,'Données projet'!$E$15+1,1))-AVERAGE(OFFSET($H$3,0,0,'Données projet'!$E$15+1,1))</f>
        <v>435.03433721979218</v>
      </c>
      <c r="EP104" s="62">
        <f t="shared" si="100"/>
        <v>267.10015759286387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2.4358974358974348</v>
      </c>
      <c r="FE104" s="13">
        <f>IF('Données projet'!$A$218&gt;35,FE103+FD104-FM103,IF(A104&lt;'Données projet'!$A$218,$FB$205^A104,IF(A104='Données projet'!$A$218,'Données projet'!$B$218,FE103+FD104-FM103)))</f>
        <v>220.38461538461542</v>
      </c>
      <c r="FF104" s="18">
        <f>FE104*VLOOKUP('Données projet'!$B$16,Paramètres!$A$1:$I$89,3,0)*VLOOKUP('Données projet'!$B$16,Paramètres!$A$1:$I$89,5,0)</f>
        <v>230.34600000000006</v>
      </c>
      <c r="FG104" s="14">
        <f t="shared" si="101"/>
        <v>56.357488274155216</v>
      </c>
      <c r="FH104" s="22">
        <f t="shared" si="76"/>
        <v>499.34190874415384</v>
      </c>
      <c r="FI104" s="62">
        <f t="shared" si="77"/>
        <v>768.88277208237355</v>
      </c>
      <c r="FJ104" s="62">
        <f ca="1">AVERAGE(OFFSET($FI$3,0,0,'Données projet'!$E$16+1,1))-AVERAGE(OFFSET($H$3,0,0,'Données projet'!$E$16+1,1))</f>
        <v>445.15313998584293</v>
      </c>
      <c r="FK104" s="62">
        <f t="shared" si="102"/>
        <v>272.85357736694834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-5.6843418860808015E-14</v>
      </c>
      <c r="GA104" s="18">
        <f>FZ104*VLOOKUP('Données projet'!$B$17,Paramètres!$A$1:$I$89,3,0)*VLOOKUP('Données projet'!$B$17,Paramètres!$A$1:$I$89,5,0)</f>
        <v>-4.9658410716801891E-14</v>
      </c>
      <c r="GB104" s="14" t="e">
        <f t="shared" si="103"/>
        <v>#NUM!</v>
      </c>
      <c r="GC104" s="22" t="e">
        <f t="shared" si="79"/>
        <v>#NUM!</v>
      </c>
      <c r="GD104" s="62" t="e">
        <f t="shared" si="80"/>
        <v>#NUM!</v>
      </c>
      <c r="GE104" s="62">
        <f ca="1">AVERAGE(OFFSET($GD$3,0,0,'Données projet'!$E$17+1,1))-AVERAGE(OFFSET($H$3,0,0,'Données projet'!$E$17+1,1))</f>
        <v>248.82613595888964</v>
      </c>
      <c r="GF104" s="62">
        <f t="shared" si="104"/>
        <v>255.8298580882084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135.66666666666666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221.18884567967481</v>
      </c>
      <c r="T105" s="62">
        <f t="shared" si="88"/>
        <v>189.31596996710888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1.3833333333333342</v>
      </c>
      <c r="AI105" s="14">
        <f>IF('Données projet'!$A$62&gt;35,AI104+AH105-AQ104,IF(A105&lt;'Données projet'!$A$62,$AF$205^A105,IF(A105='Données projet'!$A$62,'Données projet'!$B$62,AI104+AH105-AQ104)))</f>
        <v>105.4666666666666</v>
      </c>
      <c r="AJ105" s="14">
        <f>AI105*VLOOKUP('Données projet'!$B$10,Paramètres!$A$1:$I$89,3,0)*VLOOKUP('Données projet'!$B$10,Paramètres!$A$1:$I$89,5,0)</f>
        <v>121.49759999999992</v>
      </c>
      <c r="AK105" s="14">
        <f t="shared" si="89"/>
        <v>32.024037368927388</v>
      </c>
      <c r="AL105" s="22">
        <f t="shared" si="58"/>
        <v>267.38351841754837</v>
      </c>
      <c r="AM105" s="62">
        <f t="shared" si="59"/>
        <v>537.33712791818914</v>
      </c>
      <c r="AN105" s="62">
        <f ca="1">AVERAGE(OFFSET($AM$3,0,0,'Données projet'!$E$10+1,1))-AVERAGE(OFFSET($H$3,0,0,'Données projet'!$E$10+1,1))</f>
        <v>314.72063458462026</v>
      </c>
      <c r="AO105" s="62">
        <f t="shared" si="90"/>
        <v>216.4380325968244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2.4358974358974348</v>
      </c>
      <c r="BD105" s="13">
        <f>IF('Données projet'!$A$88&gt;35,BD104+BC105-BL104,IF(A105&lt;'Données projet'!$A$88,$BA$205^A105,IF(A105='Données projet'!$A$88,'Données projet'!$B$88,BD104+BC105-BL104)))</f>
        <v>222.82051282051285</v>
      </c>
      <c r="BE105" s="14">
        <f>BD105*VLOOKUP('Données projet'!$B$11,Paramètres!$A$1:$I$89,3,0)*VLOOKUP('Données projet'!$B$11,Paramètres!$A$1:$I$89,5,0)</f>
        <v>239.84399999999999</v>
      </c>
      <c r="BF105" s="14">
        <f t="shared" si="91"/>
        <v>58.405965052237931</v>
      </c>
      <c r="BG105" s="22">
        <f t="shared" si="61"/>
        <v>519.45202246598103</v>
      </c>
      <c r="BH105" s="62">
        <f t="shared" si="62"/>
        <v>789.40563196662174</v>
      </c>
      <c r="BI105" s="62">
        <f ca="1">AVERAGE(OFFSET($BH$3,0,0,'Données projet'!$E$11+1,1))-AVERAGE(OFFSET($H$3,0,0,'Données projet'!$E$11+1,1))</f>
        <v>455.26558725507834</v>
      </c>
      <c r="BJ105" s="62">
        <f t="shared" si="92"/>
        <v>278.60310966788552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-5.6843418860808015E-14</v>
      </c>
      <c r="BZ105" s="14">
        <f>BY105*VLOOKUP('Données projet'!$B$12,Paramètres!$A$1:$I$89,3,0)*VLOOKUP('Données projet'!$B$12,Paramètres!$A$1:$I$89,5,0)</f>
        <v>-2.9558577807620169E-14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300.72820267660154</v>
      </c>
      <c r="CE105" s="62">
        <f t="shared" si="94"/>
        <v>228.35388778608589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2.4358974358974348</v>
      </c>
      <c r="CT105" s="13">
        <f>IF('Données projet'!$A$140&gt;35,CT104+CS105-DB104,IF(A105&lt;'Données projet'!$A$140,$CQ$205^A105,IF(A105='Données projet'!$A$140,'Données projet'!$B$140,CT104+CS105-DB104)))</f>
        <v>222.82051282051285</v>
      </c>
      <c r="CU105" s="18">
        <f>CT105*VLOOKUP('Données projet'!$B$13,Paramètres!$A$1:$I$89,3,0)*VLOOKUP('Données projet'!$B$13,Paramètres!$A$1:$I$89,5,0)</f>
        <v>191.18000000000004</v>
      </c>
      <c r="CV105" s="14">
        <f t="shared" si="95"/>
        <v>47.800740018341337</v>
      </c>
      <c r="CW105" s="22">
        <f t="shared" si="67"/>
        <v>416.22478886527784</v>
      </c>
      <c r="CX105" s="62">
        <f t="shared" si="68"/>
        <v>686.17839836591861</v>
      </c>
      <c r="CY105" s="62">
        <f ca="1">AVERAGE(OFFSET($CX$3,0,0,'Données projet'!$E$13+1,1))-AVERAGE(OFFSET($H$3,0,0,'Données projet'!$E$13+1,1))</f>
        <v>384.3367849108829</v>
      </c>
      <c r="CZ105" s="62">
        <f t="shared" si="96"/>
        <v>238.2697272367603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5.849230769230763</v>
      </c>
      <c r="DO105" s="13">
        <f>IF('Données projet'!$A$166&gt;35,DO104+DN105-DW104,IF(A105&lt;'Données projet'!$A$166,$DL$205^A105,IF(A105='Données projet'!$A$166,'Données projet'!$B$166,DO104+DN105-DW104)))</f>
        <v>217.09384615384553</v>
      </c>
      <c r="DP105" s="18">
        <f>DO105*VLOOKUP('Données projet'!$B$14,Paramètres!$A$1:$I$89,3,0)*VLOOKUP('Données projet'!$B$14,Paramètres!$A$1:$I$89,5,0)</f>
        <v>101.59991999999971</v>
      </c>
      <c r="DQ105" s="14">
        <f t="shared" si="97"/>
        <v>27.342803604001922</v>
      </c>
      <c r="DR105" s="22">
        <f t="shared" si="70"/>
        <v>224.57524361030281</v>
      </c>
      <c r="DS105" s="62">
        <f t="shared" si="71"/>
        <v>494.5288531109436</v>
      </c>
      <c r="DT105" s="62">
        <f ca="1">AVERAGE(OFFSET($DS$3,0,0,'Données projet'!$E$14+1,1))-AVERAGE(OFFSET($H$3,0,0,'Données projet'!$E$14+1,1))</f>
        <v>304.1100958939968</v>
      </c>
      <c r="DU105" s="62">
        <f t="shared" si="98"/>
        <v>184.1255966824568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2.4358974358974348</v>
      </c>
      <c r="EJ105" s="13">
        <f>IF('Données projet'!$A$192&gt;35,EJ104+EI105-ER104,IF(A105&lt;'Données projet'!$A$192,$EG$205^A105,IF(A105='Données projet'!$A$192,'Données projet'!$B$192,EJ104+EI105-ER104)))</f>
        <v>222.82051282051285</v>
      </c>
      <c r="EK105" s="18">
        <f>EJ105*VLOOKUP('Données projet'!$B$15,Paramètres!$A$1:$I$89,3,0)*VLOOKUP('Données projet'!$B$15,Paramètres!$A$1:$I$89,5,0)</f>
        <v>225.94000000000003</v>
      </c>
      <c r="EL105" s="14">
        <f t="shared" si="99"/>
        <v>55.403906745636547</v>
      </c>
      <c r="EM105" s="22">
        <f t="shared" si="73"/>
        <v>490.00730424865037</v>
      </c>
      <c r="EN105" s="62">
        <f t="shared" si="74"/>
        <v>759.96091374929119</v>
      </c>
      <c r="EO105" s="62">
        <f ca="1">AVERAGE(OFFSET($EN$3,0,0,'Données projet'!$E$15+1,1))-AVERAGE(OFFSET($H$3,0,0,'Données projet'!$E$15+1,1))</f>
        <v>435.03433721979218</v>
      </c>
      <c r="EP105" s="62">
        <f t="shared" si="100"/>
        <v>267.10015759286387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2.4358974358974348</v>
      </c>
      <c r="FE105" s="13">
        <f>IF('Données projet'!$A$218&gt;35,FE104+FD105-FM104,IF(A105&lt;'Données projet'!$A$218,$FB$205^A105,IF(A105='Données projet'!$A$218,'Données projet'!$B$218,FE104+FD105-FM104)))</f>
        <v>222.82051282051285</v>
      </c>
      <c r="FF105" s="18">
        <f>FE105*VLOOKUP('Données projet'!$B$16,Paramètres!$A$1:$I$89,3,0)*VLOOKUP('Données projet'!$B$16,Paramètres!$A$1:$I$89,5,0)</f>
        <v>232.89200000000002</v>
      </c>
      <c r="FG105" s="14">
        <f t="shared" si="101"/>
        <v>56.907544064397491</v>
      </c>
      <c r="FH105" s="22">
        <f t="shared" si="76"/>
        <v>504.73420591215904</v>
      </c>
      <c r="FI105" s="62">
        <f t="shared" si="77"/>
        <v>774.68781541279986</v>
      </c>
      <c r="FJ105" s="62">
        <f ca="1">AVERAGE(OFFSET($FI$3,0,0,'Données projet'!$E$16+1,1))-AVERAGE(OFFSET($H$3,0,0,'Données projet'!$E$16+1,1))</f>
        <v>445.15313998584293</v>
      </c>
      <c r="FK105" s="62">
        <f t="shared" si="102"/>
        <v>272.85357736694834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-5.6843418860808015E-14</v>
      </c>
      <c r="GA105" s="18">
        <f>FZ105*VLOOKUP('Données projet'!$B$17,Paramètres!$A$1:$I$89,3,0)*VLOOKUP('Données projet'!$B$17,Paramètres!$A$1:$I$89,5,0)</f>
        <v>-4.9658410716801891E-14</v>
      </c>
      <c r="GB105" s="14" t="e">
        <f t="shared" si="103"/>
        <v>#NUM!</v>
      </c>
      <c r="GC105" s="22" t="e">
        <f t="shared" si="79"/>
        <v>#NUM!</v>
      </c>
      <c r="GD105" s="62" t="e">
        <f t="shared" si="80"/>
        <v>#NUM!</v>
      </c>
      <c r="GE105" s="62">
        <f ca="1">AVERAGE(OFFSET($GD$3,0,0,'Données projet'!$E$17+1,1))-AVERAGE(OFFSET($H$3,0,0,'Données projet'!$E$17+1,1))</f>
        <v>248.82613595888964</v>
      </c>
      <c r="GF105" s="62">
        <f t="shared" si="104"/>
        <v>255.8298580882084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135.66666666666666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221.18884567967481</v>
      </c>
      <c r="T106" s="62">
        <f t="shared" si="88"/>
        <v>189.31596996710888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1.3833333333333342</v>
      </c>
      <c r="AI106" s="14">
        <f>IF('Données projet'!$A$62&gt;35,AI105+AH106-AQ105,IF(A106&lt;'Données projet'!$A$62,$AF$205^A106,IF(A106='Données projet'!$A$62,'Données projet'!$B$62,AI105+AH106-AQ105)))</f>
        <v>106.84999999999994</v>
      </c>
      <c r="AJ106" s="14">
        <f>AI106*VLOOKUP('Données projet'!$B$10,Paramètres!$A$1:$I$89,3,0)*VLOOKUP('Données projet'!$B$10,Paramètres!$A$1:$I$89,5,0)</f>
        <v>123.09119999999992</v>
      </c>
      <c r="AK106" s="14">
        <f t="shared" si="89"/>
        <v>32.394900249819841</v>
      </c>
      <c r="AL106" s="22">
        <f t="shared" si="58"/>
        <v>270.80495793510266</v>
      </c>
      <c r="AM106" s="62">
        <f t="shared" si="59"/>
        <v>541.16415337500871</v>
      </c>
      <c r="AN106" s="62">
        <f ca="1">AVERAGE(OFFSET($AM$3,0,0,'Données projet'!$E$10+1,1))-AVERAGE(OFFSET($H$3,0,0,'Données projet'!$E$10+1,1))</f>
        <v>314.72063458462026</v>
      </c>
      <c r="AO106" s="62">
        <f t="shared" si="90"/>
        <v>216.4380325968244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2.4358974358974348</v>
      </c>
      <c r="BD106" s="13">
        <f>IF('Données projet'!$A$88&gt;35,BD105+BC106-BL105,IF(A106&lt;'Données projet'!$A$88,$BA$205^A106,IF(A106='Données projet'!$A$88,'Données projet'!$B$88,BD105+BC106-BL105)))</f>
        <v>225.25641025641028</v>
      </c>
      <c r="BE106" s="14">
        <f>BD106*VLOOKUP('Données projet'!$B$11,Paramètres!$A$1:$I$89,3,0)*VLOOKUP('Données projet'!$B$11,Paramètres!$A$1:$I$89,5,0)</f>
        <v>242.46600000000004</v>
      </c>
      <c r="BF106" s="14">
        <f t="shared" si="91"/>
        <v>58.969786317048765</v>
      </c>
      <c r="BG106" s="22">
        <f t="shared" si="61"/>
        <v>525.00066116885989</v>
      </c>
      <c r="BH106" s="62">
        <f t="shared" si="62"/>
        <v>795.35985660876588</v>
      </c>
      <c r="BI106" s="62">
        <f ca="1">AVERAGE(OFFSET($BH$3,0,0,'Données projet'!$E$11+1,1))-AVERAGE(OFFSET($H$3,0,0,'Données projet'!$E$11+1,1))</f>
        <v>455.26558725507834</v>
      </c>
      <c r="BJ106" s="62">
        <f t="shared" si="92"/>
        <v>278.60310966788552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-5.6843418860808015E-14</v>
      </c>
      <c r="BZ106" s="14">
        <f>BY106*VLOOKUP('Données projet'!$B$12,Paramètres!$A$1:$I$89,3,0)*VLOOKUP('Données projet'!$B$12,Paramètres!$A$1:$I$89,5,0)</f>
        <v>-2.9558577807620169E-14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300.72820267660154</v>
      </c>
      <c r="CE106" s="62">
        <f t="shared" si="94"/>
        <v>228.35388778608589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2.4358974358974348</v>
      </c>
      <c r="CT106" s="13">
        <f>IF('Données projet'!$A$140&gt;35,CT105+CS106-DB105,IF(A106&lt;'Données projet'!$A$140,$CQ$205^A106,IF(A106='Données projet'!$A$140,'Données projet'!$B$140,CT105+CS106-DB105)))</f>
        <v>225.25641025641028</v>
      </c>
      <c r="CU106" s="18">
        <f>CT106*VLOOKUP('Données projet'!$B$13,Paramètres!$A$1:$I$89,3,0)*VLOOKUP('Données projet'!$B$13,Paramètres!$A$1:$I$89,5,0)</f>
        <v>193.27000000000004</v>
      </c>
      <c r="CV106" s="14">
        <f t="shared" si="95"/>
        <v>48.262183873809356</v>
      </c>
      <c r="CW106" s="22">
        <f t="shared" si="67"/>
        <v>420.66855358021803</v>
      </c>
      <c r="CX106" s="62">
        <f t="shared" si="68"/>
        <v>691.02774902012402</v>
      </c>
      <c r="CY106" s="62">
        <f ca="1">AVERAGE(OFFSET($CX$3,0,0,'Données projet'!$E$13+1,1))-AVERAGE(OFFSET($H$3,0,0,'Données projet'!$E$13+1,1))</f>
        <v>384.3367849108829</v>
      </c>
      <c r="CZ106" s="62">
        <f t="shared" si="96"/>
        <v>238.2697272367603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5.849230769230763</v>
      </c>
      <c r="DO106" s="13">
        <f>IF('Données projet'!$A$166&gt;35,DO105+DN106-DW105,IF(A106&lt;'Données projet'!$A$166,$DL$205^A106,IF(A106='Données projet'!$A$166,'Données projet'!$B$166,DO105+DN106-DW105)))</f>
        <v>222.94307692307629</v>
      </c>
      <c r="DP106" s="18">
        <f>DO106*VLOOKUP('Données projet'!$B$14,Paramètres!$A$1:$I$89,3,0)*VLOOKUP('Données projet'!$B$14,Paramètres!$A$1:$I$89,5,0)</f>
        <v>104.33735999999971</v>
      </c>
      <c r="DQ106" s="14">
        <f t="shared" si="97"/>
        <v>27.992746473996831</v>
      </c>
      <c r="DR106" s="22">
        <f t="shared" si="70"/>
        <v>230.47493544221061</v>
      </c>
      <c r="DS106" s="62">
        <f t="shared" si="71"/>
        <v>500.8341308821166</v>
      </c>
      <c r="DT106" s="62">
        <f ca="1">AVERAGE(OFFSET($DS$3,0,0,'Données projet'!$E$14+1,1))-AVERAGE(OFFSET($H$3,0,0,'Données projet'!$E$14+1,1))</f>
        <v>304.1100958939968</v>
      </c>
      <c r="DU106" s="62">
        <f t="shared" si="98"/>
        <v>184.1255966824568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2.4358974358974348</v>
      </c>
      <c r="EJ106" s="13">
        <f>IF('Données projet'!$A$192&gt;35,EJ105+EI106-ER105,IF(A106&lt;'Données projet'!$A$192,$EG$205^A106,IF(A106='Données projet'!$A$192,'Données projet'!$B$192,EJ105+EI106-ER105)))</f>
        <v>225.25641025641028</v>
      </c>
      <c r="EK106" s="18">
        <f>EJ106*VLOOKUP('Données projet'!$B$15,Paramètres!$A$1:$I$89,3,0)*VLOOKUP('Données projet'!$B$15,Paramètres!$A$1:$I$89,5,0)</f>
        <v>228.41000000000003</v>
      </c>
      <c r="EL106" s="14">
        <f t="shared" si="99"/>
        <v>55.938747677531801</v>
      </c>
      <c r="EM106" s="22">
        <f t="shared" si="73"/>
        <v>495.24073553836797</v>
      </c>
      <c r="EN106" s="62">
        <f t="shared" si="74"/>
        <v>765.59993097827396</v>
      </c>
      <c r="EO106" s="62">
        <f ca="1">AVERAGE(OFFSET($EN$3,0,0,'Données projet'!$E$15+1,1))-AVERAGE(OFFSET($H$3,0,0,'Données projet'!$E$15+1,1))</f>
        <v>435.03433721979218</v>
      </c>
      <c r="EP106" s="62">
        <f t="shared" si="100"/>
        <v>267.10015759286387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2.4358974358974348</v>
      </c>
      <c r="FE106" s="13">
        <f>IF('Données projet'!$A$218&gt;35,FE105+FD106-FM105,IF(A106&lt;'Données projet'!$A$218,$FB$205^A106,IF(A106='Données projet'!$A$218,'Données projet'!$B$218,FE105+FD106-FM105)))</f>
        <v>225.25641025641028</v>
      </c>
      <c r="FF106" s="18">
        <f>FE106*VLOOKUP('Données projet'!$B$16,Paramètres!$A$1:$I$89,3,0)*VLOOKUP('Données projet'!$B$16,Paramètres!$A$1:$I$89,5,0)</f>
        <v>235.43800000000005</v>
      </c>
      <c r="FG106" s="14">
        <f t="shared" si="101"/>
        <v>57.456900340643699</v>
      </c>
      <c r="FH106" s="22">
        <f t="shared" si="76"/>
        <v>510.12528475995447</v>
      </c>
      <c r="FI106" s="62">
        <f t="shared" si="77"/>
        <v>780.4844801998604</v>
      </c>
      <c r="FJ106" s="62">
        <f ca="1">AVERAGE(OFFSET($FI$3,0,0,'Données projet'!$E$16+1,1))-AVERAGE(OFFSET($H$3,0,0,'Données projet'!$E$16+1,1))</f>
        <v>445.15313998584293</v>
      </c>
      <c r="FK106" s="62">
        <f t="shared" si="102"/>
        <v>272.85357736694834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-5.6843418860808015E-14</v>
      </c>
      <c r="GA106" s="18">
        <f>FZ106*VLOOKUP('Données projet'!$B$17,Paramètres!$A$1:$I$89,3,0)*VLOOKUP('Données projet'!$B$17,Paramètres!$A$1:$I$89,5,0)</f>
        <v>-4.9658410716801891E-14</v>
      </c>
      <c r="GB106" s="14" t="e">
        <f t="shared" si="103"/>
        <v>#NUM!</v>
      </c>
      <c r="GC106" s="22" t="e">
        <f t="shared" si="79"/>
        <v>#NUM!</v>
      </c>
      <c r="GD106" s="62" t="e">
        <f t="shared" si="80"/>
        <v>#NUM!</v>
      </c>
      <c r="GE106" s="62">
        <f ca="1">AVERAGE(OFFSET($GD$3,0,0,'Données projet'!$E$17+1,1))-AVERAGE(OFFSET($H$3,0,0,'Données projet'!$E$17+1,1))</f>
        <v>248.82613595888964</v>
      </c>
      <c r="GF106" s="62">
        <f t="shared" si="104"/>
        <v>255.8298580882084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135.66666666666666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221.18884567967481</v>
      </c>
      <c r="T107" s="62">
        <f t="shared" si="88"/>
        <v>189.31596996710888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1.3833333333333342</v>
      </c>
      <c r="AI107" s="14">
        <f>IF('Données projet'!$A$62&gt;35,AI106+AH107-AQ106,IF(A107&lt;'Données projet'!$A$62,$AF$205^A107,IF(A107='Données projet'!$A$62,'Données projet'!$B$62,AI106+AH107-AQ106)))</f>
        <v>108.23333333333328</v>
      </c>
      <c r="AJ107" s="14">
        <f>AI107*VLOOKUP('Données projet'!$B$10,Paramètres!$A$1:$I$89,3,0)*VLOOKUP('Données projet'!$B$10,Paramètres!$A$1:$I$89,5,0)</f>
        <v>124.68479999999992</v>
      </c>
      <c r="AK107" s="14">
        <f t="shared" si="89"/>
        <v>32.765204654989468</v>
      </c>
      <c r="AL107" s="22">
        <f t="shared" si="58"/>
        <v>274.2254247741065</v>
      </c>
      <c r="AM107" s="62">
        <f t="shared" si="59"/>
        <v>544.98317014398572</v>
      </c>
      <c r="AN107" s="62">
        <f ca="1">AVERAGE(OFFSET($AM$3,0,0,'Données projet'!$E$10+1,1))-AVERAGE(OFFSET($H$3,0,0,'Données projet'!$E$10+1,1))</f>
        <v>314.72063458462026</v>
      </c>
      <c r="AO107" s="62">
        <f t="shared" si="90"/>
        <v>216.4380325968244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2.4358974358974348</v>
      </c>
      <c r="BD107" s="13">
        <f>IF('Données projet'!$A$88&gt;35,BD106+BC107-BL106,IF(A107&lt;'Données projet'!$A$88,$BA$205^A107,IF(A107='Données projet'!$A$88,'Données projet'!$B$88,BD106+BC107-BL106)))</f>
        <v>227.69230769230771</v>
      </c>
      <c r="BE107" s="14">
        <f>BD107*VLOOKUP('Données projet'!$B$11,Paramètres!$A$1:$I$89,3,0)*VLOOKUP('Données projet'!$B$11,Paramètres!$A$1:$I$89,5,0)</f>
        <v>245.08799999999999</v>
      </c>
      <c r="BF107" s="14">
        <f t="shared" si="91"/>
        <v>59.532898311321155</v>
      </c>
      <c r="BG107" s="22">
        <f t="shared" si="61"/>
        <v>530.54806455888422</v>
      </c>
      <c r="BH107" s="62">
        <f t="shared" si="62"/>
        <v>801.30580992876344</v>
      </c>
      <c r="BI107" s="62">
        <f ca="1">AVERAGE(OFFSET($BH$3,0,0,'Données projet'!$E$11+1,1))-AVERAGE(OFFSET($H$3,0,0,'Données projet'!$E$11+1,1))</f>
        <v>455.26558725507834</v>
      </c>
      <c r="BJ107" s="62">
        <f t="shared" si="92"/>
        <v>278.60310966788552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-5.6843418860808015E-14</v>
      </c>
      <c r="BZ107" s="14">
        <f>BY107*VLOOKUP('Données projet'!$B$12,Paramètres!$A$1:$I$89,3,0)*VLOOKUP('Données projet'!$B$12,Paramètres!$A$1:$I$89,5,0)</f>
        <v>-2.9558577807620169E-14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300.72820267660154</v>
      </c>
      <c r="CE107" s="62">
        <f t="shared" si="94"/>
        <v>228.35388778608589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2.4358974358974348</v>
      </c>
      <c r="CT107" s="13">
        <f>IF('Données projet'!$A$140&gt;35,CT106+CS107-DB106,IF(A107&lt;'Données projet'!$A$140,$CQ$205^A107,IF(A107='Données projet'!$A$140,'Données projet'!$B$140,CT106+CS107-DB106)))</f>
        <v>227.69230769230771</v>
      </c>
      <c r="CU107" s="18">
        <f>CT107*VLOOKUP('Données projet'!$B$13,Paramètres!$A$1:$I$89,3,0)*VLOOKUP('Données projet'!$B$13,Paramètres!$A$1:$I$89,5,0)</f>
        <v>195.36000000000004</v>
      </c>
      <c r="CV107" s="14">
        <f t="shared" si="95"/>
        <v>48.723047246503384</v>
      </c>
      <c r="CW107" s="22">
        <f t="shared" si="67"/>
        <v>425.11130728766017</v>
      </c>
      <c r="CX107" s="62">
        <f t="shared" si="68"/>
        <v>695.86905265753944</v>
      </c>
      <c r="CY107" s="62">
        <f ca="1">AVERAGE(OFFSET($CX$3,0,0,'Données projet'!$E$13+1,1))-AVERAGE(OFFSET($H$3,0,0,'Données projet'!$E$13+1,1))</f>
        <v>384.3367849108829</v>
      </c>
      <c r="CZ107" s="62">
        <f t="shared" si="96"/>
        <v>238.2697272367603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>
        <f>VLOOKUP(A107,'Données projet'!$A$165:$I$185,2,0)</f>
        <v>228.7923076923077</v>
      </c>
      <c r="DM107" s="13">
        <f>VLOOKUP(A107,'Données projet'!$A$165:$I$185,9,0)</f>
        <v>5.849230769230763</v>
      </c>
      <c r="DN107" s="13">
        <f t="array" ref="DN107">INDEX(DM:DM,MIN(IF(ISNUMBER(DM107:DM303),ROW(DM107:DM303),"")))</f>
        <v>5.849230769230763</v>
      </c>
      <c r="DO107" s="13">
        <f>IF('Données projet'!$A$166&gt;35,DO106+DN107-DW106,IF(A107&lt;'Données projet'!$A$166,$DL$205^A107,IF(A107='Données projet'!$A$166,'Données projet'!$B$166,DO106+DN107-DW106)))</f>
        <v>228.79230769230705</v>
      </c>
      <c r="DP107" s="18">
        <f>DO107*VLOOKUP('Données projet'!$B$14,Paramètres!$A$1:$I$89,3,0)*VLOOKUP('Données projet'!$B$14,Paramètres!$A$1:$I$89,5,0)</f>
        <v>107.0747999999997</v>
      </c>
      <c r="DQ107" s="14">
        <f t="shared" si="97"/>
        <v>28.640707257492455</v>
      </c>
      <c r="DR107" s="22">
        <f t="shared" si="70"/>
        <v>236.37117514013221</v>
      </c>
      <c r="DS107" s="62">
        <f t="shared" si="71"/>
        <v>507.12892051001148</v>
      </c>
      <c r="DT107" s="62">
        <f ca="1">AVERAGE(OFFSET($DS$3,0,0,'Données projet'!$E$14+1,1))-AVERAGE(OFFSET($H$3,0,0,'Données projet'!$E$14+1,1))</f>
        <v>304.1100958939968</v>
      </c>
      <c r="DU107" s="62">
        <f t="shared" si="98"/>
        <v>184.1255966824568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2.4358974358974348</v>
      </c>
      <c r="EJ107" s="13">
        <f>IF('Données projet'!$A$192&gt;35,EJ106+EI107-ER106,IF(A107&lt;'Données projet'!$A$192,$EG$205^A107,IF(A107='Données projet'!$A$192,'Données projet'!$B$192,EJ106+EI107-ER106)))</f>
        <v>227.69230769230771</v>
      </c>
      <c r="EK107" s="18">
        <f>EJ107*VLOOKUP('Données projet'!$B$15,Paramètres!$A$1:$I$89,3,0)*VLOOKUP('Données projet'!$B$15,Paramètres!$A$1:$I$89,5,0)</f>
        <v>230.88000000000005</v>
      </c>
      <c r="EL107" s="14">
        <f t="shared" si="99"/>
        <v>56.472915795293673</v>
      </c>
      <c r="EM107" s="22">
        <f t="shared" si="73"/>
        <v>500.47299501013646</v>
      </c>
      <c r="EN107" s="62">
        <f t="shared" si="74"/>
        <v>771.23074038001573</v>
      </c>
      <c r="EO107" s="62">
        <f ca="1">AVERAGE(OFFSET($EN$3,0,0,'Données projet'!$E$15+1,1))-AVERAGE(OFFSET($H$3,0,0,'Données projet'!$E$15+1,1))</f>
        <v>435.03433721979218</v>
      </c>
      <c r="EP107" s="62">
        <f t="shared" si="100"/>
        <v>267.10015759286387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2.4358974358974348</v>
      </c>
      <c r="FE107" s="13">
        <f>IF('Données projet'!$A$218&gt;35,FE106+FD107-FM106,IF(A107&lt;'Données projet'!$A$218,$FB$205^A107,IF(A107='Données projet'!$A$218,'Données projet'!$B$218,FE106+FD107-FM106)))</f>
        <v>227.69230769230771</v>
      </c>
      <c r="FF107" s="18">
        <f>FE107*VLOOKUP('Données projet'!$B$16,Paramètres!$A$1:$I$89,3,0)*VLOOKUP('Données projet'!$B$16,Paramètres!$A$1:$I$89,5,0)</f>
        <v>237.98400000000004</v>
      </c>
      <c r="FG107" s="14">
        <f t="shared" si="101"/>
        <v>58.00556554288093</v>
      </c>
      <c r="FH107" s="22">
        <f t="shared" si="76"/>
        <v>515.51515998718435</v>
      </c>
      <c r="FI107" s="62">
        <f t="shared" si="77"/>
        <v>786.27290535706356</v>
      </c>
      <c r="FJ107" s="62">
        <f ca="1">AVERAGE(OFFSET($FI$3,0,0,'Données projet'!$E$16+1,1))-AVERAGE(OFFSET($H$3,0,0,'Données projet'!$E$16+1,1))</f>
        <v>445.15313998584293</v>
      </c>
      <c r="FK107" s="62">
        <f t="shared" si="102"/>
        <v>272.85357736694834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-5.6843418860808015E-14</v>
      </c>
      <c r="GA107" s="18">
        <f>FZ107*VLOOKUP('Données projet'!$B$17,Paramètres!$A$1:$I$89,3,0)*VLOOKUP('Données projet'!$B$17,Paramètres!$A$1:$I$89,5,0)</f>
        <v>-4.9658410716801891E-14</v>
      </c>
      <c r="GB107" s="14" t="e">
        <f t="shared" si="103"/>
        <v>#NUM!</v>
      </c>
      <c r="GC107" s="22" t="e">
        <f t="shared" si="79"/>
        <v>#NUM!</v>
      </c>
      <c r="GD107" s="62" t="e">
        <f t="shared" si="80"/>
        <v>#NUM!</v>
      </c>
      <c r="GE107" s="62">
        <f ca="1">AVERAGE(OFFSET($GD$3,0,0,'Données projet'!$E$17+1,1))-AVERAGE(OFFSET($H$3,0,0,'Données projet'!$E$17+1,1))</f>
        <v>248.82613595888964</v>
      </c>
      <c r="GF107" s="62">
        <f t="shared" si="104"/>
        <v>255.8298580882084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135.66666666666666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221.18884567967481</v>
      </c>
      <c r="T108" s="62">
        <f t="shared" si="88"/>
        <v>189.31596996710888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1.3833333333333342</v>
      </c>
      <c r="AI108" s="14">
        <f>IF('Données projet'!$A$62&gt;35,AI107+AH108-AQ107,IF(A108&lt;'Données projet'!$A$62,$AF$205^A108,IF(A108='Données projet'!$A$62,'Données projet'!$B$62,AI107+AH108-AQ107)))</f>
        <v>109.61666666666662</v>
      </c>
      <c r="AJ108" s="14">
        <f>AI108*VLOOKUP('Données projet'!$B$10,Paramètres!$A$1:$I$89,3,0)*VLOOKUP('Données projet'!$B$10,Paramètres!$A$1:$I$89,5,0)</f>
        <v>126.27839999999992</v>
      </c>
      <c r="AK108" s="14">
        <f t="shared" si="89"/>
        <v>33.134958547692797</v>
      </c>
      <c r="AL108" s="22">
        <f t="shared" si="58"/>
        <v>277.64493280389814</v>
      </c>
      <c r="AM108" s="62">
        <f t="shared" si="59"/>
        <v>548.79431415348984</v>
      </c>
      <c r="AN108" s="62">
        <f ca="1">AVERAGE(OFFSET($AM$3,0,0,'Données projet'!$E$10+1,1))-AVERAGE(OFFSET($H$3,0,0,'Données projet'!$E$10+1,1))</f>
        <v>314.72063458462026</v>
      </c>
      <c r="AO108" s="62">
        <f t="shared" si="90"/>
        <v>216.4380325968244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2.4358974358974348</v>
      </c>
      <c r="BD108" s="13">
        <f>IF('Données projet'!$A$88&gt;35,BD107+BC108-BL107,IF(A108&lt;'Données projet'!$A$88,$BA$205^A108,IF(A108='Données projet'!$A$88,'Données projet'!$B$88,BD107+BC108-BL107)))</f>
        <v>230.12820512820514</v>
      </c>
      <c r="BE108" s="14">
        <f>BD108*VLOOKUP('Données projet'!$B$11,Paramètres!$A$1:$I$89,3,0)*VLOOKUP('Données projet'!$B$11,Paramètres!$A$1:$I$89,5,0)</f>
        <v>247.71</v>
      </c>
      <c r="BF108" s="14">
        <f t="shared" si="91"/>
        <v>60.095309501257823</v>
      </c>
      <c r="BG108" s="22">
        <f t="shared" si="61"/>
        <v>536.09424738135738</v>
      </c>
      <c r="BH108" s="62">
        <f t="shared" si="62"/>
        <v>807.24362873094901</v>
      </c>
      <c r="BI108" s="62">
        <f ca="1">AVERAGE(OFFSET($BH$3,0,0,'Données projet'!$E$11+1,1))-AVERAGE(OFFSET($H$3,0,0,'Données projet'!$E$11+1,1))</f>
        <v>455.26558725507834</v>
      </c>
      <c r="BJ108" s="62">
        <f t="shared" si="92"/>
        <v>278.60310966788552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-5.6843418860808015E-14</v>
      </c>
      <c r="BZ108" s="14">
        <f>BY108*VLOOKUP('Données projet'!$B$12,Paramètres!$A$1:$I$89,3,0)*VLOOKUP('Données projet'!$B$12,Paramètres!$A$1:$I$89,5,0)</f>
        <v>-2.9558577807620169E-14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300.72820267660154</v>
      </c>
      <c r="CE108" s="62">
        <f t="shared" si="94"/>
        <v>228.35388778608589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2.4358974358974348</v>
      </c>
      <c r="CT108" s="13">
        <f>IF('Données projet'!$A$140&gt;35,CT107+CS108-DB107,IF(A108&lt;'Données projet'!$A$140,$CQ$205^A108,IF(A108='Données projet'!$A$140,'Données projet'!$B$140,CT107+CS108-DB107)))</f>
        <v>230.12820512820514</v>
      </c>
      <c r="CU108" s="18">
        <f>CT108*VLOOKUP('Données projet'!$B$13,Paramètres!$A$1:$I$89,3,0)*VLOOKUP('Données projet'!$B$13,Paramètres!$A$1:$I$89,5,0)</f>
        <v>197.45000000000002</v>
      </c>
      <c r="CV108" s="14">
        <f t="shared" si="95"/>
        <v>49.183337065351971</v>
      </c>
      <c r="CW108" s="22">
        <f t="shared" si="67"/>
        <v>429.553062055488</v>
      </c>
      <c r="CX108" s="62">
        <f t="shared" si="68"/>
        <v>700.70244340507975</v>
      </c>
      <c r="CY108" s="62">
        <f ca="1">AVERAGE(OFFSET($CX$3,0,0,'Données projet'!$E$13+1,1))-AVERAGE(OFFSET($H$3,0,0,'Données projet'!$E$13+1,1))</f>
        <v>384.3367849108829</v>
      </c>
      <c r="CZ108" s="62">
        <f t="shared" si="96"/>
        <v>238.2697272367603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5.4600000000000026</v>
      </c>
      <c r="DO108" s="13">
        <f>IF('Données projet'!$A$166&gt;35,DO107+DN108-DW107,IF(A108&lt;'Données projet'!$A$166,$DL$205^A108,IF(A108='Données projet'!$A$166,'Données projet'!$B$166,DO107+DN108-DW107)))</f>
        <v>234.25230769230706</v>
      </c>
      <c r="DP108" s="18">
        <f>DO108*VLOOKUP('Données projet'!$B$14,Paramètres!$A$1:$I$89,3,0)*VLOOKUP('Données projet'!$B$14,Paramètres!$A$1:$I$89,5,0)</f>
        <v>109.63007999999969</v>
      </c>
      <c r="DQ108" s="14">
        <f t="shared" si="97"/>
        <v>29.243811455610157</v>
      </c>
      <c r="DR108" s="22">
        <f t="shared" si="70"/>
        <v>241.87202761852049</v>
      </c>
      <c r="DS108" s="62">
        <f t="shared" si="71"/>
        <v>513.02140896811215</v>
      </c>
      <c r="DT108" s="62">
        <f ca="1">AVERAGE(OFFSET($DS$3,0,0,'Données projet'!$E$14+1,1))-AVERAGE(OFFSET($H$3,0,0,'Données projet'!$E$14+1,1))</f>
        <v>304.1100958939968</v>
      </c>
      <c r="DU108" s="62">
        <f t="shared" si="98"/>
        <v>184.1255966824568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2.4358974358974348</v>
      </c>
      <c r="EJ108" s="13">
        <f>IF('Données projet'!$A$192&gt;35,EJ107+EI108-ER107,IF(A108&lt;'Données projet'!$A$192,$EG$205^A108,IF(A108='Données projet'!$A$192,'Données projet'!$B$192,EJ107+EI108-ER107)))</f>
        <v>230.12820512820514</v>
      </c>
      <c r="EK108" s="18">
        <f>EJ108*VLOOKUP('Données projet'!$B$15,Paramètres!$A$1:$I$89,3,0)*VLOOKUP('Données projet'!$B$15,Paramètres!$A$1:$I$89,5,0)</f>
        <v>233.35000000000002</v>
      </c>
      <c r="EL108" s="14">
        <f t="shared" si="99"/>
        <v>57.006419129963078</v>
      </c>
      <c r="EM108" s="22">
        <f t="shared" si="73"/>
        <v>505.70409665135247</v>
      </c>
      <c r="EN108" s="62">
        <f t="shared" si="74"/>
        <v>776.85347800094416</v>
      </c>
      <c r="EO108" s="62">
        <f ca="1">AVERAGE(OFFSET($EN$3,0,0,'Données projet'!$E$15+1,1))-AVERAGE(OFFSET($H$3,0,0,'Données projet'!$E$15+1,1))</f>
        <v>435.03433721979218</v>
      </c>
      <c r="EP108" s="62">
        <f t="shared" si="100"/>
        <v>267.10015759286387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2.4358974358974348</v>
      </c>
      <c r="FE108" s="13">
        <f>IF('Données projet'!$A$218&gt;35,FE107+FD108-FM107,IF(A108&lt;'Données projet'!$A$218,$FB$205^A108,IF(A108='Données projet'!$A$218,'Données projet'!$B$218,FE107+FD108-FM107)))</f>
        <v>230.12820512820514</v>
      </c>
      <c r="FF108" s="18">
        <f>FE108*VLOOKUP('Données projet'!$B$16,Paramètres!$A$1:$I$89,3,0)*VLOOKUP('Données projet'!$B$16,Paramètres!$A$1:$I$89,5,0)</f>
        <v>240.53000000000006</v>
      </c>
      <c r="FG108" s="14">
        <f t="shared" si="101"/>
        <v>58.553547920109111</v>
      </c>
      <c r="FH108" s="22">
        <f t="shared" si="76"/>
        <v>520.90384596085676</v>
      </c>
      <c r="FI108" s="62">
        <f t="shared" si="77"/>
        <v>792.05322731044839</v>
      </c>
      <c r="FJ108" s="62">
        <f ca="1">AVERAGE(OFFSET($FI$3,0,0,'Données projet'!$E$16+1,1))-AVERAGE(OFFSET($H$3,0,0,'Données projet'!$E$16+1,1))</f>
        <v>445.15313998584293</v>
      </c>
      <c r="FK108" s="62">
        <f t="shared" si="102"/>
        <v>272.85357736694834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-5.6843418860808015E-14</v>
      </c>
      <c r="GA108" s="18">
        <f>FZ108*VLOOKUP('Données projet'!$B$17,Paramètres!$A$1:$I$89,3,0)*VLOOKUP('Données projet'!$B$17,Paramètres!$A$1:$I$89,5,0)</f>
        <v>-4.9658410716801891E-14</v>
      </c>
      <c r="GB108" s="14" t="e">
        <f t="shared" si="103"/>
        <v>#NUM!</v>
      </c>
      <c r="GC108" s="22" t="e">
        <f t="shared" si="79"/>
        <v>#NUM!</v>
      </c>
      <c r="GD108" s="62" t="e">
        <f t="shared" si="80"/>
        <v>#NUM!</v>
      </c>
      <c r="GE108" s="62">
        <f ca="1">AVERAGE(OFFSET($GD$3,0,0,'Données projet'!$E$17+1,1))-AVERAGE(OFFSET($H$3,0,0,'Données projet'!$E$17+1,1))</f>
        <v>248.82613595888964</v>
      </c>
      <c r="GF108" s="62">
        <f t="shared" si="104"/>
        <v>255.8298580882084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135.66666666666666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221.18884567967481</v>
      </c>
      <c r="T109" s="62">
        <f t="shared" si="88"/>
        <v>189.31596996710888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1.3833333333333342</v>
      </c>
      <c r="AI109" s="14">
        <f>IF('Données projet'!$A$62&gt;35,AI108+AH109-AQ108,IF(A109&lt;'Données projet'!$A$62,$AF$205^A109,IF(A109='Données projet'!$A$62,'Données projet'!$B$62,AI108+AH109-AQ108)))</f>
        <v>110.99999999999996</v>
      </c>
      <c r="AJ109" s="14">
        <f>AI109*VLOOKUP('Données projet'!$B$10,Paramètres!$A$1:$I$89,3,0)*VLOOKUP('Données projet'!$B$10,Paramètres!$A$1:$I$89,5,0)</f>
        <v>127.87199999999994</v>
      </c>
      <c r="AK109" s="14">
        <f t="shared" si="89"/>
        <v>33.504169678639819</v>
      </c>
      <c r="AL109" s="22">
        <f t="shared" si="58"/>
        <v>281.06349552363093</v>
      </c>
      <c r="AM109" s="62">
        <f t="shared" si="59"/>
        <v>552.5977188442539</v>
      </c>
      <c r="AN109" s="62">
        <f ca="1">AVERAGE(OFFSET($AM$3,0,0,'Données projet'!$E$10+1,1))-AVERAGE(OFFSET($H$3,0,0,'Données projet'!$E$10+1,1))</f>
        <v>314.72063458462026</v>
      </c>
      <c r="AO109" s="62">
        <f t="shared" si="90"/>
        <v>216.4380325968244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2.4358974358974348</v>
      </c>
      <c r="BD109" s="13">
        <f>IF('Données projet'!$A$88&gt;35,BD108+BC109-BL108,IF(A109&lt;'Données projet'!$A$88,$BA$205^A109,IF(A109='Données projet'!$A$88,'Données projet'!$B$88,BD108+BC109-BL108)))</f>
        <v>232.56410256410257</v>
      </c>
      <c r="BE109" s="14">
        <f>BD109*VLOOKUP('Données projet'!$B$11,Paramètres!$A$1:$I$89,3,0)*VLOOKUP('Données projet'!$B$11,Paramètres!$A$1:$I$89,5,0)</f>
        <v>250.33199999999999</v>
      </c>
      <c r="BF109" s="14">
        <f t="shared" si="91"/>
        <v>60.657028163507704</v>
      </c>
      <c r="BG109" s="22">
        <f t="shared" si="61"/>
        <v>541.63922405144251</v>
      </c>
      <c r="BH109" s="62">
        <f t="shared" si="62"/>
        <v>813.17344737206554</v>
      </c>
      <c r="BI109" s="62">
        <f ca="1">AVERAGE(OFFSET($BH$3,0,0,'Données projet'!$E$11+1,1))-AVERAGE(OFFSET($H$3,0,0,'Données projet'!$E$11+1,1))</f>
        <v>455.26558725507834</v>
      </c>
      <c r="BJ109" s="62">
        <f t="shared" si="92"/>
        <v>278.60310966788552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-5.6843418860808015E-14</v>
      </c>
      <c r="BZ109" s="14">
        <f>BY109*VLOOKUP('Données projet'!$B$12,Paramètres!$A$1:$I$89,3,0)*VLOOKUP('Données projet'!$B$12,Paramètres!$A$1:$I$89,5,0)</f>
        <v>-2.9558577807620169E-14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300.72820267660154</v>
      </c>
      <c r="CE109" s="62">
        <f t="shared" si="94"/>
        <v>228.35388778608589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2.4358974358974348</v>
      </c>
      <c r="CT109" s="13">
        <f>IF('Données projet'!$A$140&gt;35,CT108+CS109-DB108,IF(A109&lt;'Données projet'!$A$140,$CQ$205^A109,IF(A109='Données projet'!$A$140,'Données projet'!$B$140,CT108+CS109-DB108)))</f>
        <v>232.56410256410257</v>
      </c>
      <c r="CU109" s="18">
        <f>CT109*VLOOKUP('Données projet'!$B$13,Paramètres!$A$1:$I$89,3,0)*VLOOKUP('Données projet'!$B$13,Paramètres!$A$1:$I$89,5,0)</f>
        <v>199.54000000000002</v>
      </c>
      <c r="CV109" s="14">
        <f t="shared" si="95"/>
        <v>49.643060104148425</v>
      </c>
      <c r="CW109" s="22">
        <f t="shared" si="67"/>
        <v>433.99382968139184</v>
      </c>
      <c r="CX109" s="62">
        <f t="shared" si="68"/>
        <v>705.52805300201476</v>
      </c>
      <c r="CY109" s="62">
        <f ca="1">AVERAGE(OFFSET($CX$3,0,0,'Données projet'!$E$13+1,1))-AVERAGE(OFFSET($H$3,0,0,'Données projet'!$E$13+1,1))</f>
        <v>384.3367849108829</v>
      </c>
      <c r="CZ109" s="62">
        <f t="shared" si="96"/>
        <v>238.2697272367603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5.4600000000000026</v>
      </c>
      <c r="DO109" s="13">
        <f>IF('Données projet'!$A$166&gt;35,DO108+DN109-DW108,IF(A109&lt;'Données projet'!$A$166,$DL$205^A109,IF(A109='Données projet'!$A$166,'Données projet'!$B$166,DO108+DN109-DW108)))</f>
        <v>239.71230769230706</v>
      </c>
      <c r="DP109" s="18">
        <f>DO109*VLOOKUP('Données projet'!$B$14,Paramètres!$A$1:$I$89,3,0)*VLOOKUP('Données projet'!$B$14,Paramètres!$A$1:$I$89,5,0)</f>
        <v>112.1853599999997</v>
      </c>
      <c r="DQ109" s="14">
        <f t="shared" si="97"/>
        <v>29.84528144827167</v>
      </c>
      <c r="DR109" s="22">
        <f t="shared" si="70"/>
        <v>247.37003385573931</v>
      </c>
      <c r="DS109" s="62">
        <f t="shared" si="71"/>
        <v>518.90425717636231</v>
      </c>
      <c r="DT109" s="62">
        <f ca="1">AVERAGE(OFFSET($DS$3,0,0,'Données projet'!$E$14+1,1))-AVERAGE(OFFSET($H$3,0,0,'Données projet'!$E$14+1,1))</f>
        <v>304.1100958939968</v>
      </c>
      <c r="DU109" s="62">
        <f t="shared" si="98"/>
        <v>184.1255966824568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2.4358974358974348</v>
      </c>
      <c r="EJ109" s="13">
        <f>IF('Données projet'!$A$192&gt;35,EJ108+EI109-ER108,IF(A109&lt;'Données projet'!$A$192,$EG$205^A109,IF(A109='Données projet'!$A$192,'Données projet'!$B$192,EJ108+EI109-ER108)))</f>
        <v>232.56410256410257</v>
      </c>
      <c r="EK109" s="18">
        <f>EJ109*VLOOKUP('Données projet'!$B$15,Paramètres!$A$1:$I$89,3,0)*VLOOKUP('Données projet'!$B$15,Paramètres!$A$1:$I$89,5,0)</f>
        <v>235.82000000000005</v>
      </c>
      <c r="EL109" s="14">
        <f t="shared" si="99"/>
        <v>57.539265532770465</v>
      </c>
      <c r="EM109" s="22">
        <f t="shared" si="73"/>
        <v>510.93405413624191</v>
      </c>
      <c r="EN109" s="62">
        <f t="shared" si="74"/>
        <v>782.46827745686483</v>
      </c>
      <c r="EO109" s="62">
        <f ca="1">AVERAGE(OFFSET($EN$3,0,0,'Données projet'!$E$15+1,1))-AVERAGE(OFFSET($H$3,0,0,'Données projet'!$E$15+1,1))</f>
        <v>435.03433721979218</v>
      </c>
      <c r="EP109" s="62">
        <f t="shared" si="100"/>
        <v>267.10015759286387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2.4358974358974348</v>
      </c>
      <c r="FE109" s="13">
        <f>IF('Données projet'!$A$218&gt;35,FE108+FD109-FM108,IF(A109&lt;'Données projet'!$A$218,$FB$205^A109,IF(A109='Données projet'!$A$218,'Données projet'!$B$218,FE108+FD109-FM108)))</f>
        <v>232.56410256410257</v>
      </c>
      <c r="FF109" s="18">
        <f>FE109*VLOOKUP('Données projet'!$B$16,Paramètres!$A$1:$I$89,3,0)*VLOOKUP('Données projet'!$B$16,Paramètres!$A$1:$I$89,5,0)</f>
        <v>243.07600000000002</v>
      </c>
      <c r="FG109" s="14">
        <f t="shared" si="101"/>
        <v>59.100855536637468</v>
      </c>
      <c r="FH109" s="22">
        <f t="shared" si="76"/>
        <v>526.29135672631037</v>
      </c>
      <c r="FI109" s="62">
        <f t="shared" si="77"/>
        <v>797.82558004693328</v>
      </c>
      <c r="FJ109" s="62">
        <f ca="1">AVERAGE(OFFSET($FI$3,0,0,'Données projet'!$E$16+1,1))-AVERAGE(OFFSET($H$3,0,0,'Données projet'!$E$16+1,1))</f>
        <v>445.15313998584293</v>
      </c>
      <c r="FK109" s="62">
        <f t="shared" si="102"/>
        <v>272.85357736694834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-5.6843418860808015E-14</v>
      </c>
      <c r="GA109" s="18">
        <f>FZ109*VLOOKUP('Données projet'!$B$17,Paramètres!$A$1:$I$89,3,0)*VLOOKUP('Données projet'!$B$17,Paramètres!$A$1:$I$89,5,0)</f>
        <v>-4.9658410716801891E-14</v>
      </c>
      <c r="GB109" s="14" t="e">
        <f t="shared" si="103"/>
        <v>#NUM!</v>
      </c>
      <c r="GC109" s="22" t="e">
        <f t="shared" si="79"/>
        <v>#NUM!</v>
      </c>
      <c r="GD109" s="62" t="e">
        <f t="shared" si="80"/>
        <v>#NUM!</v>
      </c>
      <c r="GE109" s="62">
        <f ca="1">AVERAGE(OFFSET($GD$3,0,0,'Données projet'!$E$17+1,1))-AVERAGE(OFFSET($H$3,0,0,'Données projet'!$E$17+1,1))</f>
        <v>248.82613595888964</v>
      </c>
      <c r="GF109" s="62">
        <f t="shared" si="104"/>
        <v>255.8298580882084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135.66666666666666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221.18884567967481</v>
      </c>
      <c r="T110" s="62">
        <f t="shared" si="88"/>
        <v>189.31596996710888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1.3833333333333342</v>
      </c>
      <c r="AI110" s="14">
        <f>IF('Données projet'!$A$62&gt;35,AI109+AH110-AQ109,IF(A110&lt;'Données projet'!$A$62,$AF$205^A110,IF(A110='Données projet'!$A$62,'Données projet'!$B$62,AI109+AH110-AQ109)))</f>
        <v>112.3833333333333</v>
      </c>
      <c r="AJ110" s="14">
        <f>AI110*VLOOKUP('Données projet'!$B$10,Paramètres!$A$1:$I$89,3,0)*VLOOKUP('Données projet'!$B$10,Paramètres!$A$1:$I$89,5,0)</f>
        <v>129.46559999999994</v>
      </c>
      <c r="AK110" s="14">
        <f t="shared" si="89"/>
        <v>33.872845594243692</v>
      </c>
      <c r="AL110" s="22">
        <f t="shared" si="58"/>
        <v>284.48112607664098</v>
      </c>
      <c r="AM110" s="62">
        <f t="shared" si="59"/>
        <v>556.39351522047559</v>
      </c>
      <c r="AN110" s="62">
        <f ca="1">AVERAGE(OFFSET($AM$3,0,0,'Données projet'!$E$10+1,1))-AVERAGE(OFFSET($H$3,0,0,'Données projet'!$E$10+1,1))</f>
        <v>314.72063458462026</v>
      </c>
      <c r="AO110" s="62">
        <f t="shared" si="90"/>
        <v>216.4380325968244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2.4358974358974348</v>
      </c>
      <c r="BD110" s="13">
        <f>IF('Données projet'!$A$88&gt;35,BD109+BC110-BL109,IF(A110&lt;'Données projet'!$A$88,$BA$205^A110,IF(A110='Données projet'!$A$88,'Données projet'!$B$88,BD109+BC110-BL109)))</f>
        <v>235</v>
      </c>
      <c r="BE110" s="14">
        <f>BD110*VLOOKUP('Données projet'!$B$11,Paramètres!$A$1:$I$89,3,0)*VLOOKUP('Données projet'!$B$11,Paramètres!$A$1:$I$89,5,0)</f>
        <v>252.95399999999998</v>
      </c>
      <c r="BF110" s="14">
        <f t="shared" si="91"/>
        <v>61.218062391350081</v>
      </c>
      <c r="BG110" s="22">
        <f t="shared" si="61"/>
        <v>547.18300866493462</v>
      </c>
      <c r="BH110" s="62">
        <f t="shared" si="62"/>
        <v>819.09539780876923</v>
      </c>
      <c r="BI110" s="62">
        <f ca="1">AVERAGE(OFFSET($BH$3,0,0,'Données projet'!$E$11+1,1))-AVERAGE(OFFSET($H$3,0,0,'Données projet'!$E$11+1,1))</f>
        <v>455.26558725507834</v>
      </c>
      <c r="BJ110" s="62">
        <f t="shared" si="92"/>
        <v>278.60310966788552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-5.6843418860808015E-14</v>
      </c>
      <c r="BZ110" s="14">
        <f>BY110*VLOOKUP('Données projet'!$B$12,Paramètres!$A$1:$I$89,3,0)*VLOOKUP('Données projet'!$B$12,Paramètres!$A$1:$I$89,5,0)</f>
        <v>-2.9558577807620169E-14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300.72820267660154</v>
      </c>
      <c r="CE110" s="62">
        <f t="shared" si="94"/>
        <v>228.35388778608589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2.4358974358974348</v>
      </c>
      <c r="CT110" s="13">
        <f>IF('Données projet'!$A$140&gt;35,CT109+CS110-DB109,IF(A110&lt;'Données projet'!$A$140,$CQ$205^A110,IF(A110='Données projet'!$A$140,'Données projet'!$B$140,CT109+CS110-DB109)))</f>
        <v>235</v>
      </c>
      <c r="CU110" s="18">
        <f>CT110*VLOOKUP('Données projet'!$B$13,Paramètres!$A$1:$I$89,3,0)*VLOOKUP('Données projet'!$B$13,Paramètres!$A$1:$I$89,5,0)</f>
        <v>201.63</v>
      </c>
      <c r="CV110" s="14">
        <f t="shared" si="95"/>
        <v>50.102222986612546</v>
      </c>
      <c r="CW110" s="22">
        <f t="shared" si="67"/>
        <v>438.43362170168348</v>
      </c>
      <c r="CX110" s="62">
        <f t="shared" si="68"/>
        <v>710.34601084551809</v>
      </c>
      <c r="CY110" s="62">
        <f ca="1">AVERAGE(OFFSET($CX$3,0,0,'Données projet'!$E$13+1,1))-AVERAGE(OFFSET($H$3,0,0,'Données projet'!$E$13+1,1))</f>
        <v>384.3367849108829</v>
      </c>
      <c r="CZ110" s="62">
        <f t="shared" si="96"/>
        <v>238.2697272367603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5.4600000000000026</v>
      </c>
      <c r="DO110" s="13">
        <f>IF('Données projet'!$A$166&gt;35,DO109+DN110-DW109,IF(A110&lt;'Données projet'!$A$166,$DL$205^A110,IF(A110='Données projet'!$A$166,'Données projet'!$B$166,DO109+DN110-DW109)))</f>
        <v>245.17230769230707</v>
      </c>
      <c r="DP110" s="18">
        <f>DO110*VLOOKUP('Données projet'!$B$14,Paramètres!$A$1:$I$89,3,0)*VLOOKUP('Données projet'!$B$14,Paramètres!$A$1:$I$89,5,0)</f>
        <v>114.74063999999971</v>
      </c>
      <c r="DQ110" s="14">
        <f t="shared" si="97"/>
        <v>30.445158743218197</v>
      </c>
      <c r="DR110" s="22">
        <f t="shared" si="70"/>
        <v>252.86526614443781</v>
      </c>
      <c r="DS110" s="62">
        <f t="shared" si="71"/>
        <v>524.7776552882724</v>
      </c>
      <c r="DT110" s="62">
        <f ca="1">AVERAGE(OFFSET($DS$3,0,0,'Données projet'!$E$14+1,1))-AVERAGE(OFFSET($H$3,0,0,'Données projet'!$E$14+1,1))</f>
        <v>304.1100958939968</v>
      </c>
      <c r="DU110" s="62">
        <f t="shared" si="98"/>
        <v>184.1255966824568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2.4358974358974348</v>
      </c>
      <c r="EJ110" s="13">
        <f>IF('Données projet'!$A$192&gt;35,EJ109+EI110-ER109,IF(A110&lt;'Données projet'!$A$192,$EG$205^A110,IF(A110='Données projet'!$A$192,'Données projet'!$B$192,EJ109+EI110-ER109)))</f>
        <v>235</v>
      </c>
      <c r="EK110" s="18">
        <f>EJ110*VLOOKUP('Données projet'!$B$15,Paramètres!$A$1:$I$89,3,0)*VLOOKUP('Données projet'!$B$15,Paramètres!$A$1:$I$89,5,0)</f>
        <v>238.29000000000002</v>
      </c>
      <c r="EL110" s="14">
        <f t="shared" si="99"/>
        <v>58.071462681001513</v>
      </c>
      <c r="EM110" s="22">
        <f t="shared" si="73"/>
        <v>516.16288083607753</v>
      </c>
      <c r="EN110" s="62">
        <f t="shared" si="74"/>
        <v>788.07526997991215</v>
      </c>
      <c r="EO110" s="62">
        <f ca="1">AVERAGE(OFFSET($EN$3,0,0,'Données projet'!$E$15+1,1))-AVERAGE(OFFSET($H$3,0,0,'Données projet'!$E$15+1,1))</f>
        <v>435.03433721979218</v>
      </c>
      <c r="EP110" s="62">
        <f t="shared" si="100"/>
        <v>267.10015759286387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2.4358974358974348</v>
      </c>
      <c r="FE110" s="13">
        <f>IF('Données projet'!$A$218&gt;35,FE109+FD110-FM109,IF(A110&lt;'Données projet'!$A$218,$FB$205^A110,IF(A110='Données projet'!$A$218,'Données projet'!$B$218,FE109+FD110-FM109)))</f>
        <v>235</v>
      </c>
      <c r="FF110" s="18">
        <f>FE110*VLOOKUP('Données projet'!$B$16,Paramètres!$A$1:$I$89,3,0)*VLOOKUP('Données projet'!$B$16,Paramètres!$A$1:$I$89,5,0)</f>
        <v>245.62200000000004</v>
      </c>
      <c r="FG110" s="14">
        <f t="shared" si="101"/>
        <v>59.647496278110026</v>
      </c>
      <c r="FH110" s="22">
        <f t="shared" si="76"/>
        <v>531.67770601770837</v>
      </c>
      <c r="FI110" s="62">
        <f t="shared" si="77"/>
        <v>803.59009516154299</v>
      </c>
      <c r="FJ110" s="62">
        <f ca="1">AVERAGE(OFFSET($FI$3,0,0,'Données projet'!$E$16+1,1))-AVERAGE(OFFSET($H$3,0,0,'Données projet'!$E$16+1,1))</f>
        <v>445.15313998584293</v>
      </c>
      <c r="FK110" s="62">
        <f t="shared" si="102"/>
        <v>272.85357736694834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-5.6843418860808015E-14</v>
      </c>
      <c r="GA110" s="18">
        <f>FZ110*VLOOKUP('Données projet'!$B$17,Paramètres!$A$1:$I$89,3,0)*VLOOKUP('Données projet'!$B$17,Paramètres!$A$1:$I$89,5,0)</f>
        <v>-4.9658410716801891E-14</v>
      </c>
      <c r="GB110" s="14" t="e">
        <f t="shared" si="103"/>
        <v>#NUM!</v>
      </c>
      <c r="GC110" s="22" t="e">
        <f t="shared" si="79"/>
        <v>#NUM!</v>
      </c>
      <c r="GD110" s="62" t="e">
        <f t="shared" si="80"/>
        <v>#NUM!</v>
      </c>
      <c r="GE110" s="62">
        <f ca="1">AVERAGE(OFFSET($GD$3,0,0,'Données projet'!$E$17+1,1))-AVERAGE(OFFSET($H$3,0,0,'Données projet'!$E$17+1,1))</f>
        <v>248.82613595888964</v>
      </c>
      <c r="GF110" s="62">
        <f t="shared" si="104"/>
        <v>255.8298580882084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135.66666666666666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221.18884567967481</v>
      </c>
      <c r="T111" s="62">
        <f t="shared" si="88"/>
        <v>189.31596996710888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1.3833333333333342</v>
      </c>
      <c r="AI111" s="14">
        <f>IF('Données projet'!$A$62&gt;35,AI110+AH111-AQ110,IF(A111&lt;'Données projet'!$A$62,$AF$205^A111,IF(A111='Données projet'!$A$62,'Données projet'!$B$62,AI110+AH111-AQ110)))</f>
        <v>113.76666666666664</v>
      </c>
      <c r="AJ111" s="14">
        <f>AI111*VLOOKUP('Données projet'!$B$10,Paramètres!$A$1:$I$89,3,0)*VLOOKUP('Données projet'!$B$10,Paramètres!$A$1:$I$89,5,0)</f>
        <v>131.05919999999995</v>
      </c>
      <c r="AK111" s="14">
        <f t="shared" si="89"/>
        <v>34.240993644452693</v>
      </c>
      <c r="AL111" s="22">
        <f t="shared" si="58"/>
        <v>287.89783726408837</v>
      </c>
      <c r="AM111" s="62">
        <f t="shared" si="59"/>
        <v>560.18183189955403</v>
      </c>
      <c r="AN111" s="62">
        <f ca="1">AVERAGE(OFFSET($AM$3,0,0,'Données projet'!$E$10+1,1))-AVERAGE(OFFSET($H$3,0,0,'Données projet'!$E$10+1,1))</f>
        <v>314.72063458462026</v>
      </c>
      <c r="AO111" s="62">
        <f t="shared" si="90"/>
        <v>216.4380325968244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2.4358974358974348</v>
      </c>
      <c r="BD111" s="13">
        <f>IF('Données projet'!$A$88&gt;35,BD110+BC111-BL110,IF(A111&lt;'Données projet'!$A$88,$BA$205^A111,IF(A111='Données projet'!$A$88,'Données projet'!$B$88,BD110+BC111-BL110)))</f>
        <v>237.43589743589743</v>
      </c>
      <c r="BE111" s="14">
        <f>BD111*VLOOKUP('Données projet'!$B$11,Paramètres!$A$1:$I$89,3,0)*VLOOKUP('Données projet'!$B$11,Paramètres!$A$1:$I$89,5,0)</f>
        <v>255.57599999999999</v>
      </c>
      <c r="BF111" s="14">
        <f t="shared" si="91"/>
        <v>61.778420100614788</v>
      </c>
      <c r="BG111" s="22">
        <f t="shared" si="61"/>
        <v>552.72561500857068</v>
      </c>
      <c r="BH111" s="62">
        <f t="shared" si="62"/>
        <v>825.00960964403635</v>
      </c>
      <c r="BI111" s="62">
        <f ca="1">AVERAGE(OFFSET($BH$3,0,0,'Données projet'!$E$11+1,1))-AVERAGE(OFFSET($H$3,0,0,'Données projet'!$E$11+1,1))</f>
        <v>455.26558725507834</v>
      </c>
      <c r="BJ111" s="62">
        <f t="shared" si="92"/>
        <v>278.60310966788552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-5.6843418860808015E-14</v>
      </c>
      <c r="BZ111" s="14">
        <f>BY111*VLOOKUP('Données projet'!$B$12,Paramètres!$A$1:$I$89,3,0)*VLOOKUP('Données projet'!$B$12,Paramètres!$A$1:$I$89,5,0)</f>
        <v>-2.9558577807620169E-14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300.72820267660154</v>
      </c>
      <c r="CE111" s="62">
        <f t="shared" si="94"/>
        <v>228.35388778608589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2.4358974358974348</v>
      </c>
      <c r="CT111" s="13">
        <f>IF('Données projet'!$A$140&gt;35,CT110+CS111-DB110,IF(A111&lt;'Données projet'!$A$140,$CQ$205^A111,IF(A111='Données projet'!$A$140,'Données projet'!$B$140,CT110+CS111-DB110)))</f>
        <v>237.43589743589743</v>
      </c>
      <c r="CU111" s="18">
        <f>CT111*VLOOKUP('Données projet'!$B$13,Paramètres!$A$1:$I$89,3,0)*VLOOKUP('Données projet'!$B$13,Paramètres!$A$1:$I$89,5,0)</f>
        <v>203.72</v>
      </c>
      <c r="CV111" s="14">
        <f t="shared" si="95"/>
        <v>50.560832191235377</v>
      </c>
      <c r="CW111" s="22">
        <f t="shared" si="67"/>
        <v>442.87244939973493</v>
      </c>
      <c r="CX111" s="62">
        <f t="shared" si="68"/>
        <v>715.15644403520059</v>
      </c>
      <c r="CY111" s="62">
        <f ca="1">AVERAGE(OFFSET($CX$3,0,0,'Données projet'!$E$13+1,1))-AVERAGE(OFFSET($H$3,0,0,'Données projet'!$E$13+1,1))</f>
        <v>384.3367849108829</v>
      </c>
      <c r="CZ111" s="62">
        <f t="shared" si="96"/>
        <v>238.2697272367603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5.4600000000000026</v>
      </c>
      <c r="DO111" s="13">
        <f>IF('Données projet'!$A$166&gt;35,DO110+DN111-DW110,IF(A111&lt;'Données projet'!$A$166,$DL$205^A111,IF(A111='Données projet'!$A$166,'Données projet'!$B$166,DO110+DN111-DW110)))</f>
        <v>250.63230769230708</v>
      </c>
      <c r="DP111" s="18">
        <f>DO111*VLOOKUP('Données projet'!$B$14,Paramètres!$A$1:$I$89,3,0)*VLOOKUP('Données projet'!$B$14,Paramètres!$A$1:$I$89,5,0)</f>
        <v>117.29591999999971</v>
      </c>
      <c r="DQ111" s="14">
        <f t="shared" si="97"/>
        <v>31.043482893881698</v>
      </c>
      <c r="DR111" s="22">
        <f t="shared" si="70"/>
        <v>258.35779337351011</v>
      </c>
      <c r="DS111" s="62">
        <f t="shared" si="71"/>
        <v>530.64178800897582</v>
      </c>
      <c r="DT111" s="62">
        <f ca="1">AVERAGE(OFFSET($DS$3,0,0,'Données projet'!$E$14+1,1))-AVERAGE(OFFSET($H$3,0,0,'Données projet'!$E$14+1,1))</f>
        <v>304.1100958939968</v>
      </c>
      <c r="DU111" s="62">
        <f t="shared" si="98"/>
        <v>184.1255966824568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2.4358974358974348</v>
      </c>
      <c r="EJ111" s="13">
        <f>IF('Données projet'!$A$192&gt;35,EJ110+EI111-ER110,IF(A111&lt;'Données projet'!$A$192,$EG$205^A111,IF(A111='Données projet'!$A$192,'Données projet'!$B$192,EJ110+EI111-ER110)))</f>
        <v>237.43589743589743</v>
      </c>
      <c r="EK111" s="18">
        <f>EJ111*VLOOKUP('Données projet'!$B$15,Paramètres!$A$1:$I$89,3,0)*VLOOKUP('Données projet'!$B$15,Paramètres!$A$1:$I$89,5,0)</f>
        <v>240.76000000000002</v>
      </c>
      <c r="EL111" s="14">
        <f t="shared" si="99"/>
        <v>58.603018083613883</v>
      </c>
      <c r="EM111" s="22">
        <f t="shared" si="73"/>
        <v>521.39058982896074</v>
      </c>
      <c r="EN111" s="62">
        <f t="shared" si="74"/>
        <v>793.67458446442652</v>
      </c>
      <c r="EO111" s="62">
        <f ca="1">AVERAGE(OFFSET($EN$3,0,0,'Données projet'!$E$15+1,1))-AVERAGE(OFFSET($H$3,0,0,'Données projet'!$E$15+1,1))</f>
        <v>435.03433721979218</v>
      </c>
      <c r="EP111" s="62">
        <f t="shared" si="100"/>
        <v>267.10015759286387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2.4358974358974348</v>
      </c>
      <c r="FE111" s="13">
        <f>IF('Données projet'!$A$218&gt;35,FE110+FD111-FM110,IF(A111&lt;'Données projet'!$A$218,$FB$205^A111,IF(A111='Données projet'!$A$218,'Données projet'!$B$218,FE110+FD111-FM110)))</f>
        <v>237.43589743589743</v>
      </c>
      <c r="FF111" s="18">
        <f>FE111*VLOOKUP('Données projet'!$B$16,Paramètres!$A$1:$I$89,3,0)*VLOOKUP('Données projet'!$B$16,Paramètres!$A$1:$I$89,5,0)</f>
        <v>248.16800000000001</v>
      </c>
      <c r="FG111" s="14">
        <f t="shared" si="101"/>
        <v>60.193477857273869</v>
      </c>
      <c r="FH111" s="22">
        <f t="shared" si="76"/>
        <v>537.06290726808527</v>
      </c>
      <c r="FI111" s="62">
        <f t="shared" si="77"/>
        <v>809.34690190355104</v>
      </c>
      <c r="FJ111" s="62">
        <f ca="1">AVERAGE(OFFSET($FI$3,0,0,'Données projet'!$E$16+1,1))-AVERAGE(OFFSET($H$3,0,0,'Données projet'!$E$16+1,1))</f>
        <v>445.15313998584293</v>
      </c>
      <c r="FK111" s="62">
        <f t="shared" si="102"/>
        <v>272.85357736694834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-5.6843418860808015E-14</v>
      </c>
      <c r="GA111" s="18">
        <f>FZ111*VLOOKUP('Données projet'!$B$17,Paramètres!$A$1:$I$89,3,0)*VLOOKUP('Données projet'!$B$17,Paramètres!$A$1:$I$89,5,0)</f>
        <v>-4.9658410716801891E-14</v>
      </c>
      <c r="GB111" s="14" t="e">
        <f t="shared" si="103"/>
        <v>#NUM!</v>
      </c>
      <c r="GC111" s="22" t="e">
        <f t="shared" si="79"/>
        <v>#NUM!</v>
      </c>
      <c r="GD111" s="62" t="e">
        <f t="shared" si="80"/>
        <v>#NUM!</v>
      </c>
      <c r="GE111" s="62">
        <f ca="1">AVERAGE(OFFSET($GD$3,0,0,'Données projet'!$E$17+1,1))-AVERAGE(OFFSET($H$3,0,0,'Données projet'!$E$17+1,1))</f>
        <v>248.82613595888964</v>
      </c>
      <c r="GF111" s="62">
        <f t="shared" si="104"/>
        <v>255.8298580882084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135.66666666666666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221.18884567967481</v>
      </c>
      <c r="T112" s="62">
        <f t="shared" si="88"/>
        <v>189.31596996710888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1.3833333333333342</v>
      </c>
      <c r="AI112" s="14">
        <f>IF('Données projet'!$A$62&gt;35,AI111+AH112-AQ111,IF(A112&lt;'Données projet'!$A$62,$AF$205^A112,IF(A112='Données projet'!$A$62,'Données projet'!$B$62,AI111+AH112-AQ111)))</f>
        <v>115.14999999999998</v>
      </c>
      <c r="AJ112" s="14">
        <f>AI112*VLOOKUP('Données projet'!$B$10,Paramètres!$A$1:$I$89,3,0)*VLOOKUP('Données projet'!$B$10,Paramètres!$A$1:$I$89,5,0)</f>
        <v>132.65279999999996</v>
      </c>
      <c r="AK112" s="14">
        <f t="shared" si="89"/>
        <v>34.608620990190566</v>
      </c>
      <c r="AL112" s="22">
        <f t="shared" si="58"/>
        <v>291.31364155791516</v>
      </c>
      <c r="AM112" s="62">
        <f t="shared" si="59"/>
        <v>563.96279516051754</v>
      </c>
      <c r="AN112" s="62">
        <f ca="1">AVERAGE(OFFSET($AM$3,0,0,'Données projet'!$E$10+1,1))-AVERAGE(OFFSET($H$3,0,0,'Données projet'!$E$10+1,1))</f>
        <v>314.72063458462026</v>
      </c>
      <c r="AO112" s="62">
        <f t="shared" si="90"/>
        <v>216.4380325968244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2.4358974358974348</v>
      </c>
      <c r="BD112" s="13">
        <f>IF('Données projet'!$A$88&gt;35,BD111+BC112-BL111,IF(A112&lt;'Données projet'!$A$88,$BA$205^A112,IF(A112='Données projet'!$A$88,'Données projet'!$B$88,BD111+BC112-BL111)))</f>
        <v>239.87179487179486</v>
      </c>
      <c r="BE112" s="14">
        <f>BD112*VLOOKUP('Données projet'!$B$11,Paramètres!$A$1:$I$89,3,0)*VLOOKUP('Données projet'!$B$11,Paramètres!$A$1:$I$89,5,0)</f>
        <v>258.19799999999998</v>
      </c>
      <c r="BF112" s="14">
        <f t="shared" si="91"/>
        <v>62.338109035352822</v>
      </c>
      <c r="BG112" s="22">
        <f t="shared" si="61"/>
        <v>558.26705656990612</v>
      </c>
      <c r="BH112" s="62">
        <f t="shared" si="62"/>
        <v>830.9162101725085</v>
      </c>
      <c r="BI112" s="62">
        <f ca="1">AVERAGE(OFFSET($BH$3,0,0,'Données projet'!$E$11+1,1))-AVERAGE(OFFSET($H$3,0,0,'Données projet'!$E$11+1,1))</f>
        <v>455.26558725507834</v>
      </c>
      <c r="BJ112" s="62">
        <f t="shared" si="92"/>
        <v>278.60310966788552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-5.6843418860808015E-14</v>
      </c>
      <c r="BZ112" s="14">
        <f>BY112*VLOOKUP('Données projet'!$B$12,Paramètres!$A$1:$I$89,3,0)*VLOOKUP('Données projet'!$B$12,Paramètres!$A$1:$I$89,5,0)</f>
        <v>-2.9558577807620169E-14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300.72820267660154</v>
      </c>
      <c r="CE112" s="62">
        <f t="shared" si="94"/>
        <v>228.35388778608589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2.4358974358974348</v>
      </c>
      <c r="CT112" s="13">
        <f>IF('Données projet'!$A$140&gt;35,CT111+CS112-DB111,IF(A112&lt;'Données projet'!$A$140,$CQ$205^A112,IF(A112='Données projet'!$A$140,'Données projet'!$B$140,CT111+CS112-DB111)))</f>
        <v>239.87179487179486</v>
      </c>
      <c r="CU112" s="18">
        <f>CT112*VLOOKUP('Données projet'!$B$13,Paramètres!$A$1:$I$89,3,0)*VLOOKUP('Données projet'!$B$13,Paramètres!$A$1:$I$89,5,0)</f>
        <v>205.81</v>
      </c>
      <c r="CV112" s="14">
        <f t="shared" si="95"/>
        <v>51.018894055920377</v>
      </c>
      <c r="CW112" s="22">
        <f t="shared" si="67"/>
        <v>447.31032381406135</v>
      </c>
      <c r="CX112" s="62">
        <f t="shared" si="68"/>
        <v>719.95947741666373</v>
      </c>
      <c r="CY112" s="62">
        <f ca="1">AVERAGE(OFFSET($CX$3,0,0,'Données projet'!$E$13+1,1))-AVERAGE(OFFSET($H$3,0,0,'Données projet'!$E$13+1,1))</f>
        <v>384.3367849108829</v>
      </c>
      <c r="CZ112" s="62">
        <f t="shared" si="96"/>
        <v>238.2697272367603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>
        <f>VLOOKUP(A112,'Données projet'!$A$165:$I$185,2,0)</f>
        <v>256.09230769230771</v>
      </c>
      <c r="DM112" s="13">
        <f>VLOOKUP(A112,'Données projet'!$A$165:$I$185,9,0)</f>
        <v>5.4600000000000026</v>
      </c>
      <c r="DN112" s="13">
        <f t="array" ref="DN112">INDEX(DM:DM,MIN(IF(ISNUMBER(DM112:DM308),ROW(DM112:DM308),"")))</f>
        <v>5.4600000000000026</v>
      </c>
      <c r="DO112" s="13">
        <f>IF('Données projet'!$A$166&gt;35,DO111+DN112-DW111,IF(A112&lt;'Données projet'!$A$166,$DL$205^A112,IF(A112='Données projet'!$A$166,'Données projet'!$B$166,DO111+DN112-DW111)))</f>
        <v>256.09230769230709</v>
      </c>
      <c r="DP112" s="18">
        <f>DO112*VLOOKUP('Données projet'!$B$14,Paramètres!$A$1:$I$89,3,0)*VLOOKUP('Données projet'!$B$14,Paramètres!$A$1:$I$89,5,0)</f>
        <v>119.85119999999972</v>
      </c>
      <c r="DQ112" s="14">
        <f t="shared" si="97"/>
        <v>31.640291631938162</v>
      </c>
      <c r="DR112" s="22">
        <f t="shared" si="70"/>
        <v>263.84768125895852</v>
      </c>
      <c r="DS112" s="62">
        <f t="shared" si="71"/>
        <v>536.49683486156084</v>
      </c>
      <c r="DT112" s="62">
        <f ca="1">AVERAGE(OFFSET($DS$3,0,0,'Données projet'!$E$14+1,1))-AVERAGE(OFFSET($H$3,0,0,'Données projet'!$E$14+1,1))</f>
        <v>304.1100958939968</v>
      </c>
      <c r="DU112" s="62">
        <f t="shared" si="98"/>
        <v>184.1255966824568</v>
      </c>
      <c r="DV112" s="16">
        <f>IF(ISNA(VLOOKUP(A112,'Données projet'!$A$165:$I$185,3,0)),0,VLOOKUP(A112,'Données projet'!$A$165:$I$185,3,0))</f>
        <v>6</v>
      </c>
      <c r="DW112" s="16">
        <f>IF(ISNA(VLOOKUP(A112,'Données projet'!$A$165:$I$185,4,0)),0,VLOOKUP(A112,'Données projet'!$A$165:$I$185,4,0))</f>
        <v>256.09230769230771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2.4358974358974348</v>
      </c>
      <c r="EJ112" s="13">
        <f>IF('Données projet'!$A$192&gt;35,EJ111+EI112-ER111,IF(A112&lt;'Données projet'!$A$192,$EG$205^A112,IF(A112='Données projet'!$A$192,'Données projet'!$B$192,EJ111+EI112-ER111)))</f>
        <v>239.87179487179486</v>
      </c>
      <c r="EK112" s="18">
        <f>EJ112*VLOOKUP('Données projet'!$B$15,Paramètres!$A$1:$I$89,3,0)*VLOOKUP('Données projet'!$B$15,Paramètres!$A$1:$I$89,5,0)</f>
        <v>243.23</v>
      </c>
      <c r="EL112" s="14">
        <f t="shared" si="99"/>
        <v>59.133939086615037</v>
      </c>
      <c r="EM112" s="22">
        <f t="shared" si="73"/>
        <v>526.61719390918779</v>
      </c>
      <c r="EN112" s="62">
        <f t="shared" si="74"/>
        <v>799.26634751179017</v>
      </c>
      <c r="EO112" s="62">
        <f ca="1">AVERAGE(OFFSET($EN$3,0,0,'Données projet'!$E$15+1,1))-AVERAGE(OFFSET($H$3,0,0,'Données projet'!$E$15+1,1))</f>
        <v>435.03433721979218</v>
      </c>
      <c r="EP112" s="62">
        <f t="shared" si="100"/>
        <v>267.10015759286387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2.4358974358974348</v>
      </c>
      <c r="FE112" s="13">
        <f>IF('Données projet'!$A$218&gt;35,FE111+FD112-FM111,IF(A112&lt;'Données projet'!$A$218,$FB$205^A112,IF(A112='Données projet'!$A$218,'Données projet'!$B$218,FE111+FD112-FM111)))</f>
        <v>239.87179487179486</v>
      </c>
      <c r="FF112" s="18">
        <f>FE112*VLOOKUP('Données projet'!$B$16,Paramètres!$A$1:$I$89,3,0)*VLOOKUP('Données projet'!$B$16,Paramètres!$A$1:$I$89,5,0)</f>
        <v>250.71400000000003</v>
      </c>
      <c r="FG112" s="14">
        <f t="shared" si="101"/>
        <v>60.738807819504103</v>
      </c>
      <c r="FH112" s="22">
        <f t="shared" si="76"/>
        <v>542.44697361896976</v>
      </c>
      <c r="FI112" s="62">
        <f t="shared" si="77"/>
        <v>815.09612722157203</v>
      </c>
      <c r="FJ112" s="62">
        <f ca="1">AVERAGE(OFFSET($FI$3,0,0,'Données projet'!$E$16+1,1))-AVERAGE(OFFSET($H$3,0,0,'Données projet'!$E$16+1,1))</f>
        <v>445.15313998584293</v>
      </c>
      <c r="FK112" s="62">
        <f t="shared" si="102"/>
        <v>272.85357736694834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-5.6843418860808015E-14</v>
      </c>
      <c r="GA112" s="18">
        <f>FZ112*VLOOKUP('Données projet'!$B$17,Paramètres!$A$1:$I$89,3,0)*VLOOKUP('Données projet'!$B$17,Paramètres!$A$1:$I$89,5,0)</f>
        <v>-4.9658410716801891E-14</v>
      </c>
      <c r="GB112" s="14" t="e">
        <f t="shared" si="103"/>
        <v>#NUM!</v>
      </c>
      <c r="GC112" s="22" t="e">
        <f t="shared" si="79"/>
        <v>#NUM!</v>
      </c>
      <c r="GD112" s="62" t="e">
        <f t="shared" si="80"/>
        <v>#NUM!</v>
      </c>
      <c r="GE112" s="62">
        <f ca="1">AVERAGE(OFFSET($GD$3,0,0,'Données projet'!$E$17+1,1))-AVERAGE(OFFSET($H$3,0,0,'Données projet'!$E$17+1,1))</f>
        <v>248.82613595888964</v>
      </c>
      <c r="GF112" s="62">
        <f t="shared" si="104"/>
        <v>255.8298580882084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135.66666666666666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221.18884567967481</v>
      </c>
      <c r="T113" s="62">
        <f t="shared" si="88"/>
        <v>189.31596996710888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116.53333333333335</v>
      </c>
      <c r="AG113" s="13">
        <f>VLOOKUP(A113,'Données projet'!$A$61:$I$81,9,0)</f>
        <v>1.3833333333333342</v>
      </c>
      <c r="AH113" s="13">
        <f t="array" ref="AH113">INDEX(AG:AG,MIN(IF(ISNUMBER(AG113:AG309),ROW(AG113:AG309),"")))</f>
        <v>1.3833333333333342</v>
      </c>
      <c r="AI113" s="14">
        <f>IF('Données projet'!$A$62&gt;35,AI112+AH113-AQ112,IF(A113&lt;'Données projet'!$A$62,$AF$205^A113,IF(A113='Données projet'!$A$62,'Données projet'!$B$62,AI112+AH113-AQ112)))</f>
        <v>116.53333333333332</v>
      </c>
      <c r="AJ113" s="14">
        <f>AI113*VLOOKUP('Données projet'!$B$10,Paramètres!$A$1:$I$89,3,0)*VLOOKUP('Données projet'!$B$10,Paramètres!$A$1:$I$89,5,0)</f>
        <v>134.24639999999997</v>
      </c>
      <c r="AK113" s="14">
        <f t="shared" si="89"/>
        <v>34.975734610428823</v>
      </c>
      <c r="AL113" s="22">
        <f t="shared" si="58"/>
        <v>294.72855111316346</v>
      </c>
      <c r="AM113" s="62">
        <f t="shared" si="59"/>
        <v>567.73652899119588</v>
      </c>
      <c r="AN113" s="62">
        <f ca="1">AVERAGE(OFFSET($AM$3,0,0,'Données projet'!$E$10+1,1))-AVERAGE(OFFSET($H$3,0,0,'Données projet'!$E$10+1,1))</f>
        <v>314.72063458462026</v>
      </c>
      <c r="AO113" s="62">
        <f t="shared" si="90"/>
        <v>216.4380325968244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9.0416666666666661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2.4358974358974348</v>
      </c>
      <c r="BD113" s="13">
        <f>IF('Données projet'!$A$88&gt;35,BD112+BC113-BL112,IF(A113&lt;'Données projet'!$A$88,$BA$205^A113,IF(A113='Données projet'!$A$88,'Données projet'!$B$88,BD112+BC113-BL112)))</f>
        <v>242.30769230769229</v>
      </c>
      <c r="BE113" s="14">
        <f>BD113*VLOOKUP('Données projet'!$B$11,Paramètres!$A$1:$I$89,3,0)*VLOOKUP('Données projet'!$B$11,Paramètres!$A$1:$I$89,5,0)</f>
        <v>260.82</v>
      </c>
      <c r="BF113" s="14">
        <f t="shared" si="91"/>
        <v>62.897136773269288</v>
      </c>
      <c r="BG113" s="22">
        <f t="shared" si="61"/>
        <v>563.80734654677724</v>
      </c>
      <c r="BH113" s="62">
        <f t="shared" si="62"/>
        <v>836.81532442480966</v>
      </c>
      <c r="BI113" s="62">
        <f ca="1">AVERAGE(OFFSET($BH$3,0,0,'Données projet'!$E$11+1,1))-AVERAGE(OFFSET($H$3,0,0,'Données projet'!$E$11+1,1))</f>
        <v>455.26558725507834</v>
      </c>
      <c r="BJ113" s="62">
        <f t="shared" si="92"/>
        <v>278.60310966788552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-5.6843418860808015E-14</v>
      </c>
      <c r="BZ113" s="14">
        <f>BY113*VLOOKUP('Données projet'!$B$12,Paramètres!$A$1:$I$89,3,0)*VLOOKUP('Données projet'!$B$12,Paramètres!$A$1:$I$89,5,0)</f>
        <v>-2.9558577807620169E-14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300.72820267660154</v>
      </c>
      <c r="CE113" s="62">
        <f t="shared" si="94"/>
        <v>228.35388778608589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2.4358974358974348</v>
      </c>
      <c r="CT113" s="13">
        <f>IF('Données projet'!$A$140&gt;35,CT112+CS113-DB112,IF(A113&lt;'Données projet'!$A$140,$CQ$205^A113,IF(A113='Données projet'!$A$140,'Données projet'!$B$140,CT112+CS113-DB112)))</f>
        <v>242.30769230769229</v>
      </c>
      <c r="CU113" s="18">
        <f>CT113*VLOOKUP('Données projet'!$B$13,Paramètres!$A$1:$I$89,3,0)*VLOOKUP('Données projet'!$B$13,Paramètres!$A$1:$I$89,5,0)</f>
        <v>207.9</v>
      </c>
      <c r="CV113" s="14">
        <f t="shared" si="95"/>
        <v>51.476414782429849</v>
      </c>
      <c r="CW113" s="22">
        <f t="shared" si="67"/>
        <v>451.74725574606526</v>
      </c>
      <c r="CX113" s="62">
        <f t="shared" si="68"/>
        <v>724.75523362409763</v>
      </c>
      <c r="CY113" s="62">
        <f ca="1">AVERAGE(OFFSET($CX$3,0,0,'Données projet'!$E$13+1,1))-AVERAGE(OFFSET($H$3,0,0,'Données projet'!$E$13+1,1))</f>
        <v>384.3367849108829</v>
      </c>
      <c r="CZ113" s="62">
        <f t="shared" si="96"/>
        <v>238.2697272367603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-6.2527760746888816E-13</v>
      </c>
      <c r="DP113" s="18">
        <f>DO113*VLOOKUP('Données projet'!$B$14,Paramètres!$A$1:$I$89,3,0)*VLOOKUP('Données projet'!$B$14,Paramètres!$A$1:$I$89,5,0)</f>
        <v>-2.9262992029543964E-13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304.1100958939968</v>
      </c>
      <c r="DU113" s="62">
        <f t="shared" si="98"/>
        <v>184.1255966824568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2.4358974358974348</v>
      </c>
      <c r="EJ113" s="13">
        <f>IF('Données projet'!$A$192&gt;35,EJ112+EI113-ER112,IF(A113&lt;'Données projet'!$A$192,$EG$205^A113,IF(A113='Données projet'!$A$192,'Données projet'!$B$192,EJ112+EI113-ER112)))</f>
        <v>242.30769230769229</v>
      </c>
      <c r="EK113" s="18">
        <f>EJ113*VLOOKUP('Données projet'!$B$15,Paramètres!$A$1:$I$89,3,0)*VLOOKUP('Données projet'!$B$15,Paramètres!$A$1:$I$89,5,0)</f>
        <v>245.70000000000002</v>
      </c>
      <c r="EL113" s="14">
        <f t="shared" si="99"/>
        <v>59.664232878217483</v>
      </c>
      <c r="EM113" s="22">
        <f t="shared" si="73"/>
        <v>531.84270559622871</v>
      </c>
      <c r="EN113" s="62">
        <f t="shared" si="74"/>
        <v>804.85068347426113</v>
      </c>
      <c r="EO113" s="62">
        <f ca="1">AVERAGE(OFFSET($EN$3,0,0,'Données projet'!$E$15+1,1))-AVERAGE(OFFSET($H$3,0,0,'Données projet'!$E$15+1,1))</f>
        <v>435.03433721979218</v>
      </c>
      <c r="EP113" s="62">
        <f t="shared" si="100"/>
        <v>267.10015759286387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2.4358974358974348</v>
      </c>
      <c r="FE113" s="13">
        <f>IF('Données projet'!$A$218&gt;35,FE112+FD113-FM112,IF(A113&lt;'Données projet'!$A$218,$FB$205^A113,IF(A113='Données projet'!$A$218,'Données projet'!$B$218,FE112+FD113-FM112)))</f>
        <v>242.30769230769229</v>
      </c>
      <c r="FF113" s="18">
        <f>FE113*VLOOKUP('Données projet'!$B$16,Paramètres!$A$1:$I$89,3,0)*VLOOKUP('Données projet'!$B$16,Paramètres!$A$1:$I$89,5,0)</f>
        <v>253.26</v>
      </c>
      <c r="FG113" s="14">
        <f t="shared" si="101"/>
        <v>61.283493548097894</v>
      </c>
      <c r="FH113" s="22">
        <f t="shared" si="76"/>
        <v>547.82991792960388</v>
      </c>
      <c r="FI113" s="62">
        <f t="shared" si="77"/>
        <v>820.83789580763619</v>
      </c>
      <c r="FJ113" s="62">
        <f ca="1">AVERAGE(OFFSET($FI$3,0,0,'Données projet'!$E$16+1,1))-AVERAGE(OFFSET($H$3,0,0,'Données projet'!$E$16+1,1))</f>
        <v>445.15313998584293</v>
      </c>
      <c r="FK113" s="62">
        <f t="shared" si="102"/>
        <v>272.85357736694834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-5.6843418860808015E-14</v>
      </c>
      <c r="GA113" s="18">
        <f>FZ113*VLOOKUP('Données projet'!$B$17,Paramètres!$A$1:$I$89,3,0)*VLOOKUP('Données projet'!$B$17,Paramètres!$A$1:$I$89,5,0)</f>
        <v>-4.9658410716801891E-14</v>
      </c>
      <c r="GB113" s="14" t="e">
        <f t="shared" si="103"/>
        <v>#NUM!</v>
      </c>
      <c r="GC113" s="22" t="e">
        <f t="shared" si="79"/>
        <v>#NUM!</v>
      </c>
      <c r="GD113" s="62" t="e">
        <f t="shared" si="80"/>
        <v>#NUM!</v>
      </c>
      <c r="GE113" s="62">
        <f ca="1">AVERAGE(OFFSET($GD$3,0,0,'Données projet'!$E$17+1,1))-AVERAGE(OFFSET($H$3,0,0,'Données projet'!$E$17+1,1))</f>
        <v>248.82613595888964</v>
      </c>
      <c r="GF113" s="62">
        <f t="shared" si="104"/>
        <v>255.8298580882084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135.66666666666666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221.18884567967481</v>
      </c>
      <c r="T114" s="62">
        <f t="shared" si="88"/>
        <v>189.31596996710888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1.3150000000000006</v>
      </c>
      <c r="AI114" s="14">
        <f>IF('Données projet'!$A$62&gt;35,AI113+AH114-AQ113,IF(A114&lt;'Données projet'!$A$62,$AF$205^A114,IF(A114='Données projet'!$A$62,'Données projet'!$B$62,AI113+AH114-AQ113)))</f>
        <v>108.80666666666664</v>
      </c>
      <c r="AJ114" s="14">
        <f>AI114*VLOOKUP('Données projet'!$B$10,Paramètres!$A$1:$I$89,3,0)*VLOOKUP('Données projet'!$B$10,Paramètres!$A$1:$I$89,5,0)</f>
        <v>125.34527999999997</v>
      </c>
      <c r="AK114" s="14">
        <f t="shared" si="89"/>
        <v>32.918518403213277</v>
      </c>
      <c r="AL114" s="22">
        <f t="shared" si="58"/>
        <v>275.64278221892977</v>
      </c>
      <c r="AM114" s="62">
        <f t="shared" si="59"/>
        <v>549.00335957342429</v>
      </c>
      <c r="AN114" s="62">
        <f ca="1">AVERAGE(OFFSET($AM$3,0,0,'Données projet'!$E$10+1,1))-AVERAGE(OFFSET($H$3,0,0,'Données projet'!$E$10+1,1))</f>
        <v>314.72063458462026</v>
      </c>
      <c r="AO114" s="62">
        <f t="shared" si="90"/>
        <v>216.4380325968244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2.4358974358974348</v>
      </c>
      <c r="BD114" s="13">
        <f>IF('Données projet'!$A$88&gt;35,BD113+BC114-BL113,IF(A114&lt;'Données projet'!$A$88,$BA$205^A114,IF(A114='Données projet'!$A$88,'Données projet'!$B$88,BD113+BC114-BL113)))</f>
        <v>244.74358974358972</v>
      </c>
      <c r="BE114" s="14">
        <f>BD114*VLOOKUP('Données projet'!$B$11,Paramètres!$A$1:$I$89,3,0)*VLOOKUP('Données projet'!$B$11,Paramètres!$A$1:$I$89,5,0)</f>
        <v>263.44199999999995</v>
      </c>
      <c r="BF114" s="14">
        <f t="shared" si="91"/>
        <v>63.455510730932602</v>
      </c>
      <c r="BG114" s="22">
        <f t="shared" si="61"/>
        <v>569.34649785637419</v>
      </c>
      <c r="BH114" s="62">
        <f t="shared" si="62"/>
        <v>842.70707521086865</v>
      </c>
      <c r="BI114" s="62">
        <f ca="1">AVERAGE(OFFSET($BH$3,0,0,'Données projet'!$E$11+1,1))-AVERAGE(OFFSET($H$3,0,0,'Données projet'!$E$11+1,1))</f>
        <v>455.26558725507834</v>
      </c>
      <c r="BJ114" s="62">
        <f t="shared" si="92"/>
        <v>278.60310966788552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-5.6843418860808015E-14</v>
      </c>
      <c r="BZ114" s="14">
        <f>BY114*VLOOKUP('Données projet'!$B$12,Paramètres!$A$1:$I$89,3,0)*VLOOKUP('Données projet'!$B$12,Paramètres!$A$1:$I$89,5,0)</f>
        <v>-2.9558577807620169E-14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300.72820267660154</v>
      </c>
      <c r="CE114" s="62">
        <f t="shared" si="94"/>
        <v>228.35388778608589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2.4358974358974348</v>
      </c>
      <c r="CT114" s="13">
        <f>IF('Données projet'!$A$140&gt;35,CT113+CS114-DB113,IF(A114&lt;'Données projet'!$A$140,$CQ$205^A114,IF(A114='Données projet'!$A$140,'Données projet'!$B$140,CT113+CS114-DB113)))</f>
        <v>244.74358974358972</v>
      </c>
      <c r="CU114" s="18">
        <f>CT114*VLOOKUP('Données projet'!$B$13,Paramètres!$A$1:$I$89,3,0)*VLOOKUP('Données projet'!$B$13,Paramètres!$A$1:$I$89,5,0)</f>
        <v>209.99</v>
      </c>
      <c r="CV114" s="14">
        <f t="shared" si="95"/>
        <v>51.933400440648221</v>
      </c>
      <c r="CW114" s="22">
        <f t="shared" si="67"/>
        <v>456.18325576746224</v>
      </c>
      <c r="CX114" s="62">
        <f t="shared" si="68"/>
        <v>729.54383312195682</v>
      </c>
      <c r="CY114" s="62">
        <f ca="1">AVERAGE(OFFSET($CX$3,0,0,'Données projet'!$E$13+1,1))-AVERAGE(OFFSET($H$3,0,0,'Données projet'!$E$13+1,1))</f>
        <v>384.3367849108829</v>
      </c>
      <c r="CZ114" s="62">
        <f t="shared" si="96"/>
        <v>238.2697272367603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-6.2527760746888816E-13</v>
      </c>
      <c r="DP114" s="18">
        <f>DO114*VLOOKUP('Données projet'!$B$14,Paramètres!$A$1:$I$89,3,0)*VLOOKUP('Données projet'!$B$14,Paramètres!$A$1:$I$89,5,0)</f>
        <v>-2.9262992029543964E-13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304.1100958939968</v>
      </c>
      <c r="DU114" s="62">
        <f t="shared" si="98"/>
        <v>184.1255966824568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2.4358974358974348</v>
      </c>
      <c r="EJ114" s="13">
        <f>IF('Données projet'!$A$192&gt;35,EJ113+EI114-ER113,IF(A114&lt;'Données projet'!$A$192,$EG$205^A114,IF(A114='Données projet'!$A$192,'Données projet'!$B$192,EJ113+EI114-ER113)))</f>
        <v>244.74358974358972</v>
      </c>
      <c r="EK114" s="18">
        <f>EJ114*VLOOKUP('Données projet'!$B$15,Paramètres!$A$1:$I$89,3,0)*VLOOKUP('Données projet'!$B$15,Paramètres!$A$1:$I$89,5,0)</f>
        <v>248.17</v>
      </c>
      <c r="EL114" s="14">
        <f t="shared" si="99"/>
        <v>60.193906493778854</v>
      </c>
      <c r="EM114" s="22">
        <f t="shared" si="73"/>
        <v>537.06713714333148</v>
      </c>
      <c r="EN114" s="62">
        <f t="shared" si="74"/>
        <v>810.42771449782595</v>
      </c>
      <c r="EO114" s="62">
        <f ca="1">AVERAGE(OFFSET($EN$3,0,0,'Données projet'!$E$15+1,1))-AVERAGE(OFFSET($H$3,0,0,'Données projet'!$E$15+1,1))</f>
        <v>435.03433721979218</v>
      </c>
      <c r="EP114" s="62">
        <f t="shared" si="100"/>
        <v>267.10015759286387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2.4358974358974348</v>
      </c>
      <c r="FE114" s="13">
        <f>IF('Données projet'!$A$218&gt;35,FE113+FD114-FM113,IF(A114&lt;'Données projet'!$A$218,$FB$205^A114,IF(A114='Données projet'!$A$218,'Données projet'!$B$218,FE113+FD114-FM113)))</f>
        <v>244.74358974358972</v>
      </c>
      <c r="FF114" s="18">
        <f>FE114*VLOOKUP('Données projet'!$B$16,Paramètres!$A$1:$I$89,3,0)*VLOOKUP('Données projet'!$B$16,Paramètres!$A$1:$I$89,5,0)</f>
        <v>255.80600000000001</v>
      </c>
      <c r="FG114" s="14">
        <f t="shared" si="101"/>
        <v>61.827542269349571</v>
      </c>
      <c r="FH114" s="22">
        <f t="shared" si="76"/>
        <v>553.2117527857838</v>
      </c>
      <c r="FI114" s="62">
        <f t="shared" si="77"/>
        <v>826.57233014027838</v>
      </c>
      <c r="FJ114" s="62">
        <f ca="1">AVERAGE(OFFSET($FI$3,0,0,'Données projet'!$E$16+1,1))-AVERAGE(OFFSET($H$3,0,0,'Données projet'!$E$16+1,1))</f>
        <v>445.15313998584293</v>
      </c>
      <c r="FK114" s="62">
        <f t="shared" si="102"/>
        <v>272.85357736694834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-5.6843418860808015E-14</v>
      </c>
      <c r="GA114" s="18">
        <f>FZ114*VLOOKUP('Données projet'!$B$17,Paramètres!$A$1:$I$89,3,0)*VLOOKUP('Données projet'!$B$17,Paramètres!$A$1:$I$89,5,0)</f>
        <v>-4.9658410716801891E-14</v>
      </c>
      <c r="GB114" s="14" t="e">
        <f t="shared" si="103"/>
        <v>#NUM!</v>
      </c>
      <c r="GC114" s="22" t="e">
        <f t="shared" si="79"/>
        <v>#NUM!</v>
      </c>
      <c r="GD114" s="62" t="e">
        <f t="shared" si="80"/>
        <v>#NUM!</v>
      </c>
      <c r="GE114" s="62">
        <f ca="1">AVERAGE(OFFSET($GD$3,0,0,'Données projet'!$E$17+1,1))-AVERAGE(OFFSET($H$3,0,0,'Données projet'!$E$17+1,1))</f>
        <v>248.82613595888964</v>
      </c>
      <c r="GF114" s="62">
        <f t="shared" si="104"/>
        <v>255.8298580882084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135.66666666666666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221.18884567967481</v>
      </c>
      <c r="T115" s="62">
        <f t="shared" si="88"/>
        <v>189.31596996710888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1.3150000000000006</v>
      </c>
      <c r="AI115" s="14">
        <f>IF('Données projet'!$A$62&gt;35,AI114+AH115-AQ114,IF(A115&lt;'Données projet'!$A$62,$AF$205^A115,IF(A115='Données projet'!$A$62,'Données projet'!$B$62,AI114+AH115-AQ114)))</f>
        <v>110.12166666666664</v>
      </c>
      <c r="AJ115" s="14">
        <f>AI115*VLOOKUP('Données projet'!$B$10,Paramètres!$A$1:$I$89,3,0)*VLOOKUP('Données projet'!$B$10,Paramètres!$A$1:$I$89,5,0)</f>
        <v>126.86015999999996</v>
      </c>
      <c r="AK115" s="14">
        <f t="shared" si="89"/>
        <v>33.269805353558191</v>
      </c>
      <c r="AL115" s="22">
        <f t="shared" si="58"/>
        <v>278.89302299078042</v>
      </c>
      <c r="AM115" s="62">
        <f t="shared" si="59"/>
        <v>552.60008300911477</v>
      </c>
      <c r="AN115" s="62">
        <f ca="1">AVERAGE(OFFSET($AM$3,0,0,'Données projet'!$E$10+1,1))-AVERAGE(OFFSET($H$3,0,0,'Données projet'!$E$10+1,1))</f>
        <v>314.72063458462026</v>
      </c>
      <c r="AO115" s="62">
        <f t="shared" si="90"/>
        <v>216.4380325968244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2.4358974358974348</v>
      </c>
      <c r="BD115" s="13">
        <f>IF('Données projet'!$A$88&gt;35,BD114+BC115-BL114,IF(A115&lt;'Données projet'!$A$88,$BA$205^A115,IF(A115='Données projet'!$A$88,'Données projet'!$B$88,BD114+BC115-BL114)))</f>
        <v>247.17948717948715</v>
      </c>
      <c r="BE115" s="14">
        <f>BD115*VLOOKUP('Données projet'!$B$11,Paramètres!$A$1:$I$89,3,0)*VLOOKUP('Données projet'!$B$11,Paramètres!$A$1:$I$89,5,0)</f>
        <v>266.06399999999996</v>
      </c>
      <c r="BF115" s="14">
        <f t="shared" si="91"/>
        <v>64.013238168769774</v>
      </c>
      <c r="BG115" s="22">
        <f t="shared" si="61"/>
        <v>574.88452314394056</v>
      </c>
      <c r="BH115" s="62">
        <f t="shared" si="62"/>
        <v>848.5915831622749</v>
      </c>
      <c r="BI115" s="62">
        <f ca="1">AVERAGE(OFFSET($BH$3,0,0,'Données projet'!$E$11+1,1))-AVERAGE(OFFSET($H$3,0,0,'Données projet'!$E$11+1,1))</f>
        <v>455.26558725507834</v>
      </c>
      <c r="BJ115" s="62">
        <f t="shared" si="92"/>
        <v>278.60310966788552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-5.6843418860808015E-14</v>
      </c>
      <c r="BZ115" s="14">
        <f>BY115*VLOOKUP('Données projet'!$B$12,Paramètres!$A$1:$I$89,3,0)*VLOOKUP('Données projet'!$B$12,Paramètres!$A$1:$I$89,5,0)</f>
        <v>-2.9558577807620169E-14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300.72820267660154</v>
      </c>
      <c r="CE115" s="62">
        <f t="shared" si="94"/>
        <v>228.35388778608589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2.4358974358974348</v>
      </c>
      <c r="CT115" s="13">
        <f>IF('Données projet'!$A$140&gt;35,CT114+CS115-DB114,IF(A115&lt;'Données projet'!$A$140,$CQ$205^A115,IF(A115='Données projet'!$A$140,'Données projet'!$B$140,CT114+CS115-DB114)))</f>
        <v>247.17948717948715</v>
      </c>
      <c r="CU115" s="18">
        <f>CT115*VLOOKUP('Données projet'!$B$13,Paramètres!$A$1:$I$89,3,0)*VLOOKUP('Données projet'!$B$13,Paramètres!$A$1:$I$89,5,0)</f>
        <v>212.08</v>
      </c>
      <c r="CV115" s="14">
        <f t="shared" si="95"/>
        <v>52.389856972670358</v>
      </c>
      <c r="CW115" s="22">
        <f t="shared" si="67"/>
        <v>460.61833422740091</v>
      </c>
      <c r="CX115" s="62">
        <f t="shared" si="68"/>
        <v>734.32539424573531</v>
      </c>
      <c r="CY115" s="62">
        <f ca="1">AVERAGE(OFFSET($CX$3,0,0,'Données projet'!$E$13+1,1))-AVERAGE(OFFSET($H$3,0,0,'Données projet'!$E$13+1,1))</f>
        <v>384.3367849108829</v>
      </c>
      <c r="CZ115" s="62">
        <f t="shared" si="96"/>
        <v>238.2697272367603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-6.2527760746888816E-13</v>
      </c>
      <c r="DP115" s="18">
        <f>DO115*VLOOKUP('Données projet'!$B$14,Paramètres!$A$1:$I$89,3,0)*VLOOKUP('Données projet'!$B$14,Paramètres!$A$1:$I$89,5,0)</f>
        <v>-2.9262992029543964E-13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304.1100958939968</v>
      </c>
      <c r="DU115" s="62">
        <f t="shared" si="98"/>
        <v>184.1255966824568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2.4358974358974348</v>
      </c>
      <c r="EJ115" s="13">
        <f>IF('Données projet'!$A$192&gt;35,EJ114+EI115-ER114,IF(A115&lt;'Données projet'!$A$192,$EG$205^A115,IF(A115='Données projet'!$A$192,'Données projet'!$B$192,EJ114+EI115-ER114)))</f>
        <v>247.17948717948715</v>
      </c>
      <c r="EK115" s="18">
        <f>EJ115*VLOOKUP('Données projet'!$B$15,Paramètres!$A$1:$I$89,3,0)*VLOOKUP('Données projet'!$B$15,Paramètres!$A$1:$I$89,5,0)</f>
        <v>250.64</v>
      </c>
      <c r="EL115" s="14">
        <f t="shared" si="99"/>
        <v>60.722966820541316</v>
      </c>
      <c r="EM115" s="22">
        <f t="shared" si="73"/>
        <v>542.29050054577613</v>
      </c>
      <c r="EN115" s="62">
        <f t="shared" si="74"/>
        <v>815.99756056411047</v>
      </c>
      <c r="EO115" s="62">
        <f ca="1">AVERAGE(OFFSET($EN$3,0,0,'Données projet'!$E$15+1,1))-AVERAGE(OFFSET($H$3,0,0,'Données projet'!$E$15+1,1))</f>
        <v>435.03433721979218</v>
      </c>
      <c r="EP115" s="62">
        <f t="shared" si="100"/>
        <v>267.10015759286387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2.4358974358974348</v>
      </c>
      <c r="FE115" s="13">
        <f>IF('Données projet'!$A$218&gt;35,FE114+FD115-FM114,IF(A115&lt;'Données projet'!$A$218,$FB$205^A115,IF(A115='Données projet'!$A$218,'Données projet'!$B$218,FE114+FD115-FM114)))</f>
        <v>247.17948717948715</v>
      </c>
      <c r="FF115" s="18">
        <f>FE115*VLOOKUP('Données projet'!$B$16,Paramètres!$A$1:$I$89,3,0)*VLOOKUP('Données projet'!$B$16,Paramètres!$A$1:$I$89,5,0)</f>
        <v>258.35199999999998</v>
      </c>
      <c r="FG115" s="14">
        <f t="shared" si="101"/>
        <v>62.370961057417801</v>
      </c>
      <c r="FH115" s="22">
        <f t="shared" si="76"/>
        <v>558.59249050833591</v>
      </c>
      <c r="FI115" s="62">
        <f t="shared" si="77"/>
        <v>832.29955052667037</v>
      </c>
      <c r="FJ115" s="62">
        <f ca="1">AVERAGE(OFFSET($FI$3,0,0,'Données projet'!$E$16+1,1))-AVERAGE(OFFSET($H$3,0,0,'Données projet'!$E$16+1,1))</f>
        <v>445.15313998584293</v>
      </c>
      <c r="FK115" s="62">
        <f t="shared" si="102"/>
        <v>272.85357736694834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-5.6843418860808015E-14</v>
      </c>
      <c r="GA115" s="18">
        <f>FZ115*VLOOKUP('Données projet'!$B$17,Paramètres!$A$1:$I$89,3,0)*VLOOKUP('Données projet'!$B$17,Paramètres!$A$1:$I$89,5,0)</f>
        <v>-4.9658410716801891E-14</v>
      </c>
      <c r="GB115" s="14" t="e">
        <f t="shared" si="103"/>
        <v>#NUM!</v>
      </c>
      <c r="GC115" s="22" t="e">
        <f t="shared" si="79"/>
        <v>#NUM!</v>
      </c>
      <c r="GD115" s="62" t="e">
        <f t="shared" si="80"/>
        <v>#NUM!</v>
      </c>
      <c r="GE115" s="62">
        <f ca="1">AVERAGE(OFFSET($GD$3,0,0,'Données projet'!$E$17+1,1))-AVERAGE(OFFSET($H$3,0,0,'Données projet'!$E$17+1,1))</f>
        <v>248.82613595888964</v>
      </c>
      <c r="GF115" s="62">
        <f t="shared" si="104"/>
        <v>255.8298580882084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135.66666666666666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221.18884567967481</v>
      </c>
      <c r="T116" s="62">
        <f t="shared" si="88"/>
        <v>189.31596996710888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1.3150000000000006</v>
      </c>
      <c r="AI116" s="14">
        <f>IF('Données projet'!$A$62&gt;35,AI115+AH116-AQ115,IF(A116&lt;'Données projet'!$A$62,$AF$205^A116,IF(A116='Données projet'!$A$62,'Données projet'!$B$62,AI115+AH116-AQ115)))</f>
        <v>111.43666666666664</v>
      </c>
      <c r="AJ116" s="14">
        <f>AI116*VLOOKUP('Données projet'!$B$10,Paramètres!$A$1:$I$89,3,0)*VLOOKUP('Données projet'!$B$10,Paramètres!$A$1:$I$89,5,0)</f>
        <v>128.37503999999996</v>
      </c>
      <c r="AK116" s="14">
        <f t="shared" si="89"/>
        <v>33.6206043519106</v>
      </c>
      <c r="AL116" s="22">
        <f t="shared" si="58"/>
        <v>282.14241391291085</v>
      </c>
      <c r="AM116" s="62">
        <f t="shared" si="59"/>
        <v>556.18994589548674</v>
      </c>
      <c r="AN116" s="62">
        <f ca="1">AVERAGE(OFFSET($AM$3,0,0,'Données projet'!$E$10+1,1))-AVERAGE(OFFSET($H$3,0,0,'Données projet'!$E$10+1,1))</f>
        <v>314.72063458462026</v>
      </c>
      <c r="AO116" s="62">
        <f t="shared" si="90"/>
        <v>216.4380325968244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2.4358974358974348</v>
      </c>
      <c r="BD116" s="13">
        <f>IF('Données projet'!$A$88&gt;35,BD115+BC116-BL115,IF(A116&lt;'Données projet'!$A$88,$BA$205^A116,IF(A116='Données projet'!$A$88,'Données projet'!$B$88,BD115+BC116-BL115)))</f>
        <v>249.61538461538458</v>
      </c>
      <c r="BE116" s="14">
        <f>BD116*VLOOKUP('Données projet'!$B$11,Paramètres!$A$1:$I$89,3,0)*VLOOKUP('Données projet'!$B$11,Paramètres!$A$1:$I$89,5,0)</f>
        <v>268.68599999999998</v>
      </c>
      <c r="BF116" s="14">
        <f t="shared" si="91"/>
        <v>64.570326195859209</v>
      </c>
      <c r="BG116" s="22">
        <f t="shared" si="61"/>
        <v>580.42143479112144</v>
      </c>
      <c r="BH116" s="62">
        <f t="shared" si="62"/>
        <v>854.46896677369728</v>
      </c>
      <c r="BI116" s="62">
        <f ca="1">AVERAGE(OFFSET($BH$3,0,0,'Données projet'!$E$11+1,1))-AVERAGE(OFFSET($H$3,0,0,'Données projet'!$E$11+1,1))</f>
        <v>455.26558725507834</v>
      </c>
      <c r="BJ116" s="62">
        <f t="shared" si="92"/>
        <v>278.60310966788552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-5.6843418860808015E-14</v>
      </c>
      <c r="BZ116" s="14">
        <f>BY116*VLOOKUP('Données projet'!$B$12,Paramètres!$A$1:$I$89,3,0)*VLOOKUP('Données projet'!$B$12,Paramètres!$A$1:$I$89,5,0)</f>
        <v>-2.9558577807620169E-14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300.72820267660154</v>
      </c>
      <c r="CE116" s="62">
        <f t="shared" si="94"/>
        <v>228.35388778608589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2.4358974358974348</v>
      </c>
      <c r="CT116" s="13">
        <f>IF('Données projet'!$A$140&gt;35,CT115+CS116-DB115,IF(A116&lt;'Données projet'!$A$140,$CQ$205^A116,IF(A116='Données projet'!$A$140,'Données projet'!$B$140,CT115+CS116-DB115)))</f>
        <v>249.61538461538458</v>
      </c>
      <c r="CU116" s="18">
        <f>CT116*VLOOKUP('Données projet'!$B$13,Paramètres!$A$1:$I$89,3,0)*VLOOKUP('Données projet'!$B$13,Paramètres!$A$1:$I$89,5,0)</f>
        <v>214.17</v>
      </c>
      <c r="CV116" s="14">
        <f t="shared" si="95"/>
        <v>52.845790196724067</v>
      </c>
      <c r="CW116" s="22">
        <f t="shared" si="67"/>
        <v>465.0525012592945</v>
      </c>
      <c r="CX116" s="62">
        <f t="shared" si="68"/>
        <v>739.10003324187028</v>
      </c>
      <c r="CY116" s="62">
        <f ca="1">AVERAGE(OFFSET($CX$3,0,0,'Données projet'!$E$13+1,1))-AVERAGE(OFFSET($H$3,0,0,'Données projet'!$E$13+1,1))</f>
        <v>384.3367849108829</v>
      </c>
      <c r="CZ116" s="62">
        <f t="shared" si="96"/>
        <v>238.2697272367603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-6.2527760746888816E-13</v>
      </c>
      <c r="DP116" s="18">
        <f>DO116*VLOOKUP('Données projet'!$B$14,Paramètres!$A$1:$I$89,3,0)*VLOOKUP('Données projet'!$B$14,Paramètres!$A$1:$I$89,5,0)</f>
        <v>-2.9262992029543964E-13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304.1100958939968</v>
      </c>
      <c r="DU116" s="62">
        <f t="shared" si="98"/>
        <v>184.1255966824568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2.4358974358974348</v>
      </c>
      <c r="EJ116" s="13">
        <f>IF('Données projet'!$A$192&gt;35,EJ115+EI116-ER115,IF(A116&lt;'Données projet'!$A$192,$EG$205^A116,IF(A116='Données projet'!$A$192,'Données projet'!$B$192,EJ115+EI116-ER115)))</f>
        <v>249.61538461538458</v>
      </c>
      <c r="EK116" s="18">
        <f>EJ116*VLOOKUP('Données projet'!$B$15,Paramètres!$A$1:$I$89,3,0)*VLOOKUP('Données projet'!$B$15,Paramètres!$A$1:$I$89,5,0)</f>
        <v>253.10999999999996</v>
      </c>
      <c r="EL116" s="14">
        <f t="shared" si="99"/>
        <v>61.251420602177625</v>
      </c>
      <c r="EM116" s="22">
        <f t="shared" si="73"/>
        <v>547.51280754879269</v>
      </c>
      <c r="EN116" s="62">
        <f t="shared" si="74"/>
        <v>821.56033953136853</v>
      </c>
      <c r="EO116" s="62">
        <f ca="1">AVERAGE(OFFSET($EN$3,0,0,'Données projet'!$E$15+1,1))-AVERAGE(OFFSET($H$3,0,0,'Données projet'!$E$15+1,1))</f>
        <v>435.03433721979218</v>
      </c>
      <c r="EP116" s="62">
        <f t="shared" si="100"/>
        <v>267.10015759286387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2.4358974358974348</v>
      </c>
      <c r="FE116" s="13">
        <f>IF('Données projet'!$A$218&gt;35,FE115+FD116-FM115,IF(A116&lt;'Données projet'!$A$218,$FB$205^A116,IF(A116='Données projet'!$A$218,'Données projet'!$B$218,FE115+FD116-FM115)))</f>
        <v>249.61538461538458</v>
      </c>
      <c r="FF116" s="18">
        <f>FE116*VLOOKUP('Données projet'!$B$16,Paramètres!$A$1:$I$89,3,0)*VLOOKUP('Données projet'!$B$16,Paramètres!$A$1:$I$89,5,0)</f>
        <v>260.89800000000002</v>
      </c>
      <c r="FG116" s="14">
        <f t="shared" si="101"/>
        <v>62.913756838995624</v>
      </c>
      <c r="FH116" s="22">
        <f t="shared" si="76"/>
        <v>563.97214316125064</v>
      </c>
      <c r="FI116" s="62">
        <f t="shared" si="77"/>
        <v>838.01967514382648</v>
      </c>
      <c r="FJ116" s="62">
        <f ca="1">AVERAGE(OFFSET($FI$3,0,0,'Données projet'!$E$16+1,1))-AVERAGE(OFFSET($H$3,0,0,'Données projet'!$E$16+1,1))</f>
        <v>445.15313998584293</v>
      </c>
      <c r="FK116" s="62">
        <f t="shared" si="102"/>
        <v>272.85357736694834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-5.6843418860808015E-14</v>
      </c>
      <c r="GA116" s="18">
        <f>FZ116*VLOOKUP('Données projet'!$B$17,Paramètres!$A$1:$I$89,3,0)*VLOOKUP('Données projet'!$B$17,Paramètres!$A$1:$I$89,5,0)</f>
        <v>-4.9658410716801891E-14</v>
      </c>
      <c r="GB116" s="14" t="e">
        <f t="shared" si="103"/>
        <v>#NUM!</v>
      </c>
      <c r="GC116" s="22" t="e">
        <f t="shared" si="79"/>
        <v>#NUM!</v>
      </c>
      <c r="GD116" s="62" t="e">
        <f t="shared" si="80"/>
        <v>#NUM!</v>
      </c>
      <c r="GE116" s="62">
        <f ca="1">AVERAGE(OFFSET($GD$3,0,0,'Données projet'!$E$17+1,1))-AVERAGE(OFFSET($H$3,0,0,'Données projet'!$E$17+1,1))</f>
        <v>248.82613595888964</v>
      </c>
      <c r="GF116" s="62">
        <f t="shared" si="104"/>
        <v>255.8298580882084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135.66666666666666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221.18884567967481</v>
      </c>
      <c r="T117" s="62">
        <f t="shared" si="88"/>
        <v>189.31596996710888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1.3150000000000006</v>
      </c>
      <c r="AI117" s="14">
        <f>IF('Données projet'!$A$62&gt;35,AI116+AH117-AQ116,IF(A117&lt;'Données projet'!$A$62,$AF$205^A117,IF(A117='Données projet'!$A$62,'Données projet'!$B$62,AI116+AH117-AQ116)))</f>
        <v>112.75166666666664</v>
      </c>
      <c r="AJ117" s="14">
        <f>AI117*VLOOKUP('Données projet'!$B$10,Paramètres!$A$1:$I$89,3,0)*VLOOKUP('Données projet'!$B$10,Paramètres!$A$1:$I$89,5,0)</f>
        <v>129.88991999999996</v>
      </c>
      <c r="AK117" s="14">
        <f t="shared" si="89"/>
        <v>33.970921822434136</v>
      </c>
      <c r="AL117" s="22">
        <f t="shared" si="58"/>
        <v>285.39096617407273</v>
      </c>
      <c r="AM117" s="62">
        <f t="shared" si="59"/>
        <v>559.77306369349174</v>
      </c>
      <c r="AN117" s="62">
        <f ca="1">AVERAGE(OFFSET($AM$3,0,0,'Données projet'!$E$10+1,1))-AVERAGE(OFFSET($H$3,0,0,'Données projet'!$E$10+1,1))</f>
        <v>314.72063458462026</v>
      </c>
      <c r="AO117" s="62">
        <f t="shared" si="90"/>
        <v>216.4380325968244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2.4358974358974348</v>
      </c>
      <c r="BD117" s="13">
        <f>IF('Données projet'!$A$88&gt;35,BD116+BC117-BL116,IF(A117&lt;'Données projet'!$A$88,$BA$205^A117,IF(A117='Données projet'!$A$88,'Données projet'!$B$88,BD116+BC117-BL116)))</f>
        <v>252.05128205128202</v>
      </c>
      <c r="BE117" s="14">
        <f>BD117*VLOOKUP('Données projet'!$B$11,Paramètres!$A$1:$I$89,3,0)*VLOOKUP('Données projet'!$B$11,Paramètres!$A$1:$I$89,5,0)</f>
        <v>271.30799999999994</v>
      </c>
      <c r="BF117" s="14">
        <f t="shared" si="91"/>
        <v>65.126781774531096</v>
      </c>
      <c r="BG117" s="22">
        <f t="shared" si="61"/>
        <v>585.95724492397483</v>
      </c>
      <c r="BH117" s="62">
        <f t="shared" si="62"/>
        <v>860.33934244339389</v>
      </c>
      <c r="BI117" s="62">
        <f ca="1">AVERAGE(OFFSET($BH$3,0,0,'Données projet'!$E$11+1,1))-AVERAGE(OFFSET($H$3,0,0,'Données projet'!$E$11+1,1))</f>
        <v>455.26558725507834</v>
      </c>
      <c r="BJ117" s="62">
        <f t="shared" si="92"/>
        <v>278.60310966788552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-5.6843418860808015E-14</v>
      </c>
      <c r="BZ117" s="14">
        <f>BY117*VLOOKUP('Données projet'!$B$12,Paramètres!$A$1:$I$89,3,0)*VLOOKUP('Données projet'!$B$12,Paramètres!$A$1:$I$89,5,0)</f>
        <v>-2.9558577807620169E-14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300.72820267660154</v>
      </c>
      <c r="CE117" s="62">
        <f t="shared" si="94"/>
        <v>228.35388778608589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2.4358974358974348</v>
      </c>
      <c r="CT117" s="13">
        <f>IF('Données projet'!$A$140&gt;35,CT116+CS117-DB116,IF(A117&lt;'Données projet'!$A$140,$CQ$205^A117,IF(A117='Données projet'!$A$140,'Données projet'!$B$140,CT116+CS117-DB116)))</f>
        <v>252.05128205128202</v>
      </c>
      <c r="CU117" s="18">
        <f>CT117*VLOOKUP('Données projet'!$B$13,Paramètres!$A$1:$I$89,3,0)*VLOOKUP('Données projet'!$B$13,Paramètres!$A$1:$I$89,5,0)</f>
        <v>216.26</v>
      </c>
      <c r="CV117" s="14">
        <f t="shared" si="95"/>
        <v>53.301205810935016</v>
      </c>
      <c r="CW117" s="22">
        <f t="shared" si="67"/>
        <v>469.48576678737845</v>
      </c>
      <c r="CX117" s="62">
        <f t="shared" si="68"/>
        <v>743.8678643067974</v>
      </c>
      <c r="CY117" s="62">
        <f ca="1">AVERAGE(OFFSET($CX$3,0,0,'Données projet'!$E$13+1,1))-AVERAGE(OFFSET($H$3,0,0,'Données projet'!$E$13+1,1))</f>
        <v>384.3367849108829</v>
      </c>
      <c r="CZ117" s="62">
        <f t="shared" si="96"/>
        <v>238.2697272367603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-6.2527760746888816E-13</v>
      </c>
      <c r="DP117" s="18">
        <f>DO117*VLOOKUP('Données projet'!$B$14,Paramètres!$A$1:$I$89,3,0)*VLOOKUP('Données projet'!$B$14,Paramètres!$A$1:$I$89,5,0)</f>
        <v>-2.9262992029543964E-13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304.1100958939968</v>
      </c>
      <c r="DU117" s="62">
        <f t="shared" si="98"/>
        <v>184.1255966824568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2.4358974358974348</v>
      </c>
      <c r="EJ117" s="13">
        <f>IF('Données projet'!$A$192&gt;35,EJ116+EI117-ER116,IF(A117&lt;'Données projet'!$A$192,$EG$205^A117,IF(A117='Données projet'!$A$192,'Données projet'!$B$192,EJ116+EI117-ER116)))</f>
        <v>252.05128205128202</v>
      </c>
      <c r="EK117" s="18">
        <f>EJ117*VLOOKUP('Données projet'!$B$15,Paramètres!$A$1:$I$89,3,0)*VLOOKUP('Données projet'!$B$15,Paramètres!$A$1:$I$89,5,0)</f>
        <v>255.57999999999998</v>
      </c>
      <c r="EL117" s="14">
        <f t="shared" si="99"/>
        <v>61.779274443155273</v>
      </c>
      <c r="EM117" s="22">
        <f t="shared" si="73"/>
        <v>552.73406965516199</v>
      </c>
      <c r="EN117" s="62">
        <f t="shared" si="74"/>
        <v>827.11616717458105</v>
      </c>
      <c r="EO117" s="62">
        <f ca="1">AVERAGE(OFFSET($EN$3,0,0,'Données projet'!$E$15+1,1))-AVERAGE(OFFSET($H$3,0,0,'Données projet'!$E$15+1,1))</f>
        <v>435.03433721979218</v>
      </c>
      <c r="EP117" s="62">
        <f t="shared" si="100"/>
        <v>267.10015759286387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2.4358974358974348</v>
      </c>
      <c r="FE117" s="13">
        <f>IF('Données projet'!$A$218&gt;35,FE116+FD117-FM116,IF(A117&lt;'Données projet'!$A$218,$FB$205^A117,IF(A117='Données projet'!$A$218,'Données projet'!$B$218,FE116+FD117-FM116)))</f>
        <v>252.05128205128202</v>
      </c>
      <c r="FF117" s="18">
        <f>FE117*VLOOKUP('Données projet'!$B$16,Paramètres!$A$1:$I$89,3,0)*VLOOKUP('Données projet'!$B$16,Paramètres!$A$1:$I$89,5,0)</f>
        <v>263.44399999999996</v>
      </c>
      <c r="FG117" s="14">
        <f t="shared" si="101"/>
        <v>63.455936397792946</v>
      </c>
      <c r="FH117" s="22">
        <f t="shared" si="76"/>
        <v>569.35072255948921</v>
      </c>
      <c r="FI117" s="62">
        <f t="shared" si="77"/>
        <v>843.73282007890816</v>
      </c>
      <c r="FJ117" s="62">
        <f ca="1">AVERAGE(OFFSET($FI$3,0,0,'Données projet'!$E$16+1,1))-AVERAGE(OFFSET($H$3,0,0,'Données projet'!$E$16+1,1))</f>
        <v>445.15313998584293</v>
      </c>
      <c r="FK117" s="62">
        <f t="shared" si="102"/>
        <v>272.85357736694834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-5.6843418860808015E-14</v>
      </c>
      <c r="GA117" s="18">
        <f>FZ117*VLOOKUP('Données projet'!$B$17,Paramètres!$A$1:$I$89,3,0)*VLOOKUP('Données projet'!$B$17,Paramètres!$A$1:$I$89,5,0)</f>
        <v>-4.9658410716801891E-14</v>
      </c>
      <c r="GB117" s="14" t="e">
        <f t="shared" si="103"/>
        <v>#NUM!</v>
      </c>
      <c r="GC117" s="22" t="e">
        <f t="shared" si="79"/>
        <v>#NUM!</v>
      </c>
      <c r="GD117" s="62" t="e">
        <f t="shared" si="80"/>
        <v>#NUM!</v>
      </c>
      <c r="GE117" s="62">
        <f ca="1">AVERAGE(OFFSET($GD$3,0,0,'Données projet'!$E$17+1,1))-AVERAGE(OFFSET($H$3,0,0,'Données projet'!$E$17+1,1))</f>
        <v>248.82613595888964</v>
      </c>
      <c r="GF117" s="62">
        <f t="shared" si="104"/>
        <v>255.8298580882084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135.66666666666666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221.18884567967481</v>
      </c>
      <c r="T118" s="62">
        <f t="shared" si="88"/>
        <v>189.31596996710888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1.3150000000000006</v>
      </c>
      <c r="AI118" s="14">
        <f>IF('Données projet'!$A$62&gt;35,AI117+AH118-AQ117,IF(A118&lt;'Données projet'!$A$62,$AF$205^A118,IF(A118='Données projet'!$A$62,'Données projet'!$B$62,AI117+AH118-AQ117)))</f>
        <v>114.06666666666663</v>
      </c>
      <c r="AJ118" s="14">
        <f>AI118*VLOOKUP('Données projet'!$B$10,Paramètres!$A$1:$I$89,3,0)*VLOOKUP('Données projet'!$B$10,Paramètres!$A$1:$I$89,5,0)</f>
        <v>131.40479999999994</v>
      </c>
      <c r="AK118" s="14">
        <f t="shared" si="89"/>
        <v>34.320764030820762</v>
      </c>
      <c r="AL118" s="22">
        <f t="shared" si="58"/>
        <v>288.63869068701268</v>
      </c>
      <c r="AM118" s="62">
        <f t="shared" si="59"/>
        <v>563.3495497791871</v>
      </c>
      <c r="AN118" s="62">
        <f ca="1">AVERAGE(OFFSET($AM$3,0,0,'Données projet'!$E$10+1,1))-AVERAGE(OFFSET($H$3,0,0,'Données projet'!$E$10+1,1))</f>
        <v>314.72063458462026</v>
      </c>
      <c r="AO118" s="62">
        <f t="shared" si="90"/>
        <v>216.4380325968244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254.48717948717947</v>
      </c>
      <c r="BB118" s="13">
        <f>VLOOKUP(A118,'Données projet'!$A$87:$I$107,9,0)</f>
        <v>2.4358974358974348</v>
      </c>
      <c r="BC118" s="13">
        <f t="array" ref="BC118">INDEX(BB:BB,MIN(IF(ISNUMBER(BB118:BB314),ROW(BB118:BB314),"")))</f>
        <v>2.4358974358974348</v>
      </c>
      <c r="BD118" s="13">
        <f>IF('Données projet'!$A$88&gt;35,BD117+BC118-BL117,IF(A118&lt;'Données projet'!$A$88,$BA$205^A118,IF(A118='Données projet'!$A$88,'Données projet'!$B$88,BD117+BC118-BL117)))</f>
        <v>254.48717948717945</v>
      </c>
      <c r="BE118" s="14">
        <f>BD118*VLOOKUP('Données projet'!$B$11,Paramètres!$A$1:$I$89,3,0)*VLOOKUP('Données projet'!$B$11,Paramètres!$A$1:$I$89,5,0)</f>
        <v>273.92999999999995</v>
      </c>
      <c r="BF118" s="14">
        <f t="shared" si="91"/>
        <v>65.682611724785247</v>
      </c>
      <c r="BG118" s="22">
        <f t="shared" si="61"/>
        <v>591.4919654206675</v>
      </c>
      <c r="BH118" s="62">
        <f t="shared" si="62"/>
        <v>866.20282451284197</v>
      </c>
      <c r="BI118" s="62">
        <f ca="1">AVERAGE(OFFSET($BH$3,0,0,'Données projet'!$E$11+1,1))-AVERAGE(OFFSET($H$3,0,0,'Données projet'!$E$11+1,1))</f>
        <v>455.26558725507834</v>
      </c>
      <c r="BJ118" s="62">
        <f t="shared" si="92"/>
        <v>278.60310966788552</v>
      </c>
      <c r="BK118" s="16">
        <f>IF(ISNA(VLOOKUP(A118,'Données projet'!$A$87:$I$107,3,0)),0,VLOOKUP(A118,'Données projet'!$A$87:$I$107,3,0))</f>
        <v>9</v>
      </c>
      <c r="BL118" s="16">
        <f>IF(ISNA(VLOOKUP(A118,'Données projet'!$A$87:$I$107,4,0)),0,VLOOKUP(A118,'Données projet'!$A$87:$I$107,4,0))</f>
        <v>21.153846153846153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-5.6843418860808015E-14</v>
      </c>
      <c r="BZ118" s="14">
        <f>BY118*VLOOKUP('Données projet'!$B$12,Paramètres!$A$1:$I$89,3,0)*VLOOKUP('Données projet'!$B$12,Paramètres!$A$1:$I$89,5,0)</f>
        <v>-2.9558577807620169E-14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300.72820267660154</v>
      </c>
      <c r="CE118" s="62">
        <f t="shared" si="94"/>
        <v>228.35388778608589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254.48717948717947</v>
      </c>
      <c r="CR118" s="13">
        <f>VLOOKUP(A118,'Données projet'!$A$139:$I$159,9,0)</f>
        <v>2.4358974358974348</v>
      </c>
      <c r="CS118" s="13">
        <f t="array" ref="CS118">INDEX(CR:CR,MIN(IF(ISNUMBER(CR118:CR314),ROW(CR118:CR314),"")))</f>
        <v>2.4358974358974348</v>
      </c>
      <c r="CT118" s="13">
        <f>IF('Données projet'!$A$140&gt;35,CT117+CS118-DB117,IF(A118&lt;'Données projet'!$A$140,$CQ$205^A118,IF(A118='Données projet'!$A$140,'Données projet'!$B$140,CT117+CS118-DB117)))</f>
        <v>254.48717948717945</v>
      </c>
      <c r="CU118" s="18">
        <f>CT118*VLOOKUP('Données projet'!$B$13,Paramètres!$A$1:$I$89,3,0)*VLOOKUP('Données projet'!$B$13,Paramètres!$A$1:$I$89,5,0)</f>
        <v>218.35</v>
      </c>
      <c r="CV118" s="14">
        <f t="shared" si="95"/>
        <v>53.756109396942762</v>
      </c>
      <c r="CW118" s="22">
        <f t="shared" si="67"/>
        <v>473.91814053300862</v>
      </c>
      <c r="CX118" s="62">
        <f t="shared" si="68"/>
        <v>748.62899962518304</v>
      </c>
      <c r="CY118" s="62">
        <f ca="1">AVERAGE(OFFSET($CX$3,0,0,'Données projet'!$E$13+1,1))-AVERAGE(OFFSET($H$3,0,0,'Données projet'!$E$13+1,1))</f>
        <v>384.3367849108829</v>
      </c>
      <c r="CZ118" s="62">
        <f t="shared" si="96"/>
        <v>238.2697272367603</v>
      </c>
      <c r="DA118" s="16">
        <f>IF(ISNA(VLOOKUP(A118,'Données projet'!$A$139:$I$159,3,0)),0,VLOOKUP(A118,'Données projet'!$A$139:$I$159,3,0))</f>
        <v>9</v>
      </c>
      <c r="DB118" s="16">
        <f>IF(ISNA(VLOOKUP(A118,'Données projet'!$A$139:$I$159,4,0)),0,VLOOKUP(A118,'Données projet'!$A$139:$I$159,4,0))</f>
        <v>21.153846153846153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-6.2527760746888816E-13</v>
      </c>
      <c r="DP118" s="18">
        <f>DO118*VLOOKUP('Données projet'!$B$14,Paramètres!$A$1:$I$89,3,0)*VLOOKUP('Données projet'!$B$14,Paramètres!$A$1:$I$89,5,0)</f>
        <v>-2.9262992029543964E-13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304.1100958939968</v>
      </c>
      <c r="DU118" s="62">
        <f t="shared" si="98"/>
        <v>184.1255966824568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>
        <f>VLOOKUP(A118,'Données projet'!$A$191:$I$211,2,0)</f>
        <v>254.48717948717947</v>
      </c>
      <c r="EH118" s="13">
        <f>VLOOKUP(A118,'Données projet'!$A$191:$I$211,9,0)</f>
        <v>2.4358974358974348</v>
      </c>
      <c r="EI118" s="13">
        <f t="array" ref="EI118">INDEX(EH:EH,MIN(IF(ISNUMBER(EH118:EH314),ROW(EH118:EH314),"")))</f>
        <v>2.4358974358974348</v>
      </c>
      <c r="EJ118" s="13">
        <f>IF('Données projet'!$A$192&gt;35,EJ117+EI118-ER117,IF(A118&lt;'Données projet'!$A$192,$EG$205^A118,IF(A118='Données projet'!$A$192,'Données projet'!$B$192,EJ117+EI118-ER117)))</f>
        <v>254.48717948717945</v>
      </c>
      <c r="EK118" s="18">
        <f>EJ118*VLOOKUP('Données projet'!$B$15,Paramètres!$A$1:$I$89,3,0)*VLOOKUP('Données projet'!$B$15,Paramètres!$A$1:$I$89,5,0)</f>
        <v>258.05</v>
      </c>
      <c r="EL118" s="14">
        <f t="shared" si="99"/>
        <v>62.306534812926863</v>
      </c>
      <c r="EM118" s="22">
        <f t="shared" si="73"/>
        <v>557.95429813251428</v>
      </c>
      <c r="EN118" s="62">
        <f t="shared" si="74"/>
        <v>832.66515722468876</v>
      </c>
      <c r="EO118" s="62">
        <f ca="1">AVERAGE(OFFSET($EN$3,0,0,'Données projet'!$E$15+1,1))-AVERAGE(OFFSET($H$3,0,0,'Données projet'!$E$15+1,1))</f>
        <v>435.03433721979218</v>
      </c>
      <c r="EP118" s="62">
        <f t="shared" si="100"/>
        <v>267.10015759286387</v>
      </c>
      <c r="EQ118" s="16">
        <f>IF(ISNA(VLOOKUP(A118,'Données projet'!$A$191:$I$211,3,0)),0,VLOOKUP(A118,'Données projet'!$A$191:$I$211,3,0))</f>
        <v>9</v>
      </c>
      <c r="ER118" s="16">
        <f>IF(ISNA(VLOOKUP(A118,'Données projet'!$A$191:$I$211,4,0)),0,VLOOKUP(A118,'Données projet'!$A$191:$I$211,4,0))</f>
        <v>21.153846153846153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>
        <f>VLOOKUP(A118,'Données projet'!$A$217:$I$237,2,0)</f>
        <v>254.48717948717947</v>
      </c>
      <c r="FC118" s="13">
        <f>VLOOKUP(A118,'Données projet'!$A$217:$I$237,9,0)</f>
        <v>2.4358974358974348</v>
      </c>
      <c r="FD118" s="13">
        <f t="array" ref="FD118">INDEX(FC:FC,MIN(IF(ISNUMBER(FC118:FC314),ROW(FC118:FC314),"")))</f>
        <v>2.4358974358974348</v>
      </c>
      <c r="FE118" s="13">
        <f>IF('Données projet'!$A$218&gt;35,FE117+FD118-FM117,IF(A118&lt;'Données projet'!$A$218,$FB$205^A118,IF(A118='Données projet'!$A$218,'Données projet'!$B$218,FE117+FD118-FM117)))</f>
        <v>254.48717948717945</v>
      </c>
      <c r="FF118" s="18">
        <f>FE118*VLOOKUP('Données projet'!$B$16,Paramètres!$A$1:$I$89,3,0)*VLOOKUP('Données projet'!$B$16,Paramètres!$A$1:$I$89,5,0)</f>
        <v>265.99</v>
      </c>
      <c r="FG118" s="14">
        <f t="shared" si="101"/>
        <v>63.997506378840363</v>
      </c>
      <c r="FH118" s="22">
        <f t="shared" si="76"/>
        <v>574.72824027648028</v>
      </c>
      <c r="FI118" s="62">
        <f t="shared" si="77"/>
        <v>849.43909936865475</v>
      </c>
      <c r="FJ118" s="62">
        <f ca="1">AVERAGE(OFFSET($FI$3,0,0,'Données projet'!$E$16+1,1))-AVERAGE(OFFSET($H$3,0,0,'Données projet'!$E$16+1,1))</f>
        <v>445.15313998584293</v>
      </c>
      <c r="FK118" s="62">
        <f t="shared" si="102"/>
        <v>272.85357736694834</v>
      </c>
      <c r="FL118" s="16">
        <f>IF(ISNA(VLOOKUP(A118,'Données projet'!$A$217:$I$237,3,0)),0,VLOOKUP(A118,'Données projet'!$A$217:$I$237,3,0))</f>
        <v>9</v>
      </c>
      <c r="FM118" s="16">
        <f>IF(ISNA(VLOOKUP(A118,'Données projet'!$A$217:$I$237,4,0)),0,VLOOKUP(A118,'Données projet'!$A$217:$I$237,4,0))</f>
        <v>21.153846153846153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-5.6843418860808015E-14</v>
      </c>
      <c r="GA118" s="18">
        <f>FZ118*VLOOKUP('Données projet'!$B$17,Paramètres!$A$1:$I$89,3,0)*VLOOKUP('Données projet'!$B$17,Paramètres!$A$1:$I$89,5,0)</f>
        <v>-4.9658410716801891E-14</v>
      </c>
      <c r="GB118" s="14" t="e">
        <f t="shared" si="103"/>
        <v>#NUM!</v>
      </c>
      <c r="GC118" s="22" t="e">
        <f t="shared" si="79"/>
        <v>#NUM!</v>
      </c>
      <c r="GD118" s="62" t="e">
        <f t="shared" si="80"/>
        <v>#NUM!</v>
      </c>
      <c r="GE118" s="62">
        <f ca="1">AVERAGE(OFFSET($GD$3,0,0,'Données projet'!$E$17+1,1))-AVERAGE(OFFSET($H$3,0,0,'Données projet'!$E$17+1,1))</f>
        <v>248.82613595888964</v>
      </c>
      <c r="GF118" s="62">
        <f t="shared" si="104"/>
        <v>255.8298580882084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135.66666666666666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221.18884567967481</v>
      </c>
      <c r="T119" s="62">
        <f t="shared" si="88"/>
        <v>189.31596996710888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1.3150000000000006</v>
      </c>
      <c r="AI119" s="14">
        <f>IF('Données projet'!$A$62&gt;35,AI118+AH119-AQ118,IF(A119&lt;'Données projet'!$A$62,$AF$205^A119,IF(A119='Données projet'!$A$62,'Données projet'!$B$62,AI118+AH119-AQ118)))</f>
        <v>115.38166666666663</v>
      </c>
      <c r="AJ119" s="14">
        <f>AI119*VLOOKUP('Données projet'!$B$10,Paramètres!$A$1:$I$89,3,0)*VLOOKUP('Données projet'!$B$10,Paramètres!$A$1:$I$89,5,0)</f>
        <v>132.91967999999994</v>
      </c>
      <c r="AK119" s="14">
        <f t="shared" si="89"/>
        <v>34.670137089980948</v>
      </c>
      <c r="AL119" s="22">
        <f t="shared" si="58"/>
        <v>291.88559809838341</v>
      </c>
      <c r="AM119" s="62">
        <f t="shared" si="59"/>
        <v>566.91951548502675</v>
      </c>
      <c r="AN119" s="62">
        <f ca="1">AVERAGE(OFFSET($AM$3,0,0,'Données projet'!$E$10+1,1))-AVERAGE(OFFSET($H$3,0,0,'Données projet'!$E$10+1,1))</f>
        <v>314.72063458462026</v>
      </c>
      <c r="AO119" s="62">
        <f t="shared" si="90"/>
        <v>216.4380325968244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2.1367521367521363</v>
      </c>
      <c r="BD119" s="13">
        <f>IF('Données projet'!$A$88&gt;35,BD118+BC119-BL118,IF(A119&lt;'Données projet'!$A$88,$BA$205^A119,IF(A119='Données projet'!$A$88,'Données projet'!$B$88,BD118+BC119-BL118)))</f>
        <v>235.47008547008542</v>
      </c>
      <c r="BE119" s="14">
        <f>BD119*VLOOKUP('Données projet'!$B$11,Paramètres!$A$1:$I$89,3,0)*VLOOKUP('Données projet'!$B$11,Paramètres!$A$1:$I$89,5,0)</f>
        <v>253.45999999999992</v>
      </c>
      <c r="BF119" s="14">
        <f t="shared" si="91"/>
        <v>61.326254036809374</v>
      </c>
      <c r="BG119" s="22">
        <f t="shared" si="61"/>
        <v>548.25272578077613</v>
      </c>
      <c r="BH119" s="62">
        <f t="shared" si="62"/>
        <v>823.28664316741947</v>
      </c>
      <c r="BI119" s="62">
        <f ca="1">AVERAGE(OFFSET($BH$3,0,0,'Données projet'!$E$11+1,1))-AVERAGE(OFFSET($H$3,0,0,'Données projet'!$E$11+1,1))</f>
        <v>455.26558725507834</v>
      </c>
      <c r="BJ119" s="62">
        <f t="shared" si="92"/>
        <v>278.60310966788552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-5.6843418860808015E-14</v>
      </c>
      <c r="BZ119" s="14">
        <f>BY119*VLOOKUP('Données projet'!$B$12,Paramètres!$A$1:$I$89,3,0)*VLOOKUP('Données projet'!$B$12,Paramètres!$A$1:$I$89,5,0)</f>
        <v>-2.9558577807620169E-14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300.72820267660154</v>
      </c>
      <c r="CE119" s="62">
        <f t="shared" si="94"/>
        <v>228.35388778608589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2.1367521367521363</v>
      </c>
      <c r="CT119" s="13">
        <f>IF('Données projet'!$A$140&gt;35,CT118+CS119-DB118,IF(A119&lt;'Données projet'!$A$140,$CQ$205^A119,IF(A119='Données projet'!$A$140,'Données projet'!$B$140,CT118+CS119-DB118)))</f>
        <v>235.47008547008542</v>
      </c>
      <c r="CU119" s="18">
        <f>CT119*VLOOKUP('Données projet'!$B$13,Paramètres!$A$1:$I$89,3,0)*VLOOKUP('Données projet'!$B$13,Paramètres!$A$1:$I$89,5,0)</f>
        <v>202.03333333333333</v>
      </c>
      <c r="CV119" s="14">
        <f t="shared" si="95"/>
        <v>50.190769434088089</v>
      </c>
      <c r="CW119" s="22">
        <f t="shared" si="67"/>
        <v>439.29031231992559</v>
      </c>
      <c r="CX119" s="62">
        <f t="shared" si="68"/>
        <v>714.32422970656899</v>
      </c>
      <c r="CY119" s="62">
        <f ca="1">AVERAGE(OFFSET($CX$3,0,0,'Données projet'!$E$13+1,1))-AVERAGE(OFFSET($H$3,0,0,'Données projet'!$E$13+1,1))</f>
        <v>384.3367849108829</v>
      </c>
      <c r="CZ119" s="62">
        <f t="shared" si="96"/>
        <v>238.2697272367603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-6.2527760746888816E-13</v>
      </c>
      <c r="DP119" s="18">
        <f>DO119*VLOOKUP('Données projet'!$B$14,Paramètres!$A$1:$I$89,3,0)*VLOOKUP('Données projet'!$B$14,Paramètres!$A$1:$I$89,5,0)</f>
        <v>-2.9262992029543964E-13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304.1100958939968</v>
      </c>
      <c r="DU119" s="62">
        <f t="shared" si="98"/>
        <v>184.1255966824568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2.1367521367521363</v>
      </c>
      <c r="EJ119" s="13">
        <f>IF('Données projet'!$A$192&gt;35,EJ118+EI119-ER118,IF(A119&lt;'Données projet'!$A$192,$EG$205^A119,IF(A119='Données projet'!$A$192,'Données projet'!$B$192,EJ118+EI119-ER118)))</f>
        <v>235.47008547008542</v>
      </c>
      <c r="EK119" s="18">
        <f>EJ119*VLOOKUP('Données projet'!$B$15,Paramètres!$A$1:$I$89,3,0)*VLOOKUP('Données projet'!$B$15,Paramètres!$A$1:$I$89,5,0)</f>
        <v>238.76666666666665</v>
      </c>
      <c r="EL119" s="14">
        <f t="shared" si="99"/>
        <v>58.174093291253833</v>
      </c>
      <c r="EM119" s="22">
        <f t="shared" si="73"/>
        <v>517.17182359337812</v>
      </c>
      <c r="EN119" s="62">
        <f t="shared" si="74"/>
        <v>792.20574098002146</v>
      </c>
      <c r="EO119" s="62">
        <f ca="1">AVERAGE(OFFSET($EN$3,0,0,'Données projet'!$E$15+1,1))-AVERAGE(OFFSET($H$3,0,0,'Données projet'!$E$15+1,1))</f>
        <v>435.03433721979218</v>
      </c>
      <c r="EP119" s="62">
        <f t="shared" si="100"/>
        <v>267.10015759286387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2.1367521367521363</v>
      </c>
      <c r="FE119" s="13">
        <f>IF('Données projet'!$A$218&gt;35,FE118+FD119-FM118,IF(A119&lt;'Données projet'!$A$218,$FB$205^A119,IF(A119='Données projet'!$A$218,'Données projet'!$B$218,FE118+FD119-FM118)))</f>
        <v>235.47008547008542</v>
      </c>
      <c r="FF119" s="18">
        <f>FE119*VLOOKUP('Données projet'!$B$16,Paramètres!$A$1:$I$89,3,0)*VLOOKUP('Données projet'!$B$16,Paramètres!$A$1:$I$89,5,0)</f>
        <v>246.11333333333332</v>
      </c>
      <c r="FG119" s="14">
        <f t="shared" si="101"/>
        <v>59.752912237350962</v>
      </c>
      <c r="FH119" s="22">
        <f t="shared" si="76"/>
        <v>532.71704436894174</v>
      </c>
      <c r="FI119" s="62">
        <f t="shared" si="77"/>
        <v>807.75096175558508</v>
      </c>
      <c r="FJ119" s="62">
        <f ca="1">AVERAGE(OFFSET($FI$3,0,0,'Données projet'!$E$16+1,1))-AVERAGE(OFFSET($H$3,0,0,'Données projet'!$E$16+1,1))</f>
        <v>445.15313998584293</v>
      </c>
      <c r="FK119" s="62">
        <f t="shared" si="102"/>
        <v>272.85357736694834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-5.6843418860808015E-14</v>
      </c>
      <c r="GA119" s="18">
        <f>FZ119*VLOOKUP('Données projet'!$B$17,Paramètres!$A$1:$I$89,3,0)*VLOOKUP('Données projet'!$B$17,Paramètres!$A$1:$I$89,5,0)</f>
        <v>-4.9658410716801891E-14</v>
      </c>
      <c r="GB119" s="14" t="e">
        <f t="shared" si="103"/>
        <v>#NUM!</v>
      </c>
      <c r="GC119" s="22" t="e">
        <f t="shared" si="79"/>
        <v>#NUM!</v>
      </c>
      <c r="GD119" s="62" t="e">
        <f t="shared" si="80"/>
        <v>#NUM!</v>
      </c>
      <c r="GE119" s="62">
        <f ca="1">AVERAGE(OFFSET($GD$3,0,0,'Données projet'!$E$17+1,1))-AVERAGE(OFFSET($H$3,0,0,'Données projet'!$E$17+1,1))</f>
        <v>248.82613595888964</v>
      </c>
      <c r="GF119" s="62">
        <f t="shared" si="104"/>
        <v>255.8298580882084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135.66666666666666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221.18884567967481</v>
      </c>
      <c r="T120" s="62">
        <f t="shared" si="88"/>
        <v>189.31596996710888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1.3150000000000006</v>
      </c>
      <c r="AI120" s="14">
        <f>IF('Données projet'!$A$62&gt;35,AI119+AH120-AQ119,IF(A120&lt;'Données projet'!$A$62,$AF$205^A120,IF(A120='Données projet'!$A$62,'Données projet'!$B$62,AI119+AH120-AQ119)))</f>
        <v>116.69666666666663</v>
      </c>
      <c r="AJ120" s="14">
        <f>AI120*VLOOKUP('Données projet'!$B$10,Paramètres!$A$1:$I$89,3,0)*VLOOKUP('Données projet'!$B$10,Paramètres!$A$1:$I$89,5,0)</f>
        <v>134.43455999999995</v>
      </c>
      <c r="AK120" s="14">
        <f t="shared" si="89"/>
        <v>35.019046965466664</v>
      </c>
      <c r="AL120" s="22">
        <f t="shared" si="58"/>
        <v>295.13169879818764</v>
      </c>
      <c r="AM120" s="62">
        <f t="shared" si="59"/>
        <v>570.48307014014085</v>
      </c>
      <c r="AN120" s="62">
        <f ca="1">AVERAGE(OFFSET($AM$3,0,0,'Données projet'!$E$10+1,1))-AVERAGE(OFFSET($H$3,0,0,'Données projet'!$E$10+1,1))</f>
        <v>314.72063458462026</v>
      </c>
      <c r="AO120" s="62">
        <f t="shared" si="90"/>
        <v>216.4380325968244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2.1367521367521363</v>
      </c>
      <c r="BD120" s="13">
        <f>IF('Données projet'!$A$88&gt;35,BD119+BC120-BL119,IF(A120&lt;'Données projet'!$A$88,$BA$205^A120,IF(A120='Données projet'!$A$88,'Données projet'!$B$88,BD119+BC120-BL119)))</f>
        <v>237.60683760683756</v>
      </c>
      <c r="BE120" s="14">
        <f>BD120*VLOOKUP('Données projet'!$B$11,Paramètres!$A$1:$I$89,3,0)*VLOOKUP('Données projet'!$B$11,Paramètres!$A$1:$I$89,5,0)</f>
        <v>255.75999999999993</v>
      </c>
      <c r="BF120" s="14">
        <f t="shared" si="91"/>
        <v>61.817718247026235</v>
      </c>
      <c r="BG120" s="22">
        <f t="shared" si="61"/>
        <v>553.11452594690388</v>
      </c>
      <c r="BH120" s="62">
        <f t="shared" si="62"/>
        <v>828.46589728885715</v>
      </c>
      <c r="BI120" s="62">
        <f ca="1">AVERAGE(OFFSET($BH$3,0,0,'Données projet'!$E$11+1,1))-AVERAGE(OFFSET($H$3,0,0,'Données projet'!$E$11+1,1))</f>
        <v>455.26558725507834</v>
      </c>
      <c r="BJ120" s="62">
        <f t="shared" si="92"/>
        <v>278.60310966788552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-5.6843418860808015E-14</v>
      </c>
      <c r="BZ120" s="14">
        <f>BY120*VLOOKUP('Données projet'!$B$12,Paramètres!$A$1:$I$89,3,0)*VLOOKUP('Données projet'!$B$12,Paramètres!$A$1:$I$89,5,0)</f>
        <v>-2.9558577807620169E-14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300.72820267660154</v>
      </c>
      <c r="CE120" s="62">
        <f t="shared" si="94"/>
        <v>228.35388778608589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2.1367521367521363</v>
      </c>
      <c r="CT120" s="13">
        <f>IF('Données projet'!$A$140&gt;35,CT119+CS120-DB119,IF(A120&lt;'Données projet'!$A$140,$CQ$205^A120,IF(A120='Données projet'!$A$140,'Données projet'!$B$140,CT119+CS120-DB119)))</f>
        <v>237.60683760683756</v>
      </c>
      <c r="CU120" s="18">
        <f>CT120*VLOOKUP('Données projet'!$B$13,Paramètres!$A$1:$I$89,3,0)*VLOOKUP('Données projet'!$B$13,Paramètres!$A$1:$I$89,5,0)</f>
        <v>203.86666666666667</v>
      </c>
      <c r="CV120" s="14">
        <f t="shared" si="95"/>
        <v>50.592994667758774</v>
      </c>
      <c r="CW120" s="22">
        <f t="shared" si="67"/>
        <v>443.18391015745766</v>
      </c>
      <c r="CX120" s="62">
        <f t="shared" si="68"/>
        <v>718.53528149941098</v>
      </c>
      <c r="CY120" s="62">
        <f ca="1">AVERAGE(OFFSET($CX$3,0,0,'Données projet'!$E$13+1,1))-AVERAGE(OFFSET($H$3,0,0,'Données projet'!$E$13+1,1))</f>
        <v>384.3367849108829</v>
      </c>
      <c r="CZ120" s="62">
        <f t="shared" si="96"/>
        <v>238.2697272367603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-6.2527760746888816E-13</v>
      </c>
      <c r="DP120" s="18">
        <f>DO120*VLOOKUP('Données projet'!$B$14,Paramètres!$A$1:$I$89,3,0)*VLOOKUP('Données projet'!$B$14,Paramètres!$A$1:$I$89,5,0)</f>
        <v>-2.9262992029543964E-13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304.1100958939968</v>
      </c>
      <c r="DU120" s="62">
        <f t="shared" si="98"/>
        <v>184.1255966824568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2.1367521367521363</v>
      </c>
      <c r="EJ120" s="13">
        <f>IF('Données projet'!$A$192&gt;35,EJ119+EI120-ER119,IF(A120&lt;'Données projet'!$A$192,$EG$205^A120,IF(A120='Données projet'!$A$192,'Données projet'!$B$192,EJ119+EI120-ER119)))</f>
        <v>237.60683760683756</v>
      </c>
      <c r="EK120" s="18">
        <f>EJ120*VLOOKUP('Données projet'!$B$15,Paramètres!$A$1:$I$89,3,0)*VLOOKUP('Données projet'!$B$15,Paramètres!$A$1:$I$89,5,0)</f>
        <v>240.93333333333331</v>
      </c>
      <c r="EL120" s="14">
        <f t="shared" si="99"/>
        <v>58.640296310882427</v>
      </c>
      <c r="EM120" s="22">
        <f t="shared" si="73"/>
        <v>521.75740496367564</v>
      </c>
      <c r="EN120" s="62">
        <f t="shared" si="74"/>
        <v>797.10877630562891</v>
      </c>
      <c r="EO120" s="62">
        <f ca="1">AVERAGE(OFFSET($EN$3,0,0,'Données projet'!$E$15+1,1))-AVERAGE(OFFSET($H$3,0,0,'Données projet'!$E$15+1,1))</f>
        <v>435.03433721979218</v>
      </c>
      <c r="EP120" s="62">
        <f t="shared" si="100"/>
        <v>267.10015759286387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2.1367521367521363</v>
      </c>
      <c r="FE120" s="13">
        <f>IF('Données projet'!$A$218&gt;35,FE119+FD120-FM119,IF(A120&lt;'Données projet'!$A$218,$FB$205^A120,IF(A120='Données projet'!$A$218,'Données projet'!$B$218,FE119+FD120-FM119)))</f>
        <v>237.60683760683756</v>
      </c>
      <c r="FF120" s="18">
        <f>FE120*VLOOKUP('Données projet'!$B$16,Paramètres!$A$1:$I$89,3,0)*VLOOKUP('Données projet'!$B$16,Paramètres!$A$1:$I$89,5,0)</f>
        <v>248.34666666666664</v>
      </c>
      <c r="FG120" s="14">
        <f t="shared" si="101"/>
        <v>60.231767799004281</v>
      </c>
      <c r="FH120" s="22">
        <f t="shared" si="76"/>
        <v>537.4407733610434</v>
      </c>
      <c r="FI120" s="62">
        <f t="shared" si="77"/>
        <v>812.79214470299667</v>
      </c>
      <c r="FJ120" s="62">
        <f ca="1">AVERAGE(OFFSET($FI$3,0,0,'Données projet'!$E$16+1,1))-AVERAGE(OFFSET($H$3,0,0,'Données projet'!$E$16+1,1))</f>
        <v>445.15313998584293</v>
      </c>
      <c r="FK120" s="62">
        <f t="shared" si="102"/>
        <v>272.85357736694834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-5.6843418860808015E-14</v>
      </c>
      <c r="GA120" s="18">
        <f>FZ120*VLOOKUP('Données projet'!$B$17,Paramètres!$A$1:$I$89,3,0)*VLOOKUP('Données projet'!$B$17,Paramètres!$A$1:$I$89,5,0)</f>
        <v>-4.9658410716801891E-14</v>
      </c>
      <c r="GB120" s="14" t="e">
        <f t="shared" si="103"/>
        <v>#NUM!</v>
      </c>
      <c r="GC120" s="22" t="e">
        <f t="shared" si="79"/>
        <v>#NUM!</v>
      </c>
      <c r="GD120" s="62" t="e">
        <f t="shared" si="80"/>
        <v>#NUM!</v>
      </c>
      <c r="GE120" s="62">
        <f ca="1">AVERAGE(OFFSET($GD$3,0,0,'Données projet'!$E$17+1,1))-AVERAGE(OFFSET($H$3,0,0,'Données projet'!$E$17+1,1))</f>
        <v>248.82613595888964</v>
      </c>
      <c r="GF120" s="62">
        <f t="shared" si="104"/>
        <v>255.8298580882084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135.66666666666666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221.18884567967481</v>
      </c>
      <c r="T121" s="62">
        <f t="shared" si="88"/>
        <v>189.31596996710888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1.3150000000000006</v>
      </c>
      <c r="AI121" s="14">
        <f>IF('Données projet'!$A$62&gt;35,AI120+AH121-AQ120,IF(A121&lt;'Données projet'!$A$62,$AF$205^A121,IF(A121='Données projet'!$A$62,'Données projet'!$B$62,AI120+AH121-AQ120)))</f>
        <v>118.01166666666663</v>
      </c>
      <c r="AJ121" s="14">
        <f>AI121*VLOOKUP('Données projet'!$B$10,Paramètres!$A$1:$I$89,3,0)*VLOOKUP('Données projet'!$B$10,Paramètres!$A$1:$I$89,5,0)</f>
        <v>135.94943999999995</v>
      </c>
      <c r="AK121" s="14">
        <f t="shared" si="89"/>
        <v>35.367499480643595</v>
      </c>
      <c r="AL121" s="22">
        <f t="shared" si="58"/>
        <v>298.37700292878753</v>
      </c>
      <c r="AM121" s="62">
        <f t="shared" si="59"/>
        <v>574.04032110964681</v>
      </c>
      <c r="AN121" s="62">
        <f ca="1">AVERAGE(OFFSET($AM$3,0,0,'Données projet'!$E$10+1,1))-AVERAGE(OFFSET($H$3,0,0,'Données projet'!$E$10+1,1))</f>
        <v>314.72063458462026</v>
      </c>
      <c r="AO121" s="62">
        <f t="shared" si="90"/>
        <v>216.4380325968244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2.1367521367521363</v>
      </c>
      <c r="BD121" s="13">
        <f>IF('Données projet'!$A$88&gt;35,BD120+BC121-BL120,IF(A121&lt;'Données projet'!$A$88,$BA$205^A121,IF(A121='Données projet'!$A$88,'Données projet'!$B$88,BD120+BC121-BL120)))</f>
        <v>239.74358974358969</v>
      </c>
      <c r="BE121" s="14">
        <f>BD121*VLOOKUP('Données projet'!$B$11,Paramètres!$A$1:$I$89,3,0)*VLOOKUP('Données projet'!$B$11,Paramètres!$A$1:$I$89,5,0)</f>
        <v>258.05999999999995</v>
      </c>
      <c r="BF121" s="14">
        <f t="shared" si="91"/>
        <v>62.30866827272127</v>
      </c>
      <c r="BG121" s="22">
        <f t="shared" si="61"/>
        <v>557.97543057498933</v>
      </c>
      <c r="BH121" s="62">
        <f t="shared" si="62"/>
        <v>833.63874875584861</v>
      </c>
      <c r="BI121" s="62">
        <f ca="1">AVERAGE(OFFSET($BH$3,0,0,'Données projet'!$E$11+1,1))-AVERAGE(OFFSET($H$3,0,0,'Données projet'!$E$11+1,1))</f>
        <v>455.26558725507834</v>
      </c>
      <c r="BJ121" s="62">
        <f t="shared" si="92"/>
        <v>278.60310966788552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-5.6843418860808015E-14</v>
      </c>
      <c r="BZ121" s="14">
        <f>BY121*VLOOKUP('Données projet'!$B$12,Paramètres!$A$1:$I$89,3,0)*VLOOKUP('Données projet'!$B$12,Paramètres!$A$1:$I$89,5,0)</f>
        <v>-2.9558577807620169E-14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300.72820267660154</v>
      </c>
      <c r="CE121" s="62">
        <f t="shared" si="94"/>
        <v>228.35388778608589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2.1367521367521363</v>
      </c>
      <c r="CT121" s="13">
        <f>IF('Données projet'!$A$140&gt;35,CT120+CS121-DB120,IF(A121&lt;'Données projet'!$A$140,$CQ$205^A121,IF(A121='Données projet'!$A$140,'Données projet'!$B$140,CT120+CS121-DB120)))</f>
        <v>239.74358974358969</v>
      </c>
      <c r="CU121" s="18">
        <f>CT121*VLOOKUP('Données projet'!$B$13,Paramètres!$A$1:$I$89,3,0)*VLOOKUP('Données projet'!$B$13,Paramètres!$A$1:$I$89,5,0)</f>
        <v>205.69999999999996</v>
      </c>
      <c r="CV121" s="14">
        <f t="shared" si="95"/>
        <v>50.994799081387661</v>
      </c>
      <c r="CW121" s="22">
        <f t="shared" si="67"/>
        <v>447.07677506675009</v>
      </c>
      <c r="CX121" s="62">
        <f t="shared" si="68"/>
        <v>722.74009324760937</v>
      </c>
      <c r="CY121" s="62">
        <f ca="1">AVERAGE(OFFSET($CX$3,0,0,'Données projet'!$E$13+1,1))-AVERAGE(OFFSET($H$3,0,0,'Données projet'!$E$13+1,1))</f>
        <v>384.3367849108829</v>
      </c>
      <c r="CZ121" s="62">
        <f t="shared" si="96"/>
        <v>238.2697272367603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-6.2527760746888816E-13</v>
      </c>
      <c r="DP121" s="18">
        <f>DO121*VLOOKUP('Données projet'!$B$14,Paramètres!$A$1:$I$89,3,0)*VLOOKUP('Données projet'!$B$14,Paramètres!$A$1:$I$89,5,0)</f>
        <v>-2.9262992029543964E-13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304.1100958939968</v>
      </c>
      <c r="DU121" s="62">
        <f t="shared" si="98"/>
        <v>184.1255966824568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2.1367521367521363</v>
      </c>
      <c r="EJ121" s="13">
        <f>IF('Données projet'!$A$192&gt;35,EJ120+EI121-ER120,IF(A121&lt;'Données projet'!$A$192,$EG$205^A121,IF(A121='Données projet'!$A$192,'Données projet'!$B$192,EJ120+EI121-ER120)))</f>
        <v>239.74358974358969</v>
      </c>
      <c r="EK121" s="18">
        <f>EJ121*VLOOKUP('Données projet'!$B$15,Paramètres!$A$1:$I$89,3,0)*VLOOKUP('Données projet'!$B$15,Paramètres!$A$1:$I$89,5,0)</f>
        <v>243.09999999999997</v>
      </c>
      <c r="EL121" s="14">
        <f t="shared" si="99"/>
        <v>59.10601157500043</v>
      </c>
      <c r="EM121" s="22">
        <f t="shared" si="73"/>
        <v>526.34213682645907</v>
      </c>
      <c r="EN121" s="62">
        <f t="shared" si="74"/>
        <v>802.00545500731846</v>
      </c>
      <c r="EO121" s="62">
        <f ca="1">AVERAGE(OFFSET($EN$3,0,0,'Données projet'!$E$15+1,1))-AVERAGE(OFFSET($H$3,0,0,'Données projet'!$E$15+1,1))</f>
        <v>435.03433721979218</v>
      </c>
      <c r="EP121" s="62">
        <f t="shared" si="100"/>
        <v>267.10015759286387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2.1367521367521363</v>
      </c>
      <c r="FE121" s="13">
        <f>IF('Données projet'!$A$218&gt;35,FE120+FD121-FM120,IF(A121&lt;'Données projet'!$A$218,$FB$205^A121,IF(A121='Données projet'!$A$218,'Données projet'!$B$218,FE120+FD121-FM120)))</f>
        <v>239.74358974358969</v>
      </c>
      <c r="FF121" s="18">
        <f>FE121*VLOOKUP('Données projet'!$B$16,Paramètres!$A$1:$I$89,3,0)*VLOOKUP('Données projet'!$B$16,Paramètres!$A$1:$I$89,5,0)</f>
        <v>250.57999999999998</v>
      </c>
      <c r="FG121" s="14">
        <f t="shared" si="101"/>
        <v>60.710122367679979</v>
      </c>
      <c r="FH121" s="22">
        <f t="shared" si="76"/>
        <v>542.16362979037581</v>
      </c>
      <c r="FI121" s="62">
        <f t="shared" si="77"/>
        <v>817.82694797123509</v>
      </c>
      <c r="FJ121" s="62">
        <f ca="1">AVERAGE(OFFSET($FI$3,0,0,'Données projet'!$E$16+1,1))-AVERAGE(OFFSET($H$3,0,0,'Données projet'!$E$16+1,1))</f>
        <v>445.15313998584293</v>
      </c>
      <c r="FK121" s="62">
        <f t="shared" si="102"/>
        <v>272.85357736694834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-5.6843418860808015E-14</v>
      </c>
      <c r="GA121" s="18">
        <f>FZ121*VLOOKUP('Données projet'!$B$17,Paramètres!$A$1:$I$89,3,0)*VLOOKUP('Données projet'!$B$17,Paramètres!$A$1:$I$89,5,0)</f>
        <v>-4.9658410716801891E-14</v>
      </c>
      <c r="GB121" s="14" t="e">
        <f t="shared" si="103"/>
        <v>#NUM!</v>
      </c>
      <c r="GC121" s="22" t="e">
        <f t="shared" si="79"/>
        <v>#NUM!</v>
      </c>
      <c r="GD121" s="62" t="e">
        <f t="shared" si="80"/>
        <v>#NUM!</v>
      </c>
      <c r="GE121" s="62">
        <f ca="1">AVERAGE(OFFSET($GD$3,0,0,'Données projet'!$E$17+1,1))-AVERAGE(OFFSET($H$3,0,0,'Données projet'!$E$17+1,1))</f>
        <v>248.82613595888964</v>
      </c>
      <c r="GF121" s="62">
        <f t="shared" si="104"/>
        <v>255.8298580882084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135.66666666666666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221.18884567967481</v>
      </c>
      <c r="T122" s="62">
        <f t="shared" si="88"/>
        <v>189.31596996710888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1.3150000000000006</v>
      </c>
      <c r="AI122" s="14">
        <f>IF('Données projet'!$A$62&gt;35,AI121+AH122-AQ121,IF(A122&lt;'Données projet'!$A$62,$AF$205^A122,IF(A122='Données projet'!$A$62,'Données projet'!$B$62,AI121+AH122-AQ121)))</f>
        <v>119.32666666666663</v>
      </c>
      <c r="AJ122" s="14">
        <f>AI122*VLOOKUP('Données projet'!$B$10,Paramètres!$A$1:$I$89,3,0)*VLOOKUP('Données projet'!$B$10,Paramètres!$A$1:$I$89,5,0)</f>
        <v>137.46431999999996</v>
      </c>
      <c r="AK122" s="14">
        <f t="shared" si="89"/>
        <v>35.715500321625576</v>
      </c>
      <c r="AL122" s="22">
        <f t="shared" si="58"/>
        <v>301.6215203934978</v>
      </c>
      <c r="AM122" s="62">
        <f t="shared" si="59"/>
        <v>577.59137383301686</v>
      </c>
      <c r="AN122" s="62">
        <f ca="1">AVERAGE(OFFSET($AM$3,0,0,'Données projet'!$E$10+1,1))-AVERAGE(OFFSET($H$3,0,0,'Données projet'!$E$10+1,1))</f>
        <v>314.72063458462026</v>
      </c>
      <c r="AO122" s="62">
        <f t="shared" si="90"/>
        <v>216.4380325968244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2.1367521367521363</v>
      </c>
      <c r="BD122" s="13">
        <f>IF('Données projet'!$A$88&gt;35,BD121+BC122-BL121,IF(A122&lt;'Données projet'!$A$88,$BA$205^A122,IF(A122='Données projet'!$A$88,'Données projet'!$B$88,BD121+BC122-BL121)))</f>
        <v>241.88034188034183</v>
      </c>
      <c r="BE122" s="14">
        <f>BD122*VLOOKUP('Données projet'!$B$11,Paramètres!$A$1:$I$89,3,0)*VLOOKUP('Données projet'!$B$11,Paramètres!$A$1:$I$89,5,0)</f>
        <v>260.35999999999996</v>
      </c>
      <c r="BF122" s="14">
        <f t="shared" si="91"/>
        <v>62.799109227559157</v>
      </c>
      <c r="BG122" s="22">
        <f t="shared" si="61"/>
        <v>562.83544857133199</v>
      </c>
      <c r="BH122" s="62">
        <f t="shared" si="62"/>
        <v>838.80530201085094</v>
      </c>
      <c r="BI122" s="62">
        <f ca="1">AVERAGE(OFFSET($BH$3,0,0,'Données projet'!$E$11+1,1))-AVERAGE(OFFSET($H$3,0,0,'Données projet'!$E$11+1,1))</f>
        <v>455.26558725507834</v>
      </c>
      <c r="BJ122" s="62">
        <f t="shared" si="92"/>
        <v>278.60310966788552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-5.6843418860808015E-14</v>
      </c>
      <c r="BZ122" s="14">
        <f>BY122*VLOOKUP('Données projet'!$B$12,Paramètres!$A$1:$I$89,3,0)*VLOOKUP('Données projet'!$B$12,Paramètres!$A$1:$I$89,5,0)</f>
        <v>-2.9558577807620169E-14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300.72820267660154</v>
      </c>
      <c r="CE122" s="62">
        <f t="shared" si="94"/>
        <v>228.35388778608589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2.1367521367521363</v>
      </c>
      <c r="CT122" s="13">
        <f>IF('Données projet'!$A$140&gt;35,CT121+CS122-DB121,IF(A122&lt;'Données projet'!$A$140,$CQ$205^A122,IF(A122='Données projet'!$A$140,'Données projet'!$B$140,CT121+CS122-DB121)))</f>
        <v>241.88034188034183</v>
      </c>
      <c r="CU122" s="18">
        <f>CT122*VLOOKUP('Données projet'!$B$13,Paramètres!$A$1:$I$89,3,0)*VLOOKUP('Données projet'!$B$13,Paramètres!$A$1:$I$89,5,0)</f>
        <v>207.53333333333333</v>
      </c>
      <c r="CV122" s="14">
        <f t="shared" si="95"/>
        <v>51.396186860111719</v>
      </c>
      <c r="CW122" s="22">
        <f t="shared" si="67"/>
        <v>450.96891433691673</v>
      </c>
      <c r="CX122" s="62">
        <f t="shared" si="68"/>
        <v>726.93876777643572</v>
      </c>
      <c r="CY122" s="62">
        <f ca="1">AVERAGE(OFFSET($CX$3,0,0,'Données projet'!$E$13+1,1))-AVERAGE(OFFSET($H$3,0,0,'Données projet'!$E$13+1,1))</f>
        <v>384.3367849108829</v>
      </c>
      <c r="CZ122" s="62">
        <f t="shared" si="96"/>
        <v>238.2697272367603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-6.2527760746888816E-13</v>
      </c>
      <c r="DP122" s="18">
        <f>DO122*VLOOKUP('Données projet'!$B$14,Paramètres!$A$1:$I$89,3,0)*VLOOKUP('Données projet'!$B$14,Paramètres!$A$1:$I$89,5,0)</f>
        <v>-2.9262992029543964E-13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304.1100958939968</v>
      </c>
      <c r="DU122" s="62">
        <f t="shared" si="98"/>
        <v>184.1255966824568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2.1367521367521363</v>
      </c>
      <c r="EJ122" s="13">
        <f>IF('Données projet'!$A$192&gt;35,EJ121+EI122-ER121,IF(A122&lt;'Données projet'!$A$192,$EG$205^A122,IF(A122='Données projet'!$A$192,'Données projet'!$B$192,EJ121+EI122-ER121)))</f>
        <v>241.88034188034183</v>
      </c>
      <c r="EK122" s="18">
        <f>EJ122*VLOOKUP('Données projet'!$B$15,Paramètres!$A$1:$I$89,3,0)*VLOOKUP('Données projet'!$B$15,Paramètres!$A$1:$I$89,5,0)</f>
        <v>245.26666666666665</v>
      </c>
      <c r="EL122" s="14">
        <f t="shared" si="99"/>
        <v>59.571243934431166</v>
      </c>
      <c r="EM122" s="22">
        <f t="shared" si="73"/>
        <v>530.92602763024536</v>
      </c>
      <c r="EN122" s="62">
        <f t="shared" si="74"/>
        <v>806.8958810697643</v>
      </c>
      <c r="EO122" s="62">
        <f ca="1">AVERAGE(OFFSET($EN$3,0,0,'Données projet'!$E$15+1,1))-AVERAGE(OFFSET($H$3,0,0,'Données projet'!$E$15+1,1))</f>
        <v>435.03433721979218</v>
      </c>
      <c r="EP122" s="62">
        <f t="shared" si="100"/>
        <v>267.10015759286387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2.1367521367521363</v>
      </c>
      <c r="FE122" s="13">
        <f>IF('Données projet'!$A$218&gt;35,FE121+FD122-FM121,IF(A122&lt;'Données projet'!$A$218,$FB$205^A122,IF(A122='Données projet'!$A$218,'Données projet'!$B$218,FE121+FD122-FM121)))</f>
        <v>241.88034188034183</v>
      </c>
      <c r="FF122" s="18">
        <f>FE122*VLOOKUP('Données projet'!$B$16,Paramètres!$A$1:$I$89,3,0)*VLOOKUP('Données projet'!$B$16,Paramètres!$A$1:$I$89,5,0)</f>
        <v>252.8133333333333</v>
      </c>
      <c r="FG122" s="14">
        <f t="shared" si="101"/>
        <v>61.187980925850582</v>
      </c>
      <c r="FH122" s="22">
        <f t="shared" si="76"/>
        <v>546.88562233474534</v>
      </c>
      <c r="FI122" s="62">
        <f t="shared" si="77"/>
        <v>822.85547577426428</v>
      </c>
      <c r="FJ122" s="62">
        <f ca="1">AVERAGE(OFFSET($FI$3,0,0,'Données projet'!$E$16+1,1))-AVERAGE(OFFSET($H$3,0,0,'Données projet'!$E$16+1,1))</f>
        <v>445.15313998584293</v>
      </c>
      <c r="FK122" s="62">
        <f t="shared" si="102"/>
        <v>272.85357736694834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-5.6843418860808015E-14</v>
      </c>
      <c r="GA122" s="18">
        <f>FZ122*VLOOKUP('Données projet'!$B$17,Paramètres!$A$1:$I$89,3,0)*VLOOKUP('Données projet'!$B$17,Paramètres!$A$1:$I$89,5,0)</f>
        <v>-4.9658410716801891E-14</v>
      </c>
      <c r="GB122" s="14" t="e">
        <f t="shared" si="103"/>
        <v>#NUM!</v>
      </c>
      <c r="GC122" s="22" t="e">
        <f t="shared" si="79"/>
        <v>#NUM!</v>
      </c>
      <c r="GD122" s="62" t="e">
        <f t="shared" si="80"/>
        <v>#NUM!</v>
      </c>
      <c r="GE122" s="62">
        <f ca="1">AVERAGE(OFFSET($GD$3,0,0,'Données projet'!$E$17+1,1))-AVERAGE(OFFSET($H$3,0,0,'Données projet'!$E$17+1,1))</f>
        <v>248.82613595888964</v>
      </c>
      <c r="GF122" s="62">
        <f t="shared" si="104"/>
        <v>255.8298580882084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135.66666666666666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221.18884567967481</v>
      </c>
      <c r="T123" s="62">
        <f t="shared" si="88"/>
        <v>189.31596996710888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120.64166666666668</v>
      </c>
      <c r="AG123" s="13">
        <f>VLOOKUP(A123,'Données projet'!$A$61:$I$81,9,0)</f>
        <v>1.3150000000000006</v>
      </c>
      <c r="AH123" s="13">
        <f t="array" ref="AH123">INDEX(AG:AG,MIN(IF(ISNUMBER(AG123:AG319),ROW(AG123:AG319),"")))</f>
        <v>1.3150000000000006</v>
      </c>
      <c r="AI123" s="14">
        <f>IF('Données projet'!$A$62&gt;35,AI122+AH123-AQ122,IF(A123&lt;'Données projet'!$A$62,$AF$205^A123,IF(A123='Données projet'!$A$62,'Données projet'!$B$62,AI122+AH123-AQ122)))</f>
        <v>120.64166666666662</v>
      </c>
      <c r="AJ123" s="14">
        <f>AI123*VLOOKUP('Données projet'!$B$10,Paramètres!$A$1:$I$89,3,0)*VLOOKUP('Données projet'!$B$10,Paramètres!$A$1:$I$89,5,0)</f>
        <v>138.97919999999993</v>
      </c>
      <c r="AK123" s="14">
        <f t="shared" si="89"/>
        <v>36.063055041985905</v>
      </c>
      <c r="AL123" s="22">
        <f t="shared" si="58"/>
        <v>304.86526086479199</v>
      </c>
      <c r="AM123" s="62">
        <f t="shared" si="59"/>
        <v>581.13633186154311</v>
      </c>
      <c r="AN123" s="62">
        <f ca="1">AVERAGE(OFFSET($AM$3,0,0,'Données projet'!$E$10+1,1))-AVERAGE(OFFSET($H$3,0,0,'Données projet'!$E$10+1,1))</f>
        <v>314.72063458462026</v>
      </c>
      <c r="AO123" s="62">
        <f t="shared" si="90"/>
        <v>216.4380325968244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8.875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2.1367521367521363</v>
      </c>
      <c r="BD123" s="13">
        <f>IF('Données projet'!$A$88&gt;35,BD122+BC123-BL122,IF(A123&lt;'Données projet'!$A$88,$BA$205^A123,IF(A123='Données projet'!$A$88,'Données projet'!$B$88,BD122+BC123-BL122)))</f>
        <v>244.01709401709397</v>
      </c>
      <c r="BE123" s="14">
        <f>BD123*VLOOKUP('Données projet'!$B$11,Paramètres!$A$1:$I$89,3,0)*VLOOKUP('Données projet'!$B$11,Paramètres!$A$1:$I$89,5,0)</f>
        <v>262.65999999999997</v>
      </c>
      <c r="BF123" s="14">
        <f t="shared" si="91"/>
        <v>63.289046129644561</v>
      </c>
      <c r="BG123" s="22">
        <f t="shared" si="61"/>
        <v>567.6945886757976</v>
      </c>
      <c r="BH123" s="62">
        <f t="shared" si="62"/>
        <v>843.96565967254878</v>
      </c>
      <c r="BI123" s="62">
        <f ca="1">AVERAGE(OFFSET($BH$3,0,0,'Données projet'!$E$11+1,1))-AVERAGE(OFFSET($H$3,0,0,'Données projet'!$E$11+1,1))</f>
        <v>455.26558725507834</v>
      </c>
      <c r="BJ123" s="62">
        <f t="shared" si="92"/>
        <v>278.60310966788552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-5.6843418860808015E-14</v>
      </c>
      <c r="BZ123" s="14">
        <f>BY123*VLOOKUP('Données projet'!$B$12,Paramètres!$A$1:$I$89,3,0)*VLOOKUP('Données projet'!$B$12,Paramètres!$A$1:$I$89,5,0)</f>
        <v>-2.9558577807620169E-14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300.72820267660154</v>
      </c>
      <c r="CE123" s="62">
        <f t="shared" si="94"/>
        <v>228.35388778608589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2.1367521367521363</v>
      </c>
      <c r="CT123" s="13">
        <f>IF('Données projet'!$A$140&gt;35,CT122+CS123-DB122,IF(A123&lt;'Données projet'!$A$140,$CQ$205^A123,IF(A123='Données projet'!$A$140,'Données projet'!$B$140,CT122+CS123-DB122)))</f>
        <v>244.01709401709397</v>
      </c>
      <c r="CU123" s="18">
        <f>CT123*VLOOKUP('Données projet'!$B$13,Paramètres!$A$1:$I$89,3,0)*VLOOKUP('Données projet'!$B$13,Paramètres!$A$1:$I$89,5,0)</f>
        <v>209.36666666666667</v>
      </c>
      <c r="CV123" s="14">
        <f t="shared" si="95"/>
        <v>51.797162110859311</v>
      </c>
      <c r="CW123" s="22">
        <f t="shared" si="67"/>
        <v>454.86033512085766</v>
      </c>
      <c r="CX123" s="62">
        <f t="shared" si="68"/>
        <v>731.13140611760878</v>
      </c>
      <c r="CY123" s="62">
        <f ca="1">AVERAGE(OFFSET($CX$3,0,0,'Données projet'!$E$13+1,1))-AVERAGE(OFFSET($H$3,0,0,'Données projet'!$E$13+1,1))</f>
        <v>384.3367849108829</v>
      </c>
      <c r="CZ123" s="62">
        <f t="shared" si="96"/>
        <v>238.2697272367603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-6.2527760746888816E-13</v>
      </c>
      <c r="DP123" s="18">
        <f>DO123*VLOOKUP('Données projet'!$B$14,Paramètres!$A$1:$I$89,3,0)*VLOOKUP('Données projet'!$B$14,Paramètres!$A$1:$I$89,5,0)</f>
        <v>-2.9262992029543964E-13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304.1100958939968</v>
      </c>
      <c r="DU123" s="62">
        <f t="shared" si="98"/>
        <v>184.1255966824568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2.1367521367521363</v>
      </c>
      <c r="EJ123" s="13">
        <f>IF('Données projet'!$A$192&gt;35,EJ122+EI123-ER122,IF(A123&lt;'Données projet'!$A$192,$EG$205^A123,IF(A123='Données projet'!$A$192,'Données projet'!$B$192,EJ122+EI123-ER122)))</f>
        <v>244.01709401709397</v>
      </c>
      <c r="EK123" s="18">
        <f>EJ123*VLOOKUP('Données projet'!$B$15,Paramètres!$A$1:$I$89,3,0)*VLOOKUP('Données projet'!$B$15,Paramètres!$A$1:$I$89,5,0)</f>
        <v>247.43333333333331</v>
      </c>
      <c r="EL123" s="14">
        <f t="shared" si="99"/>
        <v>60.035998149349254</v>
      </c>
      <c r="EM123" s="22">
        <f t="shared" si="73"/>
        <v>535.50908566567216</v>
      </c>
      <c r="EN123" s="62">
        <f t="shared" si="74"/>
        <v>811.78015666242334</v>
      </c>
      <c r="EO123" s="62">
        <f ca="1">AVERAGE(OFFSET($EN$3,0,0,'Données projet'!$E$15+1,1))-AVERAGE(OFFSET($H$3,0,0,'Données projet'!$E$15+1,1))</f>
        <v>435.03433721979218</v>
      </c>
      <c r="EP123" s="62">
        <f t="shared" si="100"/>
        <v>267.10015759286387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2.1367521367521363</v>
      </c>
      <c r="FE123" s="13">
        <f>IF('Données projet'!$A$218&gt;35,FE122+FD123-FM122,IF(A123&lt;'Données projet'!$A$218,$FB$205^A123,IF(A123='Données projet'!$A$218,'Données projet'!$B$218,FE122+FD123-FM122)))</f>
        <v>244.01709401709397</v>
      </c>
      <c r="FF123" s="18">
        <f>FE123*VLOOKUP('Données projet'!$B$16,Paramètres!$A$1:$I$89,3,0)*VLOOKUP('Données projet'!$B$16,Paramètres!$A$1:$I$89,5,0)</f>
        <v>255.04666666666665</v>
      </c>
      <c r="FG123" s="14">
        <f t="shared" si="101"/>
        <v>61.665348362879705</v>
      </c>
      <c r="FH123" s="22">
        <f t="shared" si="76"/>
        <v>551.60675950979328</v>
      </c>
      <c r="FI123" s="62">
        <f t="shared" si="77"/>
        <v>827.87783050654446</v>
      </c>
      <c r="FJ123" s="62">
        <f ca="1">AVERAGE(OFFSET($FI$3,0,0,'Données projet'!$E$16+1,1))-AVERAGE(OFFSET($H$3,0,0,'Données projet'!$E$16+1,1))</f>
        <v>445.15313998584293</v>
      </c>
      <c r="FK123" s="62">
        <f t="shared" si="102"/>
        <v>272.85357736694834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-5.6843418860808015E-14</v>
      </c>
      <c r="GA123" s="18">
        <f>FZ123*VLOOKUP('Données projet'!$B$17,Paramètres!$A$1:$I$89,3,0)*VLOOKUP('Données projet'!$B$17,Paramètres!$A$1:$I$89,5,0)</f>
        <v>-4.9658410716801891E-14</v>
      </c>
      <c r="GB123" s="14" t="e">
        <f t="shared" si="103"/>
        <v>#NUM!</v>
      </c>
      <c r="GC123" s="22" t="e">
        <f t="shared" si="79"/>
        <v>#NUM!</v>
      </c>
      <c r="GD123" s="62" t="e">
        <f t="shared" si="80"/>
        <v>#NUM!</v>
      </c>
      <c r="GE123" s="62">
        <f ca="1">AVERAGE(OFFSET($GD$3,0,0,'Données projet'!$E$17+1,1))-AVERAGE(OFFSET($H$3,0,0,'Données projet'!$E$17+1,1))</f>
        <v>248.82613595888964</v>
      </c>
      <c r="GF123" s="62">
        <f t="shared" si="104"/>
        <v>255.8298580882084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135.66666666666666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221.18884567967481</v>
      </c>
      <c r="T124" s="62">
        <f t="shared" si="88"/>
        <v>189.31596996710888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1.2474999999999994</v>
      </c>
      <c r="AI124" s="14">
        <f>IF('Données projet'!$A$62&gt;35,AI123+AH124-AQ123,IF(A124&lt;'Données projet'!$A$62,$AF$205^A124,IF(A124='Données projet'!$A$62,'Données projet'!$B$62,AI123+AH124-AQ123)))</f>
        <v>113.01416666666663</v>
      </c>
      <c r="AJ124" s="14">
        <f>AI124*VLOOKUP('Données projet'!$B$10,Paramètres!$A$1:$I$89,3,0)*VLOOKUP('Données projet'!$B$10,Paramètres!$A$1:$I$89,5,0)</f>
        <v>130.19231999999994</v>
      </c>
      <c r="AK124" s="14">
        <f t="shared" si="89"/>
        <v>34.040795013550785</v>
      </c>
      <c r="AL124" s="22">
        <f t="shared" si="58"/>
        <v>286.03934198193417</v>
      </c>
      <c r="AM124" s="62">
        <f t="shared" si="59"/>
        <v>562.60640508472102</v>
      </c>
      <c r="AN124" s="62">
        <f ca="1">AVERAGE(OFFSET($AM$3,0,0,'Données projet'!$E$10+1,1))-AVERAGE(OFFSET($H$3,0,0,'Données projet'!$E$10+1,1))</f>
        <v>314.72063458462026</v>
      </c>
      <c r="AO124" s="62">
        <f t="shared" si="90"/>
        <v>216.4380325968244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2.1367521367521363</v>
      </c>
      <c r="BD124" s="13">
        <f>IF('Données projet'!$A$88&gt;35,BD123+BC124-BL123,IF(A124&lt;'Données projet'!$A$88,$BA$205^A124,IF(A124='Données projet'!$A$88,'Données projet'!$B$88,BD123+BC124-BL123)))</f>
        <v>246.1538461538461</v>
      </c>
      <c r="BE124" s="14">
        <f>BD124*VLOOKUP('Données projet'!$B$11,Paramètres!$A$1:$I$89,3,0)*VLOOKUP('Données projet'!$B$11,Paramètres!$A$1:$I$89,5,0)</f>
        <v>264.95999999999998</v>
      </c>
      <c r="BF124" s="14">
        <f t="shared" si="91"/>
        <v>63.778483904128457</v>
      </c>
      <c r="BG124" s="22">
        <f t="shared" si="61"/>
        <v>572.55285946635706</v>
      </c>
      <c r="BH124" s="62">
        <f t="shared" si="62"/>
        <v>849.11992256914391</v>
      </c>
      <c r="BI124" s="62">
        <f ca="1">AVERAGE(OFFSET($BH$3,0,0,'Données projet'!$E$11+1,1))-AVERAGE(OFFSET($H$3,0,0,'Données projet'!$E$11+1,1))</f>
        <v>455.26558725507834</v>
      </c>
      <c r="BJ124" s="62">
        <f t="shared" si="92"/>
        <v>278.60310966788552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-2.9558577807620169E-14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300.72820267660154</v>
      </c>
      <c r="CE124" s="62">
        <f t="shared" si="94"/>
        <v>228.35388778608589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2.1367521367521363</v>
      </c>
      <c r="CT124" s="13">
        <f>IF('Données projet'!$A$140&gt;35,CT123+CS124-DB123,IF(A124&lt;'Données projet'!$A$140,$CQ$205^A124,IF(A124='Données projet'!$A$140,'Données projet'!$B$140,CT123+CS124-DB123)))</f>
        <v>246.1538461538461</v>
      </c>
      <c r="CU124" s="18">
        <f>CT124*VLOOKUP('Données projet'!$B$13,Paramètres!$A$1:$I$89,3,0)*VLOOKUP('Données projet'!$B$13,Paramètres!$A$1:$I$89,5,0)</f>
        <v>211.19999999999996</v>
      </c>
      <c r="CV124" s="14">
        <f t="shared" si="95"/>
        <v>52.197728864483459</v>
      </c>
      <c r="CW124" s="22">
        <f t="shared" si="67"/>
        <v>458.75104443897527</v>
      </c>
      <c r="CX124" s="62">
        <f t="shared" si="68"/>
        <v>735.31810754176217</v>
      </c>
      <c r="CY124" s="62">
        <f ca="1">AVERAGE(OFFSET($CX$3,0,0,'Données projet'!$E$13+1,1))-AVERAGE(OFFSET($H$3,0,0,'Données projet'!$E$13+1,1))</f>
        <v>384.3367849108829</v>
      </c>
      <c r="CZ124" s="62">
        <f t="shared" si="96"/>
        <v>238.2697272367603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-6.2527760746888816E-13</v>
      </c>
      <c r="DP124" s="18">
        <f>DO124*VLOOKUP('Données projet'!$B$14,Paramètres!$A$1:$I$89,3,0)*VLOOKUP('Données projet'!$B$14,Paramètres!$A$1:$I$89,5,0)</f>
        <v>-2.9262992029543964E-13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304.1100958939968</v>
      </c>
      <c r="DU124" s="62">
        <f t="shared" si="98"/>
        <v>184.1255966824568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2.1367521367521363</v>
      </c>
      <c r="EJ124" s="13">
        <f>IF('Données projet'!$A$192&gt;35,EJ123+EI124-ER123,IF(A124&lt;'Données projet'!$A$192,$EG$205^A124,IF(A124='Données projet'!$A$192,'Données projet'!$B$192,EJ123+EI124-ER123)))</f>
        <v>246.1538461538461</v>
      </c>
      <c r="EK124" s="18">
        <f>EJ124*VLOOKUP('Données projet'!$B$15,Paramètres!$A$1:$I$89,3,0)*VLOOKUP('Données projet'!$B$15,Paramètres!$A$1:$I$89,5,0)</f>
        <v>249.59999999999997</v>
      </c>
      <c r="EL124" s="14">
        <f t="shared" si="99"/>
        <v>60.500278891753695</v>
      </c>
      <c r="EM124" s="22">
        <f t="shared" si="73"/>
        <v>540.09131906980429</v>
      </c>
      <c r="EN124" s="62">
        <f t="shared" si="74"/>
        <v>816.65838217259125</v>
      </c>
      <c r="EO124" s="62">
        <f ca="1">AVERAGE(OFFSET($EN$3,0,0,'Données projet'!$E$15+1,1))-AVERAGE(OFFSET($H$3,0,0,'Données projet'!$E$15+1,1))</f>
        <v>435.03433721979218</v>
      </c>
      <c r="EP124" s="62">
        <f t="shared" si="100"/>
        <v>267.10015759286387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2.1367521367521363</v>
      </c>
      <c r="FE124" s="13">
        <f>IF('Données projet'!$A$218&gt;35,FE123+FD124-FM123,IF(A124&lt;'Données projet'!$A$218,$FB$205^A124,IF(A124='Données projet'!$A$218,'Données projet'!$B$218,FE123+FD124-FM123)))</f>
        <v>246.1538461538461</v>
      </c>
      <c r="FF124" s="18">
        <f>FE124*VLOOKUP('Données projet'!$B$16,Paramètres!$A$1:$I$89,3,0)*VLOOKUP('Données projet'!$B$16,Paramètres!$A$1:$I$89,5,0)</f>
        <v>257.27999999999997</v>
      </c>
      <c r="FG124" s="14">
        <f t="shared" si="101"/>
        <v>62.142229477562339</v>
      </c>
      <c r="FH124" s="22">
        <f t="shared" si="76"/>
        <v>556.32704967342102</v>
      </c>
      <c r="FI124" s="62">
        <f t="shared" si="77"/>
        <v>832.89411277620798</v>
      </c>
      <c r="FJ124" s="62">
        <f ca="1">AVERAGE(OFFSET($FI$3,0,0,'Données projet'!$E$16+1,1))-AVERAGE(OFFSET($H$3,0,0,'Données projet'!$E$16+1,1))</f>
        <v>445.15313998584293</v>
      </c>
      <c r="FK124" s="62">
        <f t="shared" si="102"/>
        <v>272.85357736694834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-5.6843418860808015E-14</v>
      </c>
      <c r="GA124" s="18">
        <f>FZ124*VLOOKUP('Données projet'!$B$17,Paramètres!$A$1:$I$89,3,0)*VLOOKUP('Données projet'!$B$17,Paramètres!$A$1:$I$89,5,0)</f>
        <v>-4.9658410716801891E-14</v>
      </c>
      <c r="GB124" s="14" t="e">
        <f t="shared" si="103"/>
        <v>#NUM!</v>
      </c>
      <c r="GC124" s="22" t="e">
        <f t="shared" si="79"/>
        <v>#NUM!</v>
      </c>
      <c r="GD124" s="62" t="e">
        <f t="shared" si="80"/>
        <v>#NUM!</v>
      </c>
      <c r="GE124" s="62">
        <f ca="1">AVERAGE(OFFSET($GD$3,0,0,'Données projet'!$E$17+1,1))-AVERAGE(OFFSET($H$3,0,0,'Données projet'!$E$17+1,1))</f>
        <v>248.82613595888964</v>
      </c>
      <c r="GF124" s="62">
        <f t="shared" si="104"/>
        <v>255.8298580882084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135.66666666666666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221.18884567967481</v>
      </c>
      <c r="T125" s="62">
        <f t="shared" si="88"/>
        <v>189.31596996710888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1.2474999999999994</v>
      </c>
      <c r="AI125" s="14">
        <f>IF('Données projet'!$A$62&gt;35,AI124+AH125-AQ124,IF(A125&lt;'Données projet'!$A$62,$AF$205^A125,IF(A125='Données projet'!$A$62,'Données projet'!$B$62,AI124+AH125-AQ124)))</f>
        <v>114.26166666666663</v>
      </c>
      <c r="AJ125" s="14">
        <f>AI125*VLOOKUP('Données projet'!$B$10,Paramètres!$A$1:$I$89,3,0)*VLOOKUP('Données projet'!$B$10,Paramètres!$A$1:$I$89,5,0)</f>
        <v>131.62943999999993</v>
      </c>
      <c r="AK125" s="14">
        <f t="shared" si="89"/>
        <v>34.372601683894764</v>
      </c>
      <c r="AL125" s="22">
        <f t="shared" si="58"/>
        <v>289.1202225994499</v>
      </c>
      <c r="AM125" s="62">
        <f t="shared" si="59"/>
        <v>565.978143006972</v>
      </c>
      <c r="AN125" s="62">
        <f ca="1">AVERAGE(OFFSET($AM$3,0,0,'Données projet'!$E$10+1,1))-AVERAGE(OFFSET($H$3,0,0,'Données projet'!$E$10+1,1))</f>
        <v>314.72063458462026</v>
      </c>
      <c r="AO125" s="62">
        <f t="shared" si="90"/>
        <v>216.4380325968244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2.1367521367521363</v>
      </c>
      <c r="BD125" s="13">
        <f>IF('Données projet'!$A$88&gt;35,BD124+BC125-BL124,IF(A125&lt;'Données projet'!$A$88,$BA$205^A125,IF(A125='Données projet'!$A$88,'Données projet'!$B$88,BD124+BC125-BL124)))</f>
        <v>248.29059829059824</v>
      </c>
      <c r="BE125" s="14">
        <f>BD125*VLOOKUP('Données projet'!$B$11,Paramètres!$A$1:$I$89,3,0)*VLOOKUP('Données projet'!$B$11,Paramètres!$A$1:$I$89,5,0)</f>
        <v>267.25999999999993</v>
      </c>
      <c r="BF125" s="14">
        <f t="shared" si="91"/>
        <v>64.26742738572166</v>
      </c>
      <c r="BG125" s="22">
        <f t="shared" si="61"/>
        <v>577.41026936346509</v>
      </c>
      <c r="BH125" s="62">
        <f t="shared" si="62"/>
        <v>854.26818977098719</v>
      </c>
      <c r="BI125" s="62">
        <f ca="1">AVERAGE(OFFSET($BH$3,0,0,'Données projet'!$E$11+1,1))-AVERAGE(OFFSET($H$3,0,0,'Données projet'!$E$11+1,1))</f>
        <v>455.26558725507834</v>
      </c>
      <c r="BJ125" s="62">
        <f t="shared" si="92"/>
        <v>278.60310966788552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-2.9558577807620169E-14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300.72820267660154</v>
      </c>
      <c r="CE125" s="62">
        <f t="shared" si="94"/>
        <v>228.35388778608589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2.1367521367521363</v>
      </c>
      <c r="CT125" s="13">
        <f>IF('Données projet'!$A$140&gt;35,CT124+CS125-DB124,IF(A125&lt;'Données projet'!$A$140,$CQ$205^A125,IF(A125='Données projet'!$A$140,'Données projet'!$B$140,CT124+CS125-DB124)))</f>
        <v>248.29059829059824</v>
      </c>
      <c r="CU125" s="18">
        <f>CT125*VLOOKUP('Données projet'!$B$13,Paramètres!$A$1:$I$89,3,0)*VLOOKUP('Données projet'!$B$13,Paramètres!$A$1:$I$89,5,0)</f>
        <v>213.0333333333333</v>
      </c>
      <c r="CV125" s="14">
        <f t="shared" si="95"/>
        <v>52.597891077818957</v>
      </c>
      <c r="CW125" s="22">
        <f t="shared" si="67"/>
        <v>462.64104918275689</v>
      </c>
      <c r="CX125" s="62">
        <f t="shared" si="68"/>
        <v>739.4989695902791</v>
      </c>
      <c r="CY125" s="62">
        <f ca="1">AVERAGE(OFFSET($CX$3,0,0,'Données projet'!$E$13+1,1))-AVERAGE(OFFSET($H$3,0,0,'Données projet'!$E$13+1,1))</f>
        <v>384.3367849108829</v>
      </c>
      <c r="CZ125" s="62">
        <f t="shared" si="96"/>
        <v>238.2697272367603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-6.2527760746888816E-13</v>
      </c>
      <c r="DP125" s="18">
        <f>DO125*VLOOKUP('Données projet'!$B$14,Paramètres!$A$1:$I$89,3,0)*VLOOKUP('Données projet'!$B$14,Paramètres!$A$1:$I$89,5,0)</f>
        <v>-2.9262992029543964E-13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304.1100958939968</v>
      </c>
      <c r="DU125" s="62">
        <f t="shared" si="98"/>
        <v>184.1255966824568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2.1367521367521363</v>
      </c>
      <c r="EJ125" s="13">
        <f>IF('Données projet'!$A$192&gt;35,EJ124+EI125-ER124,IF(A125&lt;'Données projet'!$A$192,$EG$205^A125,IF(A125='Données projet'!$A$192,'Données projet'!$B$192,EJ124+EI125-ER124)))</f>
        <v>248.29059829059824</v>
      </c>
      <c r="EK125" s="18">
        <f>EJ125*VLOOKUP('Données projet'!$B$15,Paramètres!$A$1:$I$89,3,0)*VLOOKUP('Données projet'!$B$15,Paramètres!$A$1:$I$89,5,0)</f>
        <v>251.76666666666662</v>
      </c>
      <c r="EL125" s="14">
        <f t="shared" si="99"/>
        <v>60.964090747851635</v>
      </c>
      <c r="EM125" s="22">
        <f t="shared" si="73"/>
        <v>544.672735830286</v>
      </c>
      <c r="EN125" s="62">
        <f t="shared" si="74"/>
        <v>821.53065623780822</v>
      </c>
      <c r="EO125" s="62">
        <f ca="1">AVERAGE(OFFSET($EN$3,0,0,'Données projet'!$E$15+1,1))-AVERAGE(OFFSET($H$3,0,0,'Données projet'!$E$15+1,1))</f>
        <v>435.03433721979218</v>
      </c>
      <c r="EP125" s="62">
        <f t="shared" si="100"/>
        <v>267.10015759286387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2.1367521367521363</v>
      </c>
      <c r="FE125" s="13">
        <f>IF('Données projet'!$A$218&gt;35,FE124+FD125-FM124,IF(A125&lt;'Données projet'!$A$218,$FB$205^A125,IF(A125='Données projet'!$A$218,'Données projet'!$B$218,FE124+FD125-FM124)))</f>
        <v>248.29059829059824</v>
      </c>
      <c r="FF125" s="18">
        <f>FE125*VLOOKUP('Données projet'!$B$16,Paramètres!$A$1:$I$89,3,0)*VLOOKUP('Données projet'!$B$16,Paramètres!$A$1:$I$89,5,0)</f>
        <v>259.51333333333332</v>
      </c>
      <c r="FG125" s="14">
        <f t="shared" si="101"/>
        <v>62.618628980573305</v>
      </c>
      <c r="FH125" s="22">
        <f t="shared" si="76"/>
        <v>561.04650103005395</v>
      </c>
      <c r="FI125" s="62">
        <f t="shared" si="77"/>
        <v>837.90442143757605</v>
      </c>
      <c r="FJ125" s="62">
        <f ca="1">AVERAGE(OFFSET($FI$3,0,0,'Données projet'!$E$16+1,1))-AVERAGE(OFFSET($H$3,0,0,'Données projet'!$E$16+1,1))</f>
        <v>445.15313998584293</v>
      </c>
      <c r="FK125" s="62">
        <f t="shared" si="102"/>
        <v>272.85357736694834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-5.6843418860808015E-14</v>
      </c>
      <c r="GA125" s="18">
        <f>FZ125*VLOOKUP('Données projet'!$B$17,Paramètres!$A$1:$I$89,3,0)*VLOOKUP('Données projet'!$B$17,Paramètres!$A$1:$I$89,5,0)</f>
        <v>-4.9658410716801891E-14</v>
      </c>
      <c r="GB125" s="14" t="e">
        <f t="shared" si="103"/>
        <v>#NUM!</v>
      </c>
      <c r="GC125" s="22" t="e">
        <f t="shared" si="79"/>
        <v>#NUM!</v>
      </c>
      <c r="GD125" s="62" t="e">
        <f t="shared" si="80"/>
        <v>#NUM!</v>
      </c>
      <c r="GE125" s="62">
        <f ca="1">AVERAGE(OFFSET($GD$3,0,0,'Données projet'!$E$17+1,1))-AVERAGE(OFFSET($H$3,0,0,'Données projet'!$E$17+1,1))</f>
        <v>248.82613595888964</v>
      </c>
      <c r="GF125" s="62">
        <f t="shared" si="104"/>
        <v>255.8298580882084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135.66666666666666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221.18884567967481</v>
      </c>
      <c r="T126" s="62">
        <f t="shared" si="88"/>
        <v>189.31596996710888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1.2474999999999994</v>
      </c>
      <c r="AI126" s="14">
        <f>IF('Données projet'!$A$62&gt;35,AI125+AH126-AQ125,IF(A126&lt;'Données projet'!$A$62,$AF$205^A126,IF(A126='Données projet'!$A$62,'Données projet'!$B$62,AI125+AH126-AQ125)))</f>
        <v>115.50916666666663</v>
      </c>
      <c r="AJ126" s="14">
        <f>AI126*VLOOKUP('Données projet'!$B$10,Paramètres!$A$1:$I$89,3,0)*VLOOKUP('Données projet'!$B$10,Paramètres!$A$1:$I$89,5,0)</f>
        <v>133.06655999999995</v>
      </c>
      <c r="AK126" s="14">
        <f t="shared" si="89"/>
        <v>34.703986937981455</v>
      </c>
      <c r="AL126" s="22">
        <f t="shared" si="58"/>
        <v>292.20036925031758</v>
      </c>
      <c r="AM126" s="62">
        <f t="shared" si="59"/>
        <v>569.34410123859732</v>
      </c>
      <c r="AN126" s="62">
        <f ca="1">AVERAGE(OFFSET($AM$3,0,0,'Données projet'!$E$10+1,1))-AVERAGE(OFFSET($H$3,0,0,'Données projet'!$E$10+1,1))</f>
        <v>314.72063458462026</v>
      </c>
      <c r="AO126" s="62">
        <f t="shared" si="90"/>
        <v>216.4380325968244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2.1367521367521363</v>
      </c>
      <c r="BD126" s="13">
        <f>IF('Données projet'!$A$88&gt;35,BD125+BC126-BL125,IF(A126&lt;'Données projet'!$A$88,$BA$205^A126,IF(A126='Données projet'!$A$88,'Données projet'!$B$88,BD125+BC126-BL125)))</f>
        <v>250.42735042735038</v>
      </c>
      <c r="BE126" s="14">
        <f>BD126*VLOOKUP('Données projet'!$B$11,Paramètres!$A$1:$I$89,3,0)*VLOOKUP('Données projet'!$B$11,Paramètres!$A$1:$I$89,5,0)</f>
        <v>269.55999999999995</v>
      </c>
      <c r="BF126" s="14">
        <f t="shared" si="91"/>
        <v>64.755881321119006</v>
      </c>
      <c r="BG126" s="22">
        <f t="shared" si="61"/>
        <v>582.26682663428221</v>
      </c>
      <c r="BH126" s="62">
        <f t="shared" si="62"/>
        <v>859.41055862256189</v>
      </c>
      <c r="BI126" s="62">
        <f ca="1">AVERAGE(OFFSET($BH$3,0,0,'Données projet'!$E$11+1,1))-AVERAGE(OFFSET($H$3,0,0,'Données projet'!$E$11+1,1))</f>
        <v>455.26558725507834</v>
      </c>
      <c r="BJ126" s="62">
        <f t="shared" si="92"/>
        <v>278.60310966788552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-2.9558577807620169E-14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300.72820267660154</v>
      </c>
      <c r="CE126" s="62">
        <f t="shared" si="94"/>
        <v>228.35388778608589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2.1367521367521363</v>
      </c>
      <c r="CT126" s="13">
        <f>IF('Données projet'!$A$140&gt;35,CT125+CS126-DB125,IF(A126&lt;'Données projet'!$A$140,$CQ$205^A126,IF(A126='Données projet'!$A$140,'Données projet'!$B$140,CT125+CS126-DB125)))</f>
        <v>250.42735042735038</v>
      </c>
      <c r="CU126" s="18">
        <f>CT126*VLOOKUP('Données projet'!$B$13,Paramètres!$A$1:$I$89,3,0)*VLOOKUP('Données projet'!$B$13,Paramètres!$A$1:$I$89,5,0)</f>
        <v>214.86666666666665</v>
      </c>
      <c r="CV126" s="14">
        <f t="shared" si="95"/>
        <v>52.99765263566637</v>
      </c>
      <c r="CW126" s="22">
        <f t="shared" si="67"/>
        <v>466.53035611822997</v>
      </c>
      <c r="CX126" s="62">
        <f t="shared" si="68"/>
        <v>743.67408810650977</v>
      </c>
      <c r="CY126" s="62">
        <f ca="1">AVERAGE(OFFSET($CX$3,0,0,'Données projet'!$E$13+1,1))-AVERAGE(OFFSET($H$3,0,0,'Données projet'!$E$13+1,1))</f>
        <v>384.3367849108829</v>
      </c>
      <c r="CZ126" s="62">
        <f t="shared" si="96"/>
        <v>238.2697272367603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-6.2527760746888816E-13</v>
      </c>
      <c r="DP126" s="18">
        <f>DO126*VLOOKUP('Données projet'!$B$14,Paramètres!$A$1:$I$89,3,0)*VLOOKUP('Données projet'!$B$14,Paramètres!$A$1:$I$89,5,0)</f>
        <v>-2.9262992029543964E-13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304.1100958939968</v>
      </c>
      <c r="DU126" s="62">
        <f t="shared" si="98"/>
        <v>184.1255966824568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2.1367521367521363</v>
      </c>
      <c r="EJ126" s="13">
        <f>IF('Données projet'!$A$192&gt;35,EJ125+EI126-ER125,IF(A126&lt;'Données projet'!$A$192,$EG$205^A126,IF(A126='Données projet'!$A$192,'Données projet'!$B$192,EJ125+EI126-ER125)))</f>
        <v>250.42735042735038</v>
      </c>
      <c r="EK126" s="18">
        <f>EJ126*VLOOKUP('Données projet'!$B$15,Paramètres!$A$1:$I$89,3,0)*VLOOKUP('Données projet'!$B$15,Paramètres!$A$1:$I$89,5,0)</f>
        <v>253.93333333333328</v>
      </c>
      <c r="EL126" s="14">
        <f t="shared" si="99"/>
        <v>61.427438220358759</v>
      </c>
      <c r="EM126" s="22">
        <f t="shared" si="73"/>
        <v>549.25334378934701</v>
      </c>
      <c r="EN126" s="62">
        <f t="shared" si="74"/>
        <v>826.3970757776267</v>
      </c>
      <c r="EO126" s="62">
        <f ca="1">AVERAGE(OFFSET($EN$3,0,0,'Données projet'!$E$15+1,1))-AVERAGE(OFFSET($H$3,0,0,'Données projet'!$E$15+1,1))</f>
        <v>435.03433721979218</v>
      </c>
      <c r="EP126" s="62">
        <f t="shared" si="100"/>
        <v>267.10015759286387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2.1367521367521363</v>
      </c>
      <c r="FE126" s="13">
        <f>IF('Données projet'!$A$218&gt;35,FE125+FD126-FM125,IF(A126&lt;'Données projet'!$A$218,$FB$205^A126,IF(A126='Données projet'!$A$218,'Données projet'!$B$218,FE125+FD126-FM125)))</f>
        <v>250.42735042735038</v>
      </c>
      <c r="FF126" s="18">
        <f>FE126*VLOOKUP('Données projet'!$B$16,Paramètres!$A$1:$I$89,3,0)*VLOOKUP('Données projet'!$B$16,Paramètres!$A$1:$I$89,5,0)</f>
        <v>261.74666666666667</v>
      </c>
      <c r="FG126" s="14">
        <f t="shared" si="101"/>
        <v>63.094551496829851</v>
      </c>
      <c r="FH126" s="22">
        <f t="shared" si="76"/>
        <v>565.76512163475638</v>
      </c>
      <c r="FI126" s="62">
        <f t="shared" si="77"/>
        <v>842.90885362303607</v>
      </c>
      <c r="FJ126" s="62">
        <f ca="1">AVERAGE(OFFSET($FI$3,0,0,'Données projet'!$E$16+1,1))-AVERAGE(OFFSET($H$3,0,0,'Données projet'!$E$16+1,1))</f>
        <v>445.15313998584293</v>
      </c>
      <c r="FK126" s="62">
        <f t="shared" si="102"/>
        <v>272.85357736694834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-5.6843418860808015E-14</v>
      </c>
      <c r="GA126" s="18">
        <f>FZ126*VLOOKUP('Données projet'!$B$17,Paramètres!$A$1:$I$89,3,0)*VLOOKUP('Données projet'!$B$17,Paramètres!$A$1:$I$89,5,0)</f>
        <v>-4.9658410716801891E-14</v>
      </c>
      <c r="GB126" s="14" t="e">
        <f t="shared" si="103"/>
        <v>#NUM!</v>
      </c>
      <c r="GC126" s="22" t="e">
        <f t="shared" si="79"/>
        <v>#NUM!</v>
      </c>
      <c r="GD126" s="62" t="e">
        <f t="shared" si="80"/>
        <v>#NUM!</v>
      </c>
      <c r="GE126" s="62">
        <f ca="1">AVERAGE(OFFSET($GD$3,0,0,'Données projet'!$E$17+1,1))-AVERAGE(OFFSET($H$3,0,0,'Données projet'!$E$17+1,1))</f>
        <v>248.82613595888964</v>
      </c>
      <c r="GF126" s="62">
        <f t="shared" si="104"/>
        <v>255.8298580882084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135.66666666666666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221.18884567967481</v>
      </c>
      <c r="T127" s="62">
        <f t="shared" si="88"/>
        <v>189.31596996710888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1.2474999999999994</v>
      </c>
      <c r="AI127" s="14">
        <f>IF('Données projet'!$A$62&gt;35,AI126+AH127-AQ126,IF(A127&lt;'Données projet'!$A$62,$AF$205^A127,IF(A127='Données projet'!$A$62,'Données projet'!$B$62,AI126+AH127-AQ126)))</f>
        <v>116.75666666666663</v>
      </c>
      <c r="AJ127" s="14">
        <f>AI127*VLOOKUP('Données projet'!$B$10,Paramètres!$A$1:$I$89,3,0)*VLOOKUP('Données projet'!$B$10,Paramètres!$A$1:$I$89,5,0)</f>
        <v>134.50367999999995</v>
      </c>
      <c r="AK127" s="14">
        <f t="shared" si="89"/>
        <v>35.034955853887169</v>
      </c>
      <c r="AL127" s="22">
        <f t="shared" si="58"/>
        <v>295.2797907788534</v>
      </c>
      <c r="AM127" s="62">
        <f t="shared" si="59"/>
        <v>572.70437615594346</v>
      </c>
      <c r="AN127" s="62">
        <f ca="1">AVERAGE(OFFSET($AM$3,0,0,'Données projet'!$E$10+1,1))-AVERAGE(OFFSET($H$3,0,0,'Données projet'!$E$10+1,1))</f>
        <v>314.72063458462026</v>
      </c>
      <c r="AO127" s="62">
        <f t="shared" si="90"/>
        <v>216.4380325968244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2.1367521367521363</v>
      </c>
      <c r="BD127" s="13">
        <f>IF('Données projet'!$A$88&gt;35,BD126+BC127-BL126,IF(A127&lt;'Données projet'!$A$88,$BA$205^A127,IF(A127='Données projet'!$A$88,'Données projet'!$B$88,BD126+BC127-BL126)))</f>
        <v>252.56410256410251</v>
      </c>
      <c r="BE127" s="14">
        <f>BD127*VLOOKUP('Données projet'!$B$11,Paramètres!$A$1:$I$89,3,0)*VLOOKUP('Données projet'!$B$11,Paramètres!$A$1:$I$89,5,0)</f>
        <v>271.8599999999999</v>
      </c>
      <c r="BF127" s="14">
        <f t="shared" si="91"/>
        <v>65.243850371339093</v>
      </c>
      <c r="BG127" s="22">
        <f t="shared" si="61"/>
        <v>587.12253939674872</v>
      </c>
      <c r="BH127" s="62">
        <f t="shared" si="62"/>
        <v>864.54712477383885</v>
      </c>
      <c r="BI127" s="62">
        <f ca="1">AVERAGE(OFFSET($BH$3,0,0,'Données projet'!$E$11+1,1))-AVERAGE(OFFSET($H$3,0,0,'Données projet'!$E$11+1,1))</f>
        <v>455.26558725507834</v>
      </c>
      <c r="BJ127" s="62">
        <f t="shared" si="92"/>
        <v>278.60310966788552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-2.9558577807620169E-14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300.72820267660154</v>
      </c>
      <c r="CE127" s="62">
        <f t="shared" si="94"/>
        <v>228.35388778608589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2.1367521367521363</v>
      </c>
      <c r="CT127" s="13">
        <f>IF('Données projet'!$A$140&gt;35,CT126+CS127-DB126,IF(A127&lt;'Données projet'!$A$140,$CQ$205^A127,IF(A127='Données projet'!$A$140,'Données projet'!$B$140,CT126+CS127-DB126)))</f>
        <v>252.56410256410251</v>
      </c>
      <c r="CU127" s="18">
        <f>CT127*VLOOKUP('Données projet'!$B$13,Paramètres!$A$1:$I$89,3,0)*VLOOKUP('Données projet'!$B$13,Paramètres!$A$1:$I$89,5,0)</f>
        <v>216.69999999999996</v>
      </c>
      <c r="CV127" s="14">
        <f t="shared" si="95"/>
        <v>53.397017352706918</v>
      </c>
      <c r="CW127" s="22">
        <f t="shared" si="67"/>
        <v>470.41897188929778</v>
      </c>
      <c r="CX127" s="62">
        <f t="shared" si="68"/>
        <v>747.84355726638796</v>
      </c>
      <c r="CY127" s="62">
        <f ca="1">AVERAGE(OFFSET($CX$3,0,0,'Données projet'!$E$13+1,1))-AVERAGE(OFFSET($H$3,0,0,'Données projet'!$E$13+1,1))</f>
        <v>384.3367849108829</v>
      </c>
      <c r="CZ127" s="62">
        <f t="shared" si="96"/>
        <v>238.2697272367603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-6.2527760746888816E-13</v>
      </c>
      <c r="DP127" s="18">
        <f>DO127*VLOOKUP('Données projet'!$B$14,Paramètres!$A$1:$I$89,3,0)*VLOOKUP('Données projet'!$B$14,Paramètres!$A$1:$I$89,5,0)</f>
        <v>-2.9262992029543964E-13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304.1100958939968</v>
      </c>
      <c r="DU127" s="62">
        <f t="shared" si="98"/>
        <v>184.1255966824568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2.1367521367521363</v>
      </c>
      <c r="EJ127" s="13">
        <f>IF('Données projet'!$A$192&gt;35,EJ126+EI127-ER126,IF(A127&lt;'Données projet'!$A$192,$EG$205^A127,IF(A127='Données projet'!$A$192,'Données projet'!$B$192,EJ126+EI127-ER126)))</f>
        <v>252.56410256410251</v>
      </c>
      <c r="EK127" s="18">
        <f>EJ127*VLOOKUP('Données projet'!$B$15,Paramètres!$A$1:$I$89,3,0)*VLOOKUP('Données projet'!$B$15,Paramètres!$A$1:$I$89,5,0)</f>
        <v>256.09999999999997</v>
      </c>
      <c r="EL127" s="14">
        <f t="shared" si="99"/>
        <v>61.890325730717905</v>
      </c>
      <c r="EM127" s="22">
        <f t="shared" si="73"/>
        <v>553.83315064766691</v>
      </c>
      <c r="EN127" s="62">
        <f t="shared" si="74"/>
        <v>831.25773602475704</v>
      </c>
      <c r="EO127" s="62">
        <f ca="1">AVERAGE(OFFSET($EN$3,0,0,'Données projet'!$E$15+1,1))-AVERAGE(OFFSET($H$3,0,0,'Données projet'!$E$15+1,1))</f>
        <v>435.03433721979218</v>
      </c>
      <c r="EP127" s="62">
        <f t="shared" si="100"/>
        <v>267.10015759286387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2.1367521367521363</v>
      </c>
      <c r="FE127" s="13">
        <f>IF('Données projet'!$A$218&gt;35,FE126+FD127-FM126,IF(A127&lt;'Données projet'!$A$218,$FB$205^A127,IF(A127='Données projet'!$A$218,'Données projet'!$B$218,FE126+FD127-FM126)))</f>
        <v>252.56410256410251</v>
      </c>
      <c r="FF127" s="18">
        <f>FE127*VLOOKUP('Données projet'!$B$16,Paramètres!$A$1:$I$89,3,0)*VLOOKUP('Données projet'!$B$16,Paramètres!$A$1:$I$89,5,0)</f>
        <v>263.97999999999996</v>
      </c>
      <c r="FG127" s="14">
        <f t="shared" si="101"/>
        <v>63.570001567770802</v>
      </c>
      <c r="FH127" s="22">
        <f t="shared" si="76"/>
        <v>570.48291939720082</v>
      </c>
      <c r="FI127" s="62">
        <f t="shared" si="77"/>
        <v>847.90750477429094</v>
      </c>
      <c r="FJ127" s="62">
        <f ca="1">AVERAGE(OFFSET($FI$3,0,0,'Données projet'!$E$16+1,1))-AVERAGE(OFFSET($H$3,0,0,'Données projet'!$E$16+1,1))</f>
        <v>445.15313998584293</v>
      </c>
      <c r="FK127" s="62">
        <f t="shared" si="102"/>
        <v>272.85357736694834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-5.6843418860808015E-14</v>
      </c>
      <c r="GA127" s="18">
        <f>FZ127*VLOOKUP('Données projet'!$B$17,Paramètres!$A$1:$I$89,3,0)*VLOOKUP('Données projet'!$B$17,Paramètres!$A$1:$I$89,5,0)</f>
        <v>-4.9658410716801891E-14</v>
      </c>
      <c r="GB127" s="14" t="e">
        <f t="shared" si="103"/>
        <v>#NUM!</v>
      </c>
      <c r="GC127" s="22" t="e">
        <f t="shared" si="79"/>
        <v>#NUM!</v>
      </c>
      <c r="GD127" s="62" t="e">
        <f t="shared" si="80"/>
        <v>#NUM!</v>
      </c>
      <c r="GE127" s="62">
        <f ca="1">AVERAGE(OFFSET($GD$3,0,0,'Données projet'!$E$17+1,1))-AVERAGE(OFFSET($H$3,0,0,'Données projet'!$E$17+1,1))</f>
        <v>248.82613595888964</v>
      </c>
      <c r="GF127" s="62">
        <f t="shared" si="104"/>
        <v>255.8298580882084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135.66666666666666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221.18884567967481</v>
      </c>
      <c r="T128" s="62">
        <f t="shared" si="88"/>
        <v>189.31596996710888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1.2474999999999994</v>
      </c>
      <c r="AI128" s="14">
        <f>IF('Données projet'!$A$62&gt;35,AI127+AH128-AQ127,IF(A128&lt;'Données projet'!$A$62,$AF$205^A128,IF(A128='Données projet'!$A$62,'Données projet'!$B$62,AI127+AH128-AQ127)))</f>
        <v>118.00416666666663</v>
      </c>
      <c r="AJ128" s="14">
        <f>AI128*VLOOKUP('Données projet'!$B$10,Paramètres!$A$1:$I$89,3,0)*VLOOKUP('Données projet'!$B$10,Paramètres!$A$1:$I$89,5,0)</f>
        <v>135.94079999999994</v>
      </c>
      <c r="AK128" s="14">
        <f t="shared" si="89"/>
        <v>35.365513394923219</v>
      </c>
      <c r="AL128" s="22">
        <f t="shared" si="58"/>
        <v>298.35849582949118</v>
      </c>
      <c r="AM128" s="62">
        <f t="shared" si="59"/>
        <v>576.05906241698995</v>
      </c>
      <c r="AN128" s="62">
        <f ca="1">AVERAGE(OFFSET($AM$3,0,0,'Données projet'!$E$10+1,1))-AVERAGE(OFFSET($H$3,0,0,'Données projet'!$E$10+1,1))</f>
        <v>314.72063458462026</v>
      </c>
      <c r="AO128" s="62">
        <f t="shared" si="90"/>
        <v>216.4380325968244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2.1367521367521363</v>
      </c>
      <c r="BD128" s="13">
        <f>IF('Données projet'!$A$88&gt;35,BD127+BC128-BL127,IF(A128&lt;'Données projet'!$A$88,$BA$205^A128,IF(A128='Données projet'!$A$88,'Données projet'!$B$88,BD127+BC128-BL127)))</f>
        <v>254.70085470085465</v>
      </c>
      <c r="BE128" s="14">
        <f>BD128*VLOOKUP('Données projet'!$B$11,Paramètres!$A$1:$I$89,3,0)*VLOOKUP('Données projet'!$B$11,Paramètres!$A$1:$I$89,5,0)</f>
        <v>274.15999999999991</v>
      </c>
      <c r="BF128" s="14">
        <f t="shared" si="91"/>
        <v>65.731339113981832</v>
      </c>
      <c r="BG128" s="22">
        <f t="shared" si="61"/>
        <v>591.97741562351814</v>
      </c>
      <c r="BH128" s="62">
        <f t="shared" si="62"/>
        <v>869.67798221101691</v>
      </c>
      <c r="BI128" s="62">
        <f ca="1">AVERAGE(OFFSET($BH$3,0,0,'Données projet'!$E$11+1,1))-AVERAGE(OFFSET($H$3,0,0,'Données projet'!$E$11+1,1))</f>
        <v>455.26558725507834</v>
      </c>
      <c r="BJ128" s="62">
        <f t="shared" si="92"/>
        <v>278.60310966788552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-2.9558577807620169E-14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300.72820267660154</v>
      </c>
      <c r="CE128" s="62">
        <f t="shared" si="94"/>
        <v>228.35388778608589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2.1367521367521363</v>
      </c>
      <c r="CT128" s="13">
        <f>IF('Données projet'!$A$140&gt;35,CT127+CS128-DB127,IF(A128&lt;'Données projet'!$A$140,$CQ$205^A128,IF(A128='Données projet'!$A$140,'Données projet'!$B$140,CT127+CS128-DB127)))</f>
        <v>254.70085470085465</v>
      </c>
      <c r="CU128" s="18">
        <f>CT128*VLOOKUP('Données projet'!$B$13,Paramètres!$A$1:$I$89,3,0)*VLOOKUP('Données projet'!$B$13,Paramètres!$A$1:$I$89,5,0)</f>
        <v>218.5333333333333</v>
      </c>
      <c r="CV128" s="14">
        <f t="shared" si="95"/>
        <v>53.79598897535012</v>
      </c>
      <c r="CW128" s="22">
        <f t="shared" si="67"/>
        <v>474.3069030209569</v>
      </c>
      <c r="CX128" s="62">
        <f t="shared" si="68"/>
        <v>752.00746960845572</v>
      </c>
      <c r="CY128" s="62">
        <f ca="1">AVERAGE(OFFSET($CX$3,0,0,'Données projet'!$E$13+1,1))-AVERAGE(OFFSET($H$3,0,0,'Données projet'!$E$13+1,1))</f>
        <v>384.3367849108829</v>
      </c>
      <c r="CZ128" s="62">
        <f t="shared" si="96"/>
        <v>238.2697272367603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-6.2527760746888816E-13</v>
      </c>
      <c r="DP128" s="18">
        <f>DO128*VLOOKUP('Données projet'!$B$14,Paramètres!$A$1:$I$89,3,0)*VLOOKUP('Données projet'!$B$14,Paramètres!$A$1:$I$89,5,0)</f>
        <v>-2.9262992029543964E-13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304.1100958939968</v>
      </c>
      <c r="DU128" s="62">
        <f t="shared" si="98"/>
        <v>184.1255966824568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2.1367521367521363</v>
      </c>
      <c r="EJ128" s="13">
        <f>IF('Données projet'!$A$192&gt;35,EJ127+EI128-ER127,IF(A128&lt;'Données projet'!$A$192,$EG$205^A128,IF(A128='Données projet'!$A$192,'Données projet'!$B$192,EJ127+EI128-ER127)))</f>
        <v>254.70085470085465</v>
      </c>
      <c r="EK128" s="18">
        <f>EJ128*VLOOKUP('Données projet'!$B$15,Paramètres!$A$1:$I$89,3,0)*VLOOKUP('Données projet'!$B$15,Paramètres!$A$1:$I$89,5,0)</f>
        <v>258.26666666666659</v>
      </c>
      <c r="EL128" s="14">
        <f t="shared" si="99"/>
        <v>62.352757621240947</v>
      </c>
      <c r="EM128" s="22">
        <f t="shared" si="73"/>
        <v>558.41216396810557</v>
      </c>
      <c r="EN128" s="62">
        <f t="shared" si="74"/>
        <v>836.11273055560434</v>
      </c>
      <c r="EO128" s="62">
        <f ca="1">AVERAGE(OFFSET($EN$3,0,0,'Données projet'!$E$15+1,1))-AVERAGE(OFFSET($H$3,0,0,'Données projet'!$E$15+1,1))</f>
        <v>435.03433721979218</v>
      </c>
      <c r="EP128" s="62">
        <f t="shared" si="100"/>
        <v>267.10015759286387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2.1367521367521363</v>
      </c>
      <c r="FE128" s="13">
        <f>IF('Données projet'!$A$218&gt;35,FE127+FD128-FM127,IF(A128&lt;'Données projet'!$A$218,$FB$205^A128,IF(A128='Données projet'!$A$218,'Données projet'!$B$218,FE127+FD128-FM127)))</f>
        <v>254.70085470085465</v>
      </c>
      <c r="FF128" s="18">
        <f>FE128*VLOOKUP('Données projet'!$B$16,Paramètres!$A$1:$I$89,3,0)*VLOOKUP('Données projet'!$B$16,Paramètres!$A$1:$I$89,5,0)</f>
        <v>266.21333333333331</v>
      </c>
      <c r="FG128" s="14">
        <f t="shared" si="101"/>
        <v>64.044983653556571</v>
      </c>
      <c r="FH128" s="22">
        <f t="shared" si="76"/>
        <v>575.19990208549996</v>
      </c>
      <c r="FI128" s="62">
        <f t="shared" si="77"/>
        <v>852.90046867299873</v>
      </c>
      <c r="FJ128" s="62">
        <f ca="1">AVERAGE(OFFSET($FI$3,0,0,'Données projet'!$E$16+1,1))-AVERAGE(OFFSET($H$3,0,0,'Données projet'!$E$16+1,1))</f>
        <v>445.15313998584293</v>
      </c>
      <c r="FK128" s="62">
        <f t="shared" si="102"/>
        <v>272.85357736694834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-5.6843418860808015E-14</v>
      </c>
      <c r="GA128" s="18">
        <f>FZ128*VLOOKUP('Données projet'!$B$17,Paramètres!$A$1:$I$89,3,0)*VLOOKUP('Données projet'!$B$17,Paramètres!$A$1:$I$89,5,0)</f>
        <v>-4.9658410716801891E-14</v>
      </c>
      <c r="GB128" s="14" t="e">
        <f t="shared" si="103"/>
        <v>#NUM!</v>
      </c>
      <c r="GC128" s="22" t="e">
        <f t="shared" si="79"/>
        <v>#NUM!</v>
      </c>
      <c r="GD128" s="62" t="e">
        <f t="shared" si="80"/>
        <v>#NUM!</v>
      </c>
      <c r="GE128" s="62">
        <f ca="1">AVERAGE(OFFSET($GD$3,0,0,'Données projet'!$E$17+1,1))-AVERAGE(OFFSET($H$3,0,0,'Données projet'!$E$17+1,1))</f>
        <v>248.82613595888964</v>
      </c>
      <c r="GF128" s="62">
        <f t="shared" si="104"/>
        <v>255.8298580882084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135.66666666666666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221.18884567967481</v>
      </c>
      <c r="T129" s="62">
        <f t="shared" si="88"/>
        <v>189.31596996710888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1.2474999999999994</v>
      </c>
      <c r="AI129" s="14">
        <f>IF('Données projet'!$A$62&gt;35,AI128+AH129-AQ128,IF(A129&lt;'Données projet'!$A$62,$AF$205^A129,IF(A129='Données projet'!$A$62,'Données projet'!$B$62,AI128+AH129-AQ128)))</f>
        <v>119.25166666666664</v>
      </c>
      <c r="AJ129" s="14">
        <f>AI129*VLOOKUP('Données projet'!$B$10,Paramètres!$A$1:$I$89,3,0)*VLOOKUP('Données projet'!$B$10,Paramètres!$A$1:$I$89,5,0)</f>
        <v>137.37791999999996</v>
      </c>
      <c r="AK129" s="14">
        <f t="shared" si="89"/>
        <v>35.695664413414427</v>
      </c>
      <c r="AL129" s="22">
        <f t="shared" si="58"/>
        <v>301.43649285336335</v>
      </c>
      <c r="AM129" s="62">
        <f t="shared" si="59"/>
        <v>579.40825299427172</v>
      </c>
      <c r="AN129" s="62">
        <f ca="1">AVERAGE(OFFSET($AM$3,0,0,'Données projet'!$E$10+1,1))-AVERAGE(OFFSET($H$3,0,0,'Données projet'!$E$10+1,1))</f>
        <v>314.72063458462026</v>
      </c>
      <c r="AO129" s="62">
        <f t="shared" si="90"/>
        <v>216.4380325968244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2.1367521367521363</v>
      </c>
      <c r="BD129" s="13">
        <f>IF('Données projet'!$A$88&gt;35,BD128+BC129-BL128,IF(A129&lt;'Données projet'!$A$88,$BA$205^A129,IF(A129='Données projet'!$A$88,'Données projet'!$B$88,BD128+BC129-BL128)))</f>
        <v>256.83760683760681</v>
      </c>
      <c r="BE129" s="14">
        <f>BD129*VLOOKUP('Données projet'!$B$11,Paramètres!$A$1:$I$89,3,0)*VLOOKUP('Données projet'!$B$11,Paramètres!$A$1:$I$89,5,0)</f>
        <v>276.45999999999998</v>
      </c>
      <c r="BF129" s="14">
        <f t="shared" si="91"/>
        <v>66.218352045408679</v>
      </c>
      <c r="BG129" s="22">
        <f t="shared" si="61"/>
        <v>596.83146314575333</v>
      </c>
      <c r="BH129" s="62">
        <f t="shared" si="62"/>
        <v>874.80322328666171</v>
      </c>
      <c r="BI129" s="62">
        <f ca="1">AVERAGE(OFFSET($BH$3,0,0,'Données projet'!$E$11+1,1))-AVERAGE(OFFSET($H$3,0,0,'Données projet'!$E$11+1,1))</f>
        <v>455.26558725507834</v>
      </c>
      <c r="BJ129" s="62">
        <f t="shared" si="92"/>
        <v>278.60310966788552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-2.9558577807620169E-14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300.72820267660154</v>
      </c>
      <c r="CE129" s="62">
        <f t="shared" si="94"/>
        <v>228.35388778608589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2.1367521367521363</v>
      </c>
      <c r="CT129" s="13">
        <f>IF('Données projet'!$A$140&gt;35,CT128+CS129-DB128,IF(A129&lt;'Données projet'!$A$140,$CQ$205^A129,IF(A129='Données projet'!$A$140,'Données projet'!$B$140,CT128+CS129-DB128)))</f>
        <v>256.83760683760681</v>
      </c>
      <c r="CU129" s="18">
        <f>CT129*VLOOKUP('Données projet'!$B$13,Paramètres!$A$1:$I$89,3,0)*VLOOKUP('Données projet'!$B$13,Paramètres!$A$1:$I$89,5,0)</f>
        <v>220.36666666666665</v>
      </c>
      <c r="CV129" s="14">
        <f t="shared" si="95"/>
        <v>54.194571183518136</v>
      </c>
      <c r="CW129" s="22">
        <f t="shared" si="67"/>
        <v>478.19415592240517</v>
      </c>
      <c r="CX129" s="62">
        <f t="shared" si="68"/>
        <v>756.16591606331349</v>
      </c>
      <c r="CY129" s="62">
        <f ca="1">AVERAGE(OFFSET($CX$3,0,0,'Données projet'!$E$13+1,1))-AVERAGE(OFFSET($H$3,0,0,'Données projet'!$E$13+1,1))</f>
        <v>384.3367849108829</v>
      </c>
      <c r="CZ129" s="62">
        <f t="shared" si="96"/>
        <v>238.2697272367603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-6.2527760746888816E-13</v>
      </c>
      <c r="DP129" s="18">
        <f>DO129*VLOOKUP('Données projet'!$B$14,Paramètres!$A$1:$I$89,3,0)*VLOOKUP('Données projet'!$B$14,Paramètres!$A$1:$I$89,5,0)</f>
        <v>-2.9262992029543964E-13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304.1100958939968</v>
      </c>
      <c r="DU129" s="62">
        <f t="shared" si="98"/>
        <v>184.1255966824568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2.1367521367521363</v>
      </c>
      <c r="EJ129" s="13">
        <f>IF('Données projet'!$A$192&gt;35,EJ128+EI129-ER128,IF(A129&lt;'Données projet'!$A$192,$EG$205^A129,IF(A129='Données projet'!$A$192,'Données projet'!$B$192,EJ128+EI129-ER128)))</f>
        <v>256.83760683760681</v>
      </c>
      <c r="EK129" s="18">
        <f>EJ129*VLOOKUP('Données projet'!$B$15,Paramètres!$A$1:$I$89,3,0)*VLOOKUP('Données projet'!$B$15,Paramètres!$A$1:$I$89,5,0)</f>
        <v>260.43333333333334</v>
      </c>
      <c r="EL129" s="14">
        <f t="shared" si="99"/>
        <v>62.81473815717689</v>
      </c>
      <c r="EM129" s="22">
        <f t="shared" si="73"/>
        <v>562.99039117930533</v>
      </c>
      <c r="EN129" s="62">
        <f t="shared" si="74"/>
        <v>840.96215132021371</v>
      </c>
      <c r="EO129" s="62">
        <f ca="1">AVERAGE(OFFSET($EN$3,0,0,'Données projet'!$E$15+1,1))-AVERAGE(OFFSET($H$3,0,0,'Données projet'!$E$15+1,1))</f>
        <v>435.03433721979218</v>
      </c>
      <c r="EP129" s="62">
        <f t="shared" si="100"/>
        <v>267.10015759286387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2.1367521367521363</v>
      </c>
      <c r="FE129" s="13">
        <f>IF('Données projet'!$A$218&gt;35,FE128+FD129-FM128,IF(A129&lt;'Données projet'!$A$218,$FB$205^A129,IF(A129='Données projet'!$A$218,'Données projet'!$B$218,FE128+FD129-FM128)))</f>
        <v>256.83760683760681</v>
      </c>
      <c r="FF129" s="18">
        <f>FE129*VLOOKUP('Données projet'!$B$16,Paramètres!$A$1:$I$89,3,0)*VLOOKUP('Données projet'!$B$16,Paramètres!$A$1:$I$89,5,0)</f>
        <v>268.44666666666666</v>
      </c>
      <c r="FG129" s="14">
        <f t="shared" si="101"/>
        <v>64.519502135193051</v>
      </c>
      <c r="FH129" s="22">
        <f t="shared" si="76"/>
        <v>579.91607732990553</v>
      </c>
      <c r="FI129" s="62">
        <f t="shared" si="77"/>
        <v>857.88783747081391</v>
      </c>
      <c r="FJ129" s="62">
        <f ca="1">AVERAGE(OFFSET($FI$3,0,0,'Données projet'!$E$16+1,1))-AVERAGE(OFFSET($H$3,0,0,'Données projet'!$E$16+1,1))</f>
        <v>445.15313998584293</v>
      </c>
      <c r="FK129" s="62">
        <f t="shared" si="102"/>
        <v>272.85357736694834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-5.6843418860808015E-14</v>
      </c>
      <c r="GA129" s="18">
        <f>FZ129*VLOOKUP('Données projet'!$B$17,Paramètres!$A$1:$I$89,3,0)*VLOOKUP('Données projet'!$B$17,Paramètres!$A$1:$I$89,5,0)</f>
        <v>-4.9658410716801891E-14</v>
      </c>
      <c r="GB129" s="14" t="e">
        <f t="shared" si="103"/>
        <v>#NUM!</v>
      </c>
      <c r="GC129" s="22" t="e">
        <f t="shared" si="79"/>
        <v>#NUM!</v>
      </c>
      <c r="GD129" s="62" t="e">
        <f t="shared" si="80"/>
        <v>#NUM!</v>
      </c>
      <c r="GE129" s="62">
        <f ca="1">AVERAGE(OFFSET($GD$3,0,0,'Données projet'!$E$17+1,1))-AVERAGE(OFFSET($H$3,0,0,'Données projet'!$E$17+1,1))</f>
        <v>248.82613595888964</v>
      </c>
      <c r="GF129" s="62">
        <f t="shared" si="104"/>
        <v>255.8298580882084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135.66666666666666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221.18884567967481</v>
      </c>
      <c r="T130" s="62">
        <f t="shared" si="88"/>
        <v>189.31596996710888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1.2474999999999994</v>
      </c>
      <c r="AI130" s="14">
        <f>IF('Données projet'!$A$62&gt;35,AI129+AH130-AQ129,IF(A130&lt;'Données projet'!$A$62,$AF$205^A130,IF(A130='Données projet'!$A$62,'Données projet'!$B$62,AI129+AH130-AQ129)))</f>
        <v>120.49916666666664</v>
      </c>
      <c r="AJ130" s="14">
        <f>AI130*VLOOKUP('Données projet'!$B$10,Paramètres!$A$1:$I$89,3,0)*VLOOKUP('Données projet'!$B$10,Paramètres!$A$1:$I$89,5,0)</f>
        <v>138.81503999999995</v>
      </c>
      <c r="AK130" s="14">
        <f t="shared" si="89"/>
        <v>36.02541365431572</v>
      </c>
      <c r="AL130" s="22">
        <f t="shared" si="58"/>
        <v>304.51379011459977</v>
      </c>
      <c r="AM130" s="62">
        <f t="shared" si="59"/>
        <v>582.75203920706406</v>
      </c>
      <c r="AN130" s="62">
        <f ca="1">AVERAGE(OFFSET($AM$3,0,0,'Données projet'!$E$10+1,1))-AVERAGE(OFFSET($H$3,0,0,'Données projet'!$E$10+1,1))</f>
        <v>314.72063458462026</v>
      </c>
      <c r="AO130" s="62">
        <f t="shared" si="90"/>
        <v>216.4380325968244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2.1367521367521363</v>
      </c>
      <c r="BD130" s="13">
        <f>IF('Données projet'!$A$88&gt;35,BD129+BC130-BL129,IF(A130&lt;'Données projet'!$A$88,$BA$205^A130,IF(A130='Données projet'!$A$88,'Données projet'!$B$88,BD129+BC130-BL129)))</f>
        <v>258.97435897435895</v>
      </c>
      <c r="BE130" s="14">
        <f>BD130*VLOOKUP('Données projet'!$B$11,Paramètres!$A$1:$I$89,3,0)*VLOOKUP('Données projet'!$B$11,Paramètres!$A$1:$I$89,5,0)</f>
        <v>278.75999999999993</v>
      </c>
      <c r="BF130" s="14">
        <f t="shared" si="91"/>
        <v>66.70489358284766</v>
      </c>
      <c r="BG130" s="22">
        <f t="shared" si="61"/>
        <v>601.68468965679278</v>
      </c>
      <c r="BH130" s="62">
        <f t="shared" si="62"/>
        <v>879.92293874925713</v>
      </c>
      <c r="BI130" s="62">
        <f ca="1">AVERAGE(OFFSET($BH$3,0,0,'Données projet'!$E$11+1,1))-AVERAGE(OFFSET($H$3,0,0,'Données projet'!$E$11+1,1))</f>
        <v>455.26558725507834</v>
      </c>
      <c r="BJ130" s="62">
        <f t="shared" si="92"/>
        <v>278.60310966788552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-2.9558577807620169E-14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300.72820267660154</v>
      </c>
      <c r="CE130" s="62">
        <f t="shared" si="94"/>
        <v>228.35388778608589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2.1367521367521363</v>
      </c>
      <c r="CT130" s="13">
        <f>IF('Données projet'!$A$140&gt;35,CT129+CS130-DB129,IF(A130&lt;'Données projet'!$A$140,$CQ$205^A130,IF(A130='Données projet'!$A$140,'Données projet'!$B$140,CT129+CS130-DB129)))</f>
        <v>258.97435897435895</v>
      </c>
      <c r="CU130" s="18">
        <f>CT130*VLOOKUP('Données projet'!$B$13,Paramètres!$A$1:$I$89,3,0)*VLOOKUP('Données projet'!$B$13,Paramètres!$A$1:$I$89,5,0)</f>
        <v>222.2</v>
      </c>
      <c r="CV130" s="14">
        <f t="shared" si="95"/>
        <v>54.592767592368624</v>
      </c>
      <c r="CW130" s="22">
        <f t="shared" si="67"/>
        <v>482.08073689004186</v>
      </c>
      <c r="CX130" s="62">
        <f t="shared" si="68"/>
        <v>760.31898598250609</v>
      </c>
      <c r="CY130" s="62">
        <f ca="1">AVERAGE(OFFSET($CX$3,0,0,'Données projet'!$E$13+1,1))-AVERAGE(OFFSET($H$3,0,0,'Données projet'!$E$13+1,1))</f>
        <v>384.3367849108829</v>
      </c>
      <c r="CZ130" s="62">
        <f t="shared" si="96"/>
        <v>238.2697272367603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-6.2527760746888816E-13</v>
      </c>
      <c r="DP130" s="18">
        <f>DO130*VLOOKUP('Données projet'!$B$14,Paramètres!$A$1:$I$89,3,0)*VLOOKUP('Données projet'!$B$14,Paramètres!$A$1:$I$89,5,0)</f>
        <v>-2.9262992029543964E-13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304.1100958939968</v>
      </c>
      <c r="DU130" s="62">
        <f t="shared" si="98"/>
        <v>184.1255966824568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2.1367521367521363</v>
      </c>
      <c r="EJ130" s="13">
        <f>IF('Données projet'!$A$192&gt;35,EJ129+EI130-ER129,IF(A130&lt;'Données projet'!$A$192,$EG$205^A130,IF(A130='Données projet'!$A$192,'Données projet'!$B$192,EJ129+EI130-ER129)))</f>
        <v>258.97435897435895</v>
      </c>
      <c r="EK130" s="18">
        <f>EJ130*VLOOKUP('Données projet'!$B$15,Paramètres!$A$1:$I$89,3,0)*VLOOKUP('Données projet'!$B$15,Paramètres!$A$1:$I$89,5,0)</f>
        <v>262.59999999999997</v>
      </c>
      <c r="EL130" s="14">
        <f t="shared" si="99"/>
        <v>63.276271528709039</v>
      </c>
      <c r="EM130" s="22">
        <f t="shared" si="73"/>
        <v>567.56783957916821</v>
      </c>
      <c r="EN130" s="62">
        <f t="shared" si="74"/>
        <v>845.80608867163255</v>
      </c>
      <c r="EO130" s="62">
        <f ca="1">AVERAGE(OFFSET($EN$3,0,0,'Données projet'!$E$15+1,1))-AVERAGE(OFFSET($H$3,0,0,'Données projet'!$E$15+1,1))</f>
        <v>435.03433721979218</v>
      </c>
      <c r="EP130" s="62">
        <f t="shared" si="100"/>
        <v>267.10015759286387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2.1367521367521363</v>
      </c>
      <c r="FE130" s="13">
        <f>IF('Données projet'!$A$218&gt;35,FE129+FD130-FM129,IF(A130&lt;'Données projet'!$A$218,$FB$205^A130,IF(A130='Données projet'!$A$218,'Données projet'!$B$218,FE129+FD130-FM129)))</f>
        <v>258.97435897435895</v>
      </c>
      <c r="FF130" s="18">
        <f>FE130*VLOOKUP('Données projet'!$B$16,Paramètres!$A$1:$I$89,3,0)*VLOOKUP('Données projet'!$B$16,Paramètres!$A$1:$I$89,5,0)</f>
        <v>270.68</v>
      </c>
      <c r="FG130" s="14">
        <f t="shared" si="101"/>
        <v>64.993561316583325</v>
      </c>
      <c r="FH130" s="22">
        <f t="shared" si="76"/>
        <v>584.63145262638261</v>
      </c>
      <c r="FI130" s="62">
        <f t="shared" si="77"/>
        <v>862.86970171884695</v>
      </c>
      <c r="FJ130" s="62">
        <f ca="1">AVERAGE(OFFSET($FI$3,0,0,'Données projet'!$E$16+1,1))-AVERAGE(OFFSET($H$3,0,0,'Données projet'!$E$16+1,1))</f>
        <v>445.15313998584293</v>
      </c>
      <c r="FK130" s="62">
        <f t="shared" si="102"/>
        <v>272.85357736694834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-5.6843418860808015E-14</v>
      </c>
      <c r="GA130" s="18">
        <f>FZ130*VLOOKUP('Données projet'!$B$17,Paramètres!$A$1:$I$89,3,0)*VLOOKUP('Données projet'!$B$17,Paramètres!$A$1:$I$89,5,0)</f>
        <v>-4.9658410716801891E-14</v>
      </c>
      <c r="GB130" s="14" t="e">
        <f t="shared" si="103"/>
        <v>#NUM!</v>
      </c>
      <c r="GC130" s="22" t="e">
        <f t="shared" si="79"/>
        <v>#NUM!</v>
      </c>
      <c r="GD130" s="62" t="e">
        <f t="shared" si="80"/>
        <v>#NUM!</v>
      </c>
      <c r="GE130" s="62">
        <f ca="1">AVERAGE(OFFSET($GD$3,0,0,'Données projet'!$E$17+1,1))-AVERAGE(OFFSET($H$3,0,0,'Données projet'!$E$17+1,1))</f>
        <v>248.82613595888964</v>
      </c>
      <c r="GF130" s="62">
        <f t="shared" si="104"/>
        <v>255.8298580882084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135.66666666666666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221.18884567967481</v>
      </c>
      <c r="T131" s="62">
        <f t="shared" si="88"/>
        <v>189.31596996710888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1.2474999999999994</v>
      </c>
      <c r="AI131" s="14">
        <f>IF('Données projet'!$A$62&gt;35,AI130+AH131-AQ130,IF(A131&lt;'Données projet'!$A$62,$AF$205^A131,IF(A131='Données projet'!$A$62,'Données projet'!$B$62,AI130+AH131-AQ130)))</f>
        <v>121.74666666666664</v>
      </c>
      <c r="AJ131" s="14">
        <f>AI131*VLOOKUP('Données projet'!$B$10,Paramètres!$A$1:$I$89,3,0)*VLOOKUP('Données projet'!$B$10,Paramètres!$A$1:$I$89,5,0)</f>
        <v>140.25215999999998</v>
      </c>
      <c r="AK131" s="14">
        <f t="shared" si="89"/>
        <v>36.354765758674333</v>
      </c>
      <c r="AL131" s="22">
        <f t="shared" si="58"/>
        <v>307.59039569635775</v>
      </c>
      <c r="AM131" s="62">
        <f t="shared" si="59"/>
        <v>586.09051075284856</v>
      </c>
      <c r="AN131" s="62">
        <f ca="1">AVERAGE(OFFSET($AM$3,0,0,'Données projet'!$E$10+1,1))-AVERAGE(OFFSET($H$3,0,0,'Données projet'!$E$10+1,1))</f>
        <v>314.72063458462026</v>
      </c>
      <c r="AO131" s="62">
        <f t="shared" si="90"/>
        <v>216.4380325968244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2.1367521367521363</v>
      </c>
      <c r="BD131" s="13">
        <f>IF('Données projet'!$A$88&gt;35,BD130+BC131-BL130,IF(A131&lt;'Données projet'!$A$88,$BA$205^A131,IF(A131='Données projet'!$A$88,'Données projet'!$B$88,BD130+BC131-BL130)))</f>
        <v>261.11111111111109</v>
      </c>
      <c r="BE131" s="14">
        <f>BD131*VLOOKUP('Données projet'!$B$11,Paramètres!$A$1:$I$89,3,0)*VLOOKUP('Données projet'!$B$11,Paramètres!$A$1:$I$89,5,0)</f>
        <v>281.05999999999995</v>
      </c>
      <c r="BF131" s="14">
        <f t="shared" si="91"/>
        <v>67.190968066427587</v>
      </c>
      <c r="BG131" s="22">
        <f t="shared" si="61"/>
        <v>606.53710271569446</v>
      </c>
      <c r="BH131" s="62">
        <f t="shared" si="62"/>
        <v>885.03721777218516</v>
      </c>
      <c r="BI131" s="62">
        <f ca="1">AVERAGE(OFFSET($BH$3,0,0,'Données projet'!$E$11+1,1))-AVERAGE(OFFSET($H$3,0,0,'Données projet'!$E$11+1,1))</f>
        <v>455.26558725507834</v>
      </c>
      <c r="BJ131" s="62">
        <f t="shared" si="92"/>
        <v>278.60310966788552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-2.9558577807620169E-14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300.72820267660154</v>
      </c>
      <c r="CE131" s="62">
        <f t="shared" si="94"/>
        <v>228.35388778608589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2.1367521367521363</v>
      </c>
      <c r="CT131" s="13">
        <f>IF('Données projet'!$A$140&gt;35,CT130+CS131-DB130,IF(A131&lt;'Données projet'!$A$140,$CQ$205^A131,IF(A131='Données projet'!$A$140,'Données projet'!$B$140,CT130+CS131-DB130)))</f>
        <v>261.11111111111109</v>
      </c>
      <c r="CU131" s="18">
        <f>CT131*VLOOKUP('Données projet'!$B$13,Paramètres!$A$1:$I$89,3,0)*VLOOKUP('Données projet'!$B$13,Paramètres!$A$1:$I$89,5,0)</f>
        <v>224.03333333333336</v>
      </c>
      <c r="CV131" s="14">
        <f t="shared" si="95"/>
        <v>54.990581753959304</v>
      </c>
      <c r="CW131" s="22">
        <f t="shared" si="67"/>
        <v>485.9666521103681</v>
      </c>
      <c r="CX131" s="62">
        <f t="shared" si="68"/>
        <v>764.46676716685886</v>
      </c>
      <c r="CY131" s="62">
        <f ca="1">AVERAGE(OFFSET($CX$3,0,0,'Données projet'!$E$13+1,1))-AVERAGE(OFFSET($H$3,0,0,'Données projet'!$E$13+1,1))</f>
        <v>384.3367849108829</v>
      </c>
      <c r="CZ131" s="62">
        <f t="shared" si="96"/>
        <v>238.2697272367603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-6.2527760746888816E-13</v>
      </c>
      <c r="DP131" s="18">
        <f>DO131*VLOOKUP('Données projet'!$B$14,Paramètres!$A$1:$I$89,3,0)*VLOOKUP('Données projet'!$B$14,Paramètres!$A$1:$I$89,5,0)</f>
        <v>-2.9262992029543964E-13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304.1100958939968</v>
      </c>
      <c r="DU131" s="62">
        <f t="shared" si="98"/>
        <v>184.1255966824568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2.1367521367521363</v>
      </c>
      <c r="EJ131" s="13">
        <f>IF('Données projet'!$A$192&gt;35,EJ130+EI131-ER130,IF(A131&lt;'Données projet'!$A$192,$EG$205^A131,IF(A131='Données projet'!$A$192,'Données projet'!$B$192,EJ130+EI131-ER130)))</f>
        <v>261.11111111111109</v>
      </c>
      <c r="EK131" s="18">
        <f>EJ131*VLOOKUP('Données projet'!$B$15,Paramètres!$A$1:$I$89,3,0)*VLOOKUP('Données projet'!$B$15,Paramètres!$A$1:$I$89,5,0)</f>
        <v>264.76666666666665</v>
      </c>
      <c r="EL131" s="14">
        <f t="shared" si="99"/>
        <v>63.737361852884128</v>
      </c>
      <c r="EM131" s="22">
        <f t="shared" si="73"/>
        <v>572.14451633821761</v>
      </c>
      <c r="EN131" s="62">
        <f t="shared" si="74"/>
        <v>850.64463139470831</v>
      </c>
      <c r="EO131" s="62">
        <f ca="1">AVERAGE(OFFSET($EN$3,0,0,'Données projet'!$E$15+1,1))-AVERAGE(OFFSET($H$3,0,0,'Données projet'!$E$15+1,1))</f>
        <v>435.03433721979218</v>
      </c>
      <c r="EP131" s="62">
        <f t="shared" si="100"/>
        <v>267.10015759286387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2.1367521367521363</v>
      </c>
      <c r="FE131" s="13">
        <f>IF('Données projet'!$A$218&gt;35,FE130+FD131-FM130,IF(A131&lt;'Données projet'!$A$218,$FB$205^A131,IF(A131='Données projet'!$A$218,'Données projet'!$B$218,FE130+FD131-FM130)))</f>
        <v>261.11111111111109</v>
      </c>
      <c r="FF131" s="18">
        <f>FE131*VLOOKUP('Données projet'!$B$16,Paramètres!$A$1:$I$89,3,0)*VLOOKUP('Données projet'!$B$16,Paramètres!$A$1:$I$89,5,0)</f>
        <v>272.9133333333333</v>
      </c>
      <c r="FG131" s="14">
        <f t="shared" si="101"/>
        <v>65.467165426508799</v>
      </c>
      <c r="FH131" s="22">
        <f t="shared" si="76"/>
        <v>589.34603534005839</v>
      </c>
      <c r="FI131" s="62">
        <f t="shared" si="77"/>
        <v>867.84615039654909</v>
      </c>
      <c r="FJ131" s="62">
        <f ca="1">AVERAGE(OFFSET($FI$3,0,0,'Données projet'!$E$16+1,1))-AVERAGE(OFFSET($H$3,0,0,'Données projet'!$E$16+1,1))</f>
        <v>445.15313998584293</v>
      </c>
      <c r="FK131" s="62">
        <f t="shared" si="102"/>
        <v>272.85357736694834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-5.6843418860808015E-14</v>
      </c>
      <c r="GA131" s="18">
        <f>FZ131*VLOOKUP('Données projet'!$B$17,Paramètres!$A$1:$I$89,3,0)*VLOOKUP('Données projet'!$B$17,Paramètres!$A$1:$I$89,5,0)</f>
        <v>-4.9658410716801891E-14</v>
      </c>
      <c r="GB131" s="14" t="e">
        <f t="shared" si="103"/>
        <v>#NUM!</v>
      </c>
      <c r="GC131" s="22" t="e">
        <f t="shared" si="79"/>
        <v>#NUM!</v>
      </c>
      <c r="GD131" s="62" t="e">
        <f t="shared" si="80"/>
        <v>#NUM!</v>
      </c>
      <c r="GE131" s="62">
        <f ca="1">AVERAGE(OFFSET($GD$3,0,0,'Données projet'!$E$17+1,1))-AVERAGE(OFFSET($H$3,0,0,'Données projet'!$E$17+1,1))</f>
        <v>248.82613595888964</v>
      </c>
      <c r="GF131" s="62">
        <f t="shared" si="104"/>
        <v>255.8298580882084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135.66666666666666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221.18884567967481</v>
      </c>
      <c r="T132" s="62">
        <f t="shared" si="88"/>
        <v>189.31596996710888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1.2474999999999994</v>
      </c>
      <c r="AI132" s="14">
        <f>IF('Données projet'!$A$62&gt;35,AI131+AH132-AQ131,IF(A132&lt;'Données projet'!$A$62,$AF$205^A132,IF(A132='Données projet'!$A$62,'Données projet'!$B$62,AI131+AH132-AQ131)))</f>
        <v>122.99416666666664</v>
      </c>
      <c r="AJ132" s="14">
        <f>AI132*VLOOKUP('Données projet'!$B$10,Paramètres!$A$1:$I$89,3,0)*VLOOKUP('Données projet'!$B$10,Paramètres!$A$1:$I$89,5,0)</f>
        <v>141.68927999999997</v>
      </c>
      <c r="AK132" s="14">
        <f t="shared" si="89"/>
        <v>36.683725266946084</v>
      </c>
      <c r="AL132" s="22">
        <f t="shared" ref="AL132:AL153" si="112">(AJ132+AK132)*0.475*44/12</f>
        <v>310.66631750659769</v>
      </c>
      <c r="AM132" s="62">
        <f t="shared" ref="AM132:AM195" si="113">AL132+(AD132+AE132)*44/12</f>
        <v>589.42375573808363</v>
      </c>
      <c r="AN132" s="62">
        <f ca="1">AVERAGE(OFFSET($AM$3,0,0,'Données projet'!$E$10+1,1))-AVERAGE(OFFSET($H$3,0,0,'Données projet'!$E$10+1,1))</f>
        <v>314.72063458462026</v>
      </c>
      <c r="AO132" s="62">
        <f t="shared" si="90"/>
        <v>216.4380325968244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2.1367521367521363</v>
      </c>
      <c r="BD132" s="13">
        <f>IF('Données projet'!$A$88&gt;35,BD131+BC132-BL131,IF(A132&lt;'Données projet'!$A$88,$BA$205^A132,IF(A132='Données projet'!$A$88,'Données projet'!$B$88,BD131+BC132-BL131)))</f>
        <v>263.24786324786322</v>
      </c>
      <c r="BE132" s="14">
        <f>BD132*VLOOKUP('Données projet'!$B$11,Paramètres!$A$1:$I$89,3,0)*VLOOKUP('Données projet'!$B$11,Paramètres!$A$1:$I$89,5,0)</f>
        <v>283.35999999999996</v>
      </c>
      <c r="BF132" s="14">
        <f t="shared" si="91"/>
        <v>67.676579761143032</v>
      </c>
      <c r="BG132" s="22">
        <f t="shared" ref="BG132:BG153" si="115">(BE132+BF132)*0.475*44/12</f>
        <v>611.38870975065743</v>
      </c>
      <c r="BH132" s="62">
        <f t="shared" ref="BH132:BH195" si="116">BG132+(AY132+AZ132)*44/12</f>
        <v>890.14614798214336</v>
      </c>
      <c r="BI132" s="62">
        <f ca="1">AVERAGE(OFFSET($BH$3,0,0,'Données projet'!$E$11+1,1))-AVERAGE(OFFSET($H$3,0,0,'Données projet'!$E$11+1,1))</f>
        <v>455.26558725507834</v>
      </c>
      <c r="BJ132" s="62">
        <f t="shared" si="92"/>
        <v>278.60310966788552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-2.9558577807620169E-14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300.72820267660154</v>
      </c>
      <c r="CE132" s="62">
        <f t="shared" si="94"/>
        <v>228.35388778608589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2.1367521367521363</v>
      </c>
      <c r="CT132" s="13">
        <f>IF('Données projet'!$A$140&gt;35,CT131+CS132-DB131,IF(A132&lt;'Données projet'!$A$140,$CQ$205^A132,IF(A132='Données projet'!$A$140,'Données projet'!$B$140,CT131+CS132-DB131)))</f>
        <v>263.24786324786322</v>
      </c>
      <c r="CU132" s="18">
        <f>CT132*VLOOKUP('Données projet'!$B$13,Paramètres!$A$1:$I$89,3,0)*VLOOKUP('Données projet'!$B$13,Paramètres!$A$1:$I$89,5,0)</f>
        <v>225.8666666666667</v>
      </c>
      <c r="CV132" s="14">
        <f t="shared" si="95"/>
        <v>55.388017158856698</v>
      </c>
      <c r="CW132" s="22">
        <f t="shared" ref="CW132:CW153" si="121">(CU132+CV132)*0.475*44/12</f>
        <v>489.85190766278652</v>
      </c>
      <c r="CX132" s="62">
        <f t="shared" ref="CX132:CX195" si="122">CW132+(CO132+CP132)*44/12</f>
        <v>768.60934589427245</v>
      </c>
      <c r="CY132" s="62">
        <f ca="1">AVERAGE(OFFSET($CX$3,0,0,'Données projet'!$E$13+1,1))-AVERAGE(OFFSET($H$3,0,0,'Données projet'!$E$13+1,1))</f>
        <v>384.3367849108829</v>
      </c>
      <c r="CZ132" s="62">
        <f t="shared" si="96"/>
        <v>238.2697272367603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-6.2527760746888816E-13</v>
      </c>
      <c r="DP132" s="18">
        <f>DO132*VLOOKUP('Données projet'!$B$14,Paramètres!$A$1:$I$89,3,0)*VLOOKUP('Données projet'!$B$14,Paramètres!$A$1:$I$89,5,0)</f>
        <v>-2.9262992029543964E-13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304.1100958939968</v>
      </c>
      <c r="DU132" s="62">
        <f t="shared" si="98"/>
        <v>184.1255966824568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2.1367521367521363</v>
      </c>
      <c r="EJ132" s="13">
        <f>IF('Données projet'!$A$192&gt;35,EJ131+EI132-ER131,IF(A132&lt;'Données projet'!$A$192,$EG$205^A132,IF(A132='Données projet'!$A$192,'Données projet'!$B$192,EJ131+EI132-ER131)))</f>
        <v>263.24786324786322</v>
      </c>
      <c r="EK132" s="18">
        <f>EJ132*VLOOKUP('Données projet'!$B$15,Paramètres!$A$1:$I$89,3,0)*VLOOKUP('Données projet'!$B$15,Paramètres!$A$1:$I$89,5,0)</f>
        <v>266.93333333333334</v>
      </c>
      <c r="EL132" s="14">
        <f t="shared" si="99"/>
        <v>64.198013175476646</v>
      </c>
      <c r="EM132" s="22">
        <f t="shared" ref="EM132:EM153" si="127">(EK132+EL132)*0.475*44/12</f>
        <v>576.72042850284402</v>
      </c>
      <c r="EN132" s="62">
        <f t="shared" ref="EN132:EN195" si="128">EM132+(EE132+EF132)*44/12</f>
        <v>855.47786673432995</v>
      </c>
      <c r="EO132" s="62">
        <f ca="1">AVERAGE(OFFSET($EN$3,0,0,'Données projet'!$E$15+1,1))-AVERAGE(OFFSET($H$3,0,0,'Données projet'!$E$15+1,1))</f>
        <v>435.03433721979218</v>
      </c>
      <c r="EP132" s="62">
        <f t="shared" si="100"/>
        <v>267.10015759286387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2.1367521367521363</v>
      </c>
      <c r="FE132" s="13">
        <f>IF('Données projet'!$A$218&gt;35,FE131+FD132-FM131,IF(A132&lt;'Données projet'!$A$218,$FB$205^A132,IF(A132='Données projet'!$A$218,'Données projet'!$B$218,FE131+FD132-FM131)))</f>
        <v>263.24786324786322</v>
      </c>
      <c r="FF132" s="18">
        <f>FE132*VLOOKUP('Données projet'!$B$16,Paramètres!$A$1:$I$89,3,0)*VLOOKUP('Données projet'!$B$16,Paramètres!$A$1:$I$89,5,0)</f>
        <v>275.14666666666665</v>
      </c>
      <c r="FG132" s="14">
        <f t="shared" si="101"/>
        <v>65.940318620544417</v>
      </c>
      <c r="FH132" s="22">
        <f t="shared" ref="FH132:FH153" si="130">(FF132+FG132)*0.475*44/12</f>
        <v>594.05983270855927</v>
      </c>
      <c r="FI132" s="62">
        <f t="shared" ref="FI132:FI195" si="131">FH132+(EZ132+FA132)*44/12</f>
        <v>872.8172709400452</v>
      </c>
      <c r="FJ132" s="62">
        <f ca="1">AVERAGE(OFFSET($FI$3,0,0,'Données projet'!$E$16+1,1))-AVERAGE(OFFSET($H$3,0,0,'Données projet'!$E$16+1,1))</f>
        <v>445.15313998584293</v>
      </c>
      <c r="FK132" s="62">
        <f t="shared" si="102"/>
        <v>272.85357736694834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-5.6843418860808015E-14</v>
      </c>
      <c r="GA132" s="18">
        <f>FZ132*VLOOKUP('Données projet'!$B$17,Paramètres!$A$1:$I$89,3,0)*VLOOKUP('Données projet'!$B$17,Paramètres!$A$1:$I$89,5,0)</f>
        <v>-4.9658410716801891E-14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2" t="e">
        <f t="shared" ref="GD132:GD195" si="134">GC132+(FU132+FV132)*44/12</f>
        <v>#NUM!</v>
      </c>
      <c r="GE132" s="62">
        <f ca="1">AVERAGE(OFFSET($GD$3,0,0,'Données projet'!$E$17+1,1))-AVERAGE(OFFSET($H$3,0,0,'Données projet'!$E$17+1,1))</f>
        <v>248.82613595888964</v>
      </c>
      <c r="GF132" s="62">
        <f t="shared" si="104"/>
        <v>255.8298580882084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135.66666666666666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221.18884567967481</v>
      </c>
      <c r="T133" s="62">
        <f t="shared" ref="T133:T196" si="142">$T$3</f>
        <v>189.31596996710888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124.24166666666667</v>
      </c>
      <c r="AG133" s="13">
        <f>VLOOKUP(A133,'Données projet'!$A$61:$I$81,9,0)</f>
        <v>1.2474999999999994</v>
      </c>
      <c r="AH133" s="13">
        <f t="array" ref="AH133">INDEX(AG:AG,MIN(IF(ISNUMBER(AG133:AG329),ROW(AG133:AG329),"")))</f>
        <v>1.2474999999999994</v>
      </c>
      <c r="AI133" s="14">
        <f>IF('Données projet'!$A$62&gt;35,AI132+AH133-AQ132,IF(A133&lt;'Données projet'!$A$62,$AF$205^A133,IF(A133='Données projet'!$A$62,'Données projet'!$B$62,AI132+AH133-AQ132)))</f>
        <v>124.24166666666665</v>
      </c>
      <c r="AJ133" s="14">
        <f>AI133*VLOOKUP('Données projet'!$B$10,Paramètres!$A$1:$I$89,3,0)*VLOOKUP('Données projet'!$B$10,Paramètres!$A$1:$I$89,5,0)</f>
        <v>143.12639999999996</v>
      </c>
      <c r="AK133" s="14">
        <f t="shared" ref="AK133:AK153" si="143">EXP(-1.0587+0.8836*LN(AJ133)+0.284)</f>
        <v>37.012296622173274</v>
      </c>
      <c r="AL133" s="22">
        <f t="shared" si="112"/>
        <v>313.74156328361835</v>
      </c>
      <c r="AM133" s="62">
        <f t="shared" si="113"/>
        <v>592.75186070830182</v>
      </c>
      <c r="AN133" s="62">
        <f ca="1">AVERAGE(OFFSET($AM$3,0,0,'Données projet'!$E$10+1,1))-AVERAGE(OFFSET($H$3,0,0,'Données projet'!$E$10+1,1))</f>
        <v>314.72063458462026</v>
      </c>
      <c r="AO133" s="62">
        <f t="shared" ref="AO133:AO196" si="144">$AO$3</f>
        <v>216.4380325968244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8.7083333333333339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265.38461538461536</v>
      </c>
      <c r="BB133" s="13">
        <f>VLOOKUP(A133,'Données projet'!$A$87:$I$107,9,0)</f>
        <v>2.1367521367521363</v>
      </c>
      <c r="BC133" s="13">
        <f t="array" ref="BC133">INDEX(BB:BB,MIN(IF(ISNUMBER(BB133:BB329),ROW(BB133:BB329),"")))</f>
        <v>2.1367521367521363</v>
      </c>
      <c r="BD133" s="13">
        <f>IF('Données projet'!$A$88&gt;35,BD132+BC133-BL132,IF(A133&lt;'Données projet'!$A$88,$BA$205^A133,IF(A133='Données projet'!$A$88,'Données projet'!$B$88,BD132+BC133-BL132)))</f>
        <v>265.38461538461536</v>
      </c>
      <c r="BE133" s="14">
        <f>BD133*VLOOKUP('Données projet'!$B$11,Paramètres!$A$1:$I$89,3,0)*VLOOKUP('Données projet'!$B$11,Paramètres!$A$1:$I$89,5,0)</f>
        <v>285.65999999999997</v>
      </c>
      <c r="BF133" s="14">
        <f t="shared" ref="BF133:BF153" si="145">EXP(-1.0587+0.8836*LN(BE133)+0.284)</f>
        <v>68.16173285875432</v>
      </c>
      <c r="BG133" s="22">
        <f t="shared" si="115"/>
        <v>616.23951806233038</v>
      </c>
      <c r="BH133" s="62">
        <f t="shared" si="116"/>
        <v>895.24981548701385</v>
      </c>
      <c r="BI133" s="62">
        <f ca="1">AVERAGE(OFFSET($BH$3,0,0,'Données projet'!$E$11+1,1))-AVERAGE(OFFSET($H$3,0,0,'Données projet'!$E$11+1,1))</f>
        <v>455.26558725507834</v>
      </c>
      <c r="BJ133" s="62">
        <f t="shared" ref="BJ133:BJ196" si="146">$BJ$3</f>
        <v>278.60310966788552</v>
      </c>
      <c r="BK133" s="16">
        <f>IF(ISNA(VLOOKUP(A133,'Données projet'!$A$87:$I$107,3,0)),0,VLOOKUP(A133,'Données projet'!$A$87:$I$107,3,0))</f>
        <v>10</v>
      </c>
      <c r="BL133" s="16">
        <f>IF(ISNA(VLOOKUP(A133,'Données projet'!$A$87:$I$107,4,0)),0,VLOOKUP(A133,'Données projet'!$A$87:$I$107,4,0))</f>
        <v>265.38461538461536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-2.9558577807620169E-14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300.72820267660154</v>
      </c>
      <c r="CE133" s="62">
        <f t="shared" ref="CE133:CE196" si="148">$CE$3</f>
        <v>228.35388778608589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265.38461538461536</v>
      </c>
      <c r="CR133" s="13">
        <f>VLOOKUP(A133,'Données projet'!$A$139:$I$159,9,0)</f>
        <v>2.1367521367521363</v>
      </c>
      <c r="CS133" s="13">
        <f t="array" ref="CS133">INDEX(CR:CR,MIN(IF(ISNUMBER(CR133:CR329),ROW(CR133:CR329),"")))</f>
        <v>2.1367521367521363</v>
      </c>
      <c r="CT133" s="13">
        <f>IF('Données projet'!$A$140&gt;35,CT132+CS133-DB132,IF(A133&lt;'Données projet'!$A$140,$CQ$205^A133,IF(A133='Données projet'!$A$140,'Données projet'!$B$140,CT132+CS133-DB132)))</f>
        <v>265.38461538461536</v>
      </c>
      <c r="CU133" s="18">
        <f>CT133*VLOOKUP('Données projet'!$B$13,Paramètres!$A$1:$I$89,3,0)*VLOOKUP('Données projet'!$B$13,Paramètres!$A$1:$I$89,5,0)</f>
        <v>227.7</v>
      </c>
      <c r="CV133" s="14">
        <f t="shared" ref="CV133:CV153" si="149">EXP(-1.0587+0.8836*LN(CU133)+0.284)</f>
        <v>55.785077237690572</v>
      </c>
      <c r="CW133" s="22">
        <f t="shared" si="121"/>
        <v>493.73650952231105</v>
      </c>
      <c r="CX133" s="62">
        <f t="shared" si="122"/>
        <v>772.74680694699441</v>
      </c>
      <c r="CY133" s="62">
        <f ca="1">AVERAGE(OFFSET($CX$3,0,0,'Données projet'!$E$13+1,1))-AVERAGE(OFFSET($H$3,0,0,'Données projet'!$E$13+1,1))</f>
        <v>384.3367849108829</v>
      </c>
      <c r="CZ133" s="62">
        <f t="shared" ref="CZ133:CZ196" si="150">$CZ$3</f>
        <v>238.2697272367603</v>
      </c>
      <c r="DA133" s="16">
        <f>IF(ISNA(VLOOKUP(A133,'Données projet'!$A$139:$I$159,3,0)),0,VLOOKUP(A133,'Données projet'!$A$139:$I$159,3,0))</f>
        <v>10</v>
      </c>
      <c r="DB133" s="16">
        <f>IF(ISNA(VLOOKUP(A133,'Données projet'!$A$139:$I$159,4,0)),0,VLOOKUP(A133,'Données projet'!$A$139:$I$159,4,0))</f>
        <v>265.38461538461536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-6.2527760746888816E-13</v>
      </c>
      <c r="DP133" s="18">
        <f>DO133*VLOOKUP('Données projet'!$B$14,Paramètres!$A$1:$I$89,3,0)*VLOOKUP('Données projet'!$B$14,Paramètres!$A$1:$I$89,5,0)</f>
        <v>-2.9262992029543964E-13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304.1100958939968</v>
      </c>
      <c r="DU133" s="62">
        <f t="shared" ref="DU133:DU196" si="152">$DU$3</f>
        <v>184.1255966824568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>
        <f>VLOOKUP(A133,'Données projet'!$A$191:$I$211,2,0)</f>
        <v>265.38461538461536</v>
      </c>
      <c r="EH133" s="13">
        <f>VLOOKUP(A133,'Données projet'!$A$191:$I$211,9,0)</f>
        <v>2.1367521367521363</v>
      </c>
      <c r="EI133" s="13">
        <f t="array" ref="EI133">INDEX(EH:EH,MIN(IF(ISNUMBER(EH133:EH329),ROW(EH133:EH329),"")))</f>
        <v>2.1367521367521363</v>
      </c>
      <c r="EJ133" s="13">
        <f>IF('Données projet'!$A$192&gt;35,EJ132+EI133-ER132,IF(A133&lt;'Données projet'!$A$192,$EG$205^A133,IF(A133='Données projet'!$A$192,'Données projet'!$B$192,EJ132+EI133-ER132)))</f>
        <v>265.38461538461536</v>
      </c>
      <c r="EK133" s="18">
        <f>EJ133*VLOOKUP('Données projet'!$B$15,Paramètres!$A$1:$I$89,3,0)*VLOOKUP('Données projet'!$B$15,Paramètres!$A$1:$I$89,5,0)</f>
        <v>269.10000000000002</v>
      </c>
      <c r="EL133" s="14">
        <f t="shared" ref="EL133:EL153" si="153">EXP(-1.0587+0.8836*LN(EK133)+0.284)</f>
        <v>64.658229472790993</v>
      </c>
      <c r="EM133" s="22">
        <f t="shared" si="127"/>
        <v>581.29558299844427</v>
      </c>
      <c r="EN133" s="62">
        <f t="shared" si="128"/>
        <v>860.30588042312775</v>
      </c>
      <c r="EO133" s="62">
        <f ca="1">AVERAGE(OFFSET($EN$3,0,0,'Données projet'!$E$15+1,1))-AVERAGE(OFFSET($H$3,0,0,'Données projet'!$E$15+1,1))</f>
        <v>435.03433721979218</v>
      </c>
      <c r="EP133" s="62">
        <f t="shared" ref="EP133:EP196" si="154">$EP$3</f>
        <v>267.10015759286387</v>
      </c>
      <c r="EQ133" s="16">
        <f>IF(ISNA(VLOOKUP(A133,'Données projet'!$A$191:$I$211,3,0)),0,VLOOKUP(A133,'Données projet'!$A$191:$I$211,3,0))</f>
        <v>10</v>
      </c>
      <c r="ER133" s="16">
        <f>IF(ISNA(VLOOKUP(A133,'Données projet'!$A$191:$I$211,4,0)),0,VLOOKUP(A133,'Données projet'!$A$191:$I$211,4,0))</f>
        <v>265.38461538461536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>
        <f>VLOOKUP(A133,'Données projet'!$A$217:$I$237,2,0)</f>
        <v>265.38461538461536</v>
      </c>
      <c r="FC133" s="13">
        <f>VLOOKUP(A133,'Données projet'!$A$217:$I$237,9,0)</f>
        <v>2.1367521367521363</v>
      </c>
      <c r="FD133" s="13">
        <f t="array" ref="FD133">INDEX(FC:FC,MIN(IF(ISNUMBER(FC133:FC329),ROW(FC133:FC329),"")))</f>
        <v>2.1367521367521363</v>
      </c>
      <c r="FE133" s="13">
        <f>IF('Données projet'!$A$218&gt;35,FE132+FD133-FM132,IF(A133&lt;'Données projet'!$A$218,$FB$205^A133,IF(A133='Données projet'!$A$218,'Données projet'!$B$218,FE132+FD133-FM132)))</f>
        <v>265.38461538461536</v>
      </c>
      <c r="FF133" s="18">
        <f>FE133*VLOOKUP('Données projet'!$B$16,Paramètres!$A$1:$I$89,3,0)*VLOOKUP('Données projet'!$B$16,Paramètres!$A$1:$I$89,5,0)</f>
        <v>277.38</v>
      </c>
      <c r="FG133" s="14">
        <f t="shared" ref="FG133:FG153" si="155">EXP(-1.0587+0.8836*LN(FF133)+0.284)</f>
        <v>66.413024982910031</v>
      </c>
      <c r="FH133" s="22">
        <f t="shared" si="130"/>
        <v>598.77285184523487</v>
      </c>
      <c r="FI133" s="62">
        <f t="shared" si="131"/>
        <v>877.78314926991834</v>
      </c>
      <c r="FJ133" s="62">
        <f ca="1">AVERAGE(OFFSET($FI$3,0,0,'Données projet'!$E$16+1,1))-AVERAGE(OFFSET($H$3,0,0,'Données projet'!$E$16+1,1))</f>
        <v>445.15313998584293</v>
      </c>
      <c r="FK133" s="62">
        <f t="shared" ref="FK133:FK196" si="156">$FK$3</f>
        <v>272.85357736694834</v>
      </c>
      <c r="FL133" s="16">
        <f>IF(ISNA(VLOOKUP(A133,'Données projet'!$A$217:$I$237,3,0)),0,VLOOKUP(A133,'Données projet'!$A$217:$I$237,3,0))</f>
        <v>10</v>
      </c>
      <c r="FM133" s="16">
        <f>IF(ISNA(VLOOKUP(A133,'Données projet'!$A$217:$I$237,4,0)),0,VLOOKUP(A133,'Données projet'!$A$217:$I$237,4,0))</f>
        <v>265.38461538461536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-5.6843418860808015E-14</v>
      </c>
      <c r="GA133" s="18">
        <f>FZ133*VLOOKUP('Données projet'!$B$17,Paramètres!$A$1:$I$89,3,0)*VLOOKUP('Données projet'!$B$17,Paramètres!$A$1:$I$89,5,0)</f>
        <v>-4.9658410716801891E-14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2" t="e">
        <f t="shared" si="134"/>
        <v>#NUM!</v>
      </c>
      <c r="GE133" s="62">
        <f ca="1">AVERAGE(OFFSET($GD$3,0,0,'Données projet'!$E$17+1,1))-AVERAGE(OFFSET($H$3,0,0,'Données projet'!$E$17+1,1))</f>
        <v>248.82613595888964</v>
      </c>
      <c r="GF133" s="62">
        <f t="shared" ref="GF133:GF196" si="158">$GF$3</f>
        <v>255.8298580882084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135.66666666666666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221.18884567967481</v>
      </c>
      <c r="T134" s="62">
        <f t="shared" si="142"/>
        <v>189.31596996710888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1.1879166666666663</v>
      </c>
      <c r="AI134" s="14">
        <f>IF('Données projet'!$A$62&gt;35,AI133+AH134-AQ133,IF(A134&lt;'Données projet'!$A$62,$AF$205^A134,IF(A134='Données projet'!$A$62,'Données projet'!$B$62,AI133+AH134-AQ133)))</f>
        <v>116.72124999999998</v>
      </c>
      <c r="AJ134" s="14">
        <f>AI134*VLOOKUP('Données projet'!$B$10,Paramètres!$A$1:$I$89,3,0)*VLOOKUP('Données projet'!$B$10,Paramètres!$A$1:$I$89,5,0)</f>
        <v>134.46287999999996</v>
      </c>
      <c r="AK134" s="14">
        <f t="shared" si="143"/>
        <v>35.02556530568927</v>
      </c>
      <c r="AL134" s="22">
        <f t="shared" si="112"/>
        <v>295.19237557407541</v>
      </c>
      <c r="AM134" s="62">
        <f t="shared" si="113"/>
        <v>574.45114565026279</v>
      </c>
      <c r="AN134" s="62">
        <f ca="1">AVERAGE(OFFSET($AM$3,0,0,'Données projet'!$E$10+1,1))-AVERAGE(OFFSET($H$3,0,0,'Données projet'!$E$10+1,1))</f>
        <v>314.72063458462026</v>
      </c>
      <c r="AO134" s="62">
        <f t="shared" si="144"/>
        <v>216.4380325968244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455.26558725507834</v>
      </c>
      <c r="BJ134" s="62">
        <f t="shared" si="146"/>
        <v>278.60310966788552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-2.9558577807620169E-14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300.72820267660154</v>
      </c>
      <c r="CE134" s="62">
        <f t="shared" si="148"/>
        <v>228.35388778608589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384.3367849108829</v>
      </c>
      <c r="CZ134" s="62">
        <f t="shared" si="150"/>
        <v>238.2697272367603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-6.2527760746888816E-13</v>
      </c>
      <c r="DP134" s="18">
        <f>DO134*VLOOKUP('Données projet'!$B$14,Paramètres!$A$1:$I$89,3,0)*VLOOKUP('Données projet'!$B$14,Paramètres!$A$1:$I$89,5,0)</f>
        <v>-2.9262992029543964E-13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304.1100958939968</v>
      </c>
      <c r="DU134" s="62">
        <f t="shared" si="152"/>
        <v>184.1255966824568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>
        <f>EJ134*VLOOKUP('Données projet'!$B$15,Paramètres!$A$1:$I$89,3,0)*VLOOKUP('Données projet'!$B$15,Paramètres!$A$1:$I$89,5,0)</f>
        <v>0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435.03433721979218</v>
      </c>
      <c r="EP134" s="62">
        <f t="shared" si="154"/>
        <v>267.10015759286387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>
        <f>FE134*VLOOKUP('Données projet'!$B$16,Paramètres!$A$1:$I$89,3,0)*VLOOKUP('Données projet'!$B$16,Paramètres!$A$1:$I$89,5,0)</f>
        <v>0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445.15313998584293</v>
      </c>
      <c r="FK134" s="62">
        <f t="shared" si="156"/>
        <v>272.85357736694834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-5.6843418860808015E-14</v>
      </c>
      <c r="GA134" s="18">
        <f>FZ134*VLOOKUP('Données projet'!$B$17,Paramètres!$A$1:$I$89,3,0)*VLOOKUP('Données projet'!$B$17,Paramètres!$A$1:$I$89,5,0)</f>
        <v>-4.9658410716801891E-14</v>
      </c>
      <c r="GB134" s="14" t="e">
        <f t="shared" si="157"/>
        <v>#NUM!</v>
      </c>
      <c r="GC134" s="22" t="e">
        <f t="shared" si="133"/>
        <v>#NUM!</v>
      </c>
      <c r="GD134" s="62" t="e">
        <f t="shared" si="134"/>
        <v>#NUM!</v>
      </c>
      <c r="GE134" s="62">
        <f ca="1">AVERAGE(OFFSET($GD$3,0,0,'Données projet'!$E$17+1,1))-AVERAGE(OFFSET($H$3,0,0,'Données projet'!$E$17+1,1))</f>
        <v>248.82613595888964</v>
      </c>
      <c r="GF134" s="62">
        <f t="shared" si="158"/>
        <v>255.8298580882084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135.66666666666666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221.18884567967481</v>
      </c>
      <c r="T135" s="62">
        <f t="shared" si="142"/>
        <v>189.31596996710888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1.1879166666666663</v>
      </c>
      <c r="AI135" s="14">
        <f>IF('Données projet'!$A$62&gt;35,AI134+AH135-AQ134,IF(A135&lt;'Données projet'!$A$62,$AF$205^A135,IF(A135='Données projet'!$A$62,'Données projet'!$B$62,AI134+AH135-AQ134)))</f>
        <v>117.90916666666665</v>
      </c>
      <c r="AJ135" s="14">
        <f>AI135*VLOOKUP('Données projet'!$B$10,Paramètres!$A$1:$I$89,3,0)*VLOOKUP('Données projet'!$B$10,Paramètres!$A$1:$I$89,5,0)</f>
        <v>135.83135999999996</v>
      </c>
      <c r="AK135" s="14">
        <f t="shared" si="143"/>
        <v>35.340355037002603</v>
      </c>
      <c r="AL135" s="22">
        <f t="shared" si="112"/>
        <v>298.12407035611278</v>
      </c>
      <c r="AM135" s="62">
        <f t="shared" si="113"/>
        <v>577.6270026388022</v>
      </c>
      <c r="AN135" s="62">
        <f ca="1">AVERAGE(OFFSET($AM$3,0,0,'Données projet'!$E$10+1,1))-AVERAGE(OFFSET($H$3,0,0,'Données projet'!$E$10+1,1))</f>
        <v>314.72063458462026</v>
      </c>
      <c r="AO135" s="62">
        <f t="shared" si="144"/>
        <v>216.4380325968244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455.26558725507834</v>
      </c>
      <c r="BJ135" s="62">
        <f t="shared" si="146"/>
        <v>278.60310966788552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-2.9558577807620169E-14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300.72820267660154</v>
      </c>
      <c r="CE135" s="62">
        <f t="shared" si="148"/>
        <v>228.35388778608589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384.3367849108829</v>
      </c>
      <c r="CZ135" s="62">
        <f t="shared" si="150"/>
        <v>238.2697272367603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-6.2527760746888816E-13</v>
      </c>
      <c r="DP135" s="18">
        <f>DO135*VLOOKUP('Données projet'!$B$14,Paramètres!$A$1:$I$89,3,0)*VLOOKUP('Données projet'!$B$14,Paramètres!$A$1:$I$89,5,0)</f>
        <v>-2.9262992029543964E-13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304.1100958939968</v>
      </c>
      <c r="DU135" s="62">
        <f t="shared" si="152"/>
        <v>184.1255966824568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>
        <f>EJ135*VLOOKUP('Données projet'!$B$15,Paramètres!$A$1:$I$89,3,0)*VLOOKUP('Données projet'!$B$15,Paramètres!$A$1:$I$89,5,0)</f>
        <v>0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435.03433721979218</v>
      </c>
      <c r="EP135" s="62">
        <f t="shared" si="154"/>
        <v>267.10015759286387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>
        <f>FE135*VLOOKUP('Données projet'!$B$16,Paramètres!$A$1:$I$89,3,0)*VLOOKUP('Données projet'!$B$16,Paramètres!$A$1:$I$89,5,0)</f>
        <v>0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445.15313998584293</v>
      </c>
      <c r="FK135" s="62">
        <f t="shared" si="156"/>
        <v>272.85357736694834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-5.6843418860808015E-14</v>
      </c>
      <c r="GA135" s="18">
        <f>FZ135*VLOOKUP('Données projet'!$B$17,Paramètres!$A$1:$I$89,3,0)*VLOOKUP('Données projet'!$B$17,Paramètres!$A$1:$I$89,5,0)</f>
        <v>-4.9658410716801891E-14</v>
      </c>
      <c r="GB135" s="14" t="e">
        <f t="shared" si="157"/>
        <v>#NUM!</v>
      </c>
      <c r="GC135" s="22" t="e">
        <f t="shared" si="133"/>
        <v>#NUM!</v>
      </c>
      <c r="GD135" s="62" t="e">
        <f t="shared" si="134"/>
        <v>#NUM!</v>
      </c>
      <c r="GE135" s="62">
        <f ca="1">AVERAGE(OFFSET($GD$3,0,0,'Données projet'!$E$17+1,1))-AVERAGE(OFFSET($H$3,0,0,'Données projet'!$E$17+1,1))</f>
        <v>248.82613595888964</v>
      </c>
      <c r="GF135" s="62">
        <f t="shared" si="158"/>
        <v>255.8298580882084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135.66666666666666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221.18884567967481</v>
      </c>
      <c r="T136" s="62">
        <f t="shared" si="142"/>
        <v>189.31596996710888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1.1879166666666663</v>
      </c>
      <c r="AI136" s="14">
        <f>IF('Données projet'!$A$62&gt;35,AI135+AH136-AQ135,IF(A136&lt;'Données projet'!$A$62,$AF$205^A136,IF(A136='Données projet'!$A$62,'Données projet'!$B$62,AI135+AH136-AQ135)))</f>
        <v>119.09708333333332</v>
      </c>
      <c r="AJ136" s="14">
        <f>AI136*VLOOKUP('Données projet'!$B$10,Paramètres!$A$1:$I$89,3,0)*VLOOKUP('Données projet'!$B$10,Paramètres!$A$1:$I$89,5,0)</f>
        <v>137.19983999999997</v>
      </c>
      <c r="AK136" s="14">
        <f t="shared" si="143"/>
        <v>35.65477582037844</v>
      </c>
      <c r="AL136" s="22">
        <f t="shared" si="112"/>
        <v>301.0551225538257</v>
      </c>
      <c r="AM136" s="62">
        <f t="shared" si="113"/>
        <v>580.7979813745992</v>
      </c>
      <c r="AN136" s="62">
        <f ca="1">AVERAGE(OFFSET($AM$3,0,0,'Données projet'!$E$10+1,1))-AVERAGE(OFFSET($H$3,0,0,'Données projet'!$E$10+1,1))</f>
        <v>314.72063458462026</v>
      </c>
      <c r="AO136" s="62">
        <f t="shared" si="144"/>
        <v>216.4380325968244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455.26558725507834</v>
      </c>
      <c r="BJ136" s="62">
        <f t="shared" si="146"/>
        <v>278.60310966788552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-2.9558577807620169E-14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300.72820267660154</v>
      </c>
      <c r="CE136" s="62">
        <f t="shared" si="148"/>
        <v>228.35388778608589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384.3367849108829</v>
      </c>
      <c r="CZ136" s="62">
        <f t="shared" si="150"/>
        <v>238.2697272367603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-6.2527760746888816E-13</v>
      </c>
      <c r="DP136" s="18">
        <f>DO136*VLOOKUP('Données projet'!$B$14,Paramètres!$A$1:$I$89,3,0)*VLOOKUP('Données projet'!$B$14,Paramètres!$A$1:$I$89,5,0)</f>
        <v>-2.9262992029543964E-13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304.1100958939968</v>
      </c>
      <c r="DU136" s="62">
        <f t="shared" si="152"/>
        <v>184.1255966824568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>
        <f>EJ136*VLOOKUP('Données projet'!$B$15,Paramètres!$A$1:$I$89,3,0)*VLOOKUP('Données projet'!$B$15,Paramètres!$A$1:$I$89,5,0)</f>
        <v>0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435.03433721979218</v>
      </c>
      <c r="EP136" s="62">
        <f t="shared" si="154"/>
        <v>267.10015759286387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>
        <f>FE136*VLOOKUP('Données projet'!$B$16,Paramètres!$A$1:$I$89,3,0)*VLOOKUP('Données projet'!$B$16,Paramètres!$A$1:$I$89,5,0)</f>
        <v>0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445.15313998584293</v>
      </c>
      <c r="FK136" s="62">
        <f t="shared" si="156"/>
        <v>272.85357736694834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-5.6843418860808015E-14</v>
      </c>
      <c r="GA136" s="18">
        <f>FZ136*VLOOKUP('Données projet'!$B$17,Paramètres!$A$1:$I$89,3,0)*VLOOKUP('Données projet'!$B$17,Paramètres!$A$1:$I$89,5,0)</f>
        <v>-4.9658410716801891E-14</v>
      </c>
      <c r="GB136" s="14" t="e">
        <f t="shared" si="157"/>
        <v>#NUM!</v>
      </c>
      <c r="GC136" s="22" t="e">
        <f t="shared" si="133"/>
        <v>#NUM!</v>
      </c>
      <c r="GD136" s="62" t="e">
        <f t="shared" si="134"/>
        <v>#NUM!</v>
      </c>
      <c r="GE136" s="62">
        <f ca="1">AVERAGE(OFFSET($GD$3,0,0,'Données projet'!$E$17+1,1))-AVERAGE(OFFSET($H$3,0,0,'Données projet'!$E$17+1,1))</f>
        <v>248.82613595888964</v>
      </c>
      <c r="GF136" s="62">
        <f t="shared" si="158"/>
        <v>255.8298580882084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135.66666666666666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221.18884567967481</v>
      </c>
      <c r="T137" s="62">
        <f t="shared" si="142"/>
        <v>189.31596996710888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1.1879166666666663</v>
      </c>
      <c r="AI137" s="14">
        <f>IF('Données projet'!$A$62&gt;35,AI136+AH137-AQ136,IF(A137&lt;'Données projet'!$A$62,$AF$205^A137,IF(A137='Données projet'!$A$62,'Données projet'!$B$62,AI136+AH137-AQ136)))</f>
        <v>120.28499999999998</v>
      </c>
      <c r="AJ137" s="14">
        <f>AI137*VLOOKUP('Données projet'!$B$10,Paramètres!$A$1:$I$89,3,0)*VLOOKUP('Données projet'!$B$10,Paramètres!$A$1:$I$89,5,0)</f>
        <v>138.56831999999997</v>
      </c>
      <c r="AK137" s="14">
        <f t="shared" si="143"/>
        <v>35.968831761941608</v>
      </c>
      <c r="AL137" s="22">
        <f t="shared" si="112"/>
        <v>303.98553931871487</v>
      </c>
      <c r="AM137" s="62">
        <f t="shared" si="113"/>
        <v>583.96416248853211</v>
      </c>
      <c r="AN137" s="62">
        <f ca="1">AVERAGE(OFFSET($AM$3,0,0,'Données projet'!$E$10+1,1))-AVERAGE(OFFSET($H$3,0,0,'Données projet'!$E$10+1,1))</f>
        <v>314.72063458462026</v>
      </c>
      <c r="AO137" s="62">
        <f t="shared" si="144"/>
        <v>216.4380325968244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455.26558725507834</v>
      </c>
      <c r="BJ137" s="62">
        <f t="shared" si="146"/>
        <v>278.60310966788552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-2.9558577807620169E-14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300.72820267660154</v>
      </c>
      <c r="CE137" s="62">
        <f t="shared" si="148"/>
        <v>228.35388778608589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384.3367849108829</v>
      </c>
      <c r="CZ137" s="62">
        <f t="shared" si="150"/>
        <v>238.2697272367603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-6.2527760746888816E-13</v>
      </c>
      <c r="DP137" s="18">
        <f>DO137*VLOOKUP('Données projet'!$B$14,Paramètres!$A$1:$I$89,3,0)*VLOOKUP('Données projet'!$B$14,Paramètres!$A$1:$I$89,5,0)</f>
        <v>-2.9262992029543964E-13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304.1100958939968</v>
      </c>
      <c r="DU137" s="62">
        <f t="shared" si="152"/>
        <v>184.1255966824568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>
        <f>EJ137*VLOOKUP('Données projet'!$B$15,Paramètres!$A$1:$I$89,3,0)*VLOOKUP('Données projet'!$B$15,Paramètres!$A$1:$I$89,5,0)</f>
        <v>0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435.03433721979218</v>
      </c>
      <c r="EP137" s="62">
        <f t="shared" si="154"/>
        <v>267.10015759286387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>
        <f>FE137*VLOOKUP('Données projet'!$B$16,Paramètres!$A$1:$I$89,3,0)*VLOOKUP('Données projet'!$B$16,Paramètres!$A$1:$I$89,5,0)</f>
        <v>0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445.15313998584293</v>
      </c>
      <c r="FK137" s="62">
        <f t="shared" si="156"/>
        <v>272.85357736694834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-5.6843418860808015E-14</v>
      </c>
      <c r="GA137" s="18">
        <f>FZ137*VLOOKUP('Données projet'!$B$17,Paramètres!$A$1:$I$89,3,0)*VLOOKUP('Données projet'!$B$17,Paramètres!$A$1:$I$89,5,0)</f>
        <v>-4.9658410716801891E-14</v>
      </c>
      <c r="GB137" s="14" t="e">
        <f t="shared" si="157"/>
        <v>#NUM!</v>
      </c>
      <c r="GC137" s="22" t="e">
        <f t="shared" si="133"/>
        <v>#NUM!</v>
      </c>
      <c r="GD137" s="62" t="e">
        <f t="shared" si="134"/>
        <v>#NUM!</v>
      </c>
      <c r="GE137" s="62">
        <f ca="1">AVERAGE(OFFSET($GD$3,0,0,'Données projet'!$E$17+1,1))-AVERAGE(OFFSET($H$3,0,0,'Données projet'!$E$17+1,1))</f>
        <v>248.82613595888964</v>
      </c>
      <c r="GF137" s="62">
        <f t="shared" si="158"/>
        <v>255.8298580882084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135.66666666666666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221.18884567967481</v>
      </c>
      <c r="T138" s="62">
        <f t="shared" si="142"/>
        <v>189.31596996710888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1.1879166666666663</v>
      </c>
      <c r="AI138" s="14">
        <f>IF('Données projet'!$A$62&gt;35,AI137+AH138-AQ137,IF(A138&lt;'Données projet'!$A$62,$AF$205^A138,IF(A138='Données projet'!$A$62,'Données projet'!$B$62,AI137+AH138-AQ137)))</f>
        <v>121.47291666666665</v>
      </c>
      <c r="AJ138" s="14">
        <f>AI138*VLOOKUP('Données projet'!$B$10,Paramètres!$A$1:$I$89,3,0)*VLOOKUP('Données projet'!$B$10,Paramètres!$A$1:$I$89,5,0)</f>
        <v>139.93679999999998</v>
      </c>
      <c r="AK138" s="14">
        <f t="shared" si="143"/>
        <v>36.282526882038972</v>
      </c>
      <c r="AL138" s="22">
        <f t="shared" si="112"/>
        <v>306.91532765288451</v>
      </c>
      <c r="AM138" s="62">
        <f t="shared" si="113"/>
        <v>587.12562518737968</v>
      </c>
      <c r="AN138" s="62">
        <f ca="1">AVERAGE(OFFSET($AM$3,0,0,'Données projet'!$E$10+1,1))-AVERAGE(OFFSET($H$3,0,0,'Données projet'!$E$10+1,1))</f>
        <v>314.72063458462026</v>
      </c>
      <c r="AO138" s="62">
        <f t="shared" si="144"/>
        <v>216.4380325968244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455.26558725507834</v>
      </c>
      <c r="BJ138" s="62">
        <f t="shared" si="146"/>
        <v>278.60310966788552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-2.9558577807620169E-14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300.72820267660154</v>
      </c>
      <c r="CE138" s="62">
        <f t="shared" si="148"/>
        <v>228.35388778608589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384.3367849108829</v>
      </c>
      <c r="CZ138" s="62">
        <f t="shared" si="150"/>
        <v>238.2697272367603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-6.2527760746888816E-13</v>
      </c>
      <c r="DP138" s="18">
        <f>DO138*VLOOKUP('Données projet'!$B$14,Paramètres!$A$1:$I$89,3,0)*VLOOKUP('Données projet'!$B$14,Paramètres!$A$1:$I$89,5,0)</f>
        <v>-2.9262992029543964E-13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304.1100958939968</v>
      </c>
      <c r="DU138" s="62">
        <f t="shared" si="152"/>
        <v>184.1255966824568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>
        <f>EJ138*VLOOKUP('Données projet'!$B$15,Paramètres!$A$1:$I$89,3,0)*VLOOKUP('Données projet'!$B$15,Paramètres!$A$1:$I$89,5,0)</f>
        <v>0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435.03433721979218</v>
      </c>
      <c r="EP138" s="62">
        <f t="shared" si="154"/>
        <v>267.10015759286387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>
        <f>FE138*VLOOKUP('Données projet'!$B$16,Paramètres!$A$1:$I$89,3,0)*VLOOKUP('Données projet'!$B$16,Paramètres!$A$1:$I$89,5,0)</f>
        <v>0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445.15313998584293</v>
      </c>
      <c r="FK138" s="62">
        <f t="shared" si="156"/>
        <v>272.85357736694834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-5.6843418860808015E-14</v>
      </c>
      <c r="GA138" s="18">
        <f>FZ138*VLOOKUP('Données projet'!$B$17,Paramètres!$A$1:$I$89,3,0)*VLOOKUP('Données projet'!$B$17,Paramètres!$A$1:$I$89,5,0)</f>
        <v>-4.9658410716801891E-14</v>
      </c>
      <c r="GB138" s="14" t="e">
        <f t="shared" si="157"/>
        <v>#NUM!</v>
      </c>
      <c r="GC138" s="22" t="e">
        <f t="shared" si="133"/>
        <v>#NUM!</v>
      </c>
      <c r="GD138" s="62" t="e">
        <f t="shared" si="134"/>
        <v>#NUM!</v>
      </c>
      <c r="GE138" s="62">
        <f ca="1">AVERAGE(OFFSET($GD$3,0,0,'Données projet'!$E$17+1,1))-AVERAGE(OFFSET($H$3,0,0,'Données projet'!$E$17+1,1))</f>
        <v>248.82613595888964</v>
      </c>
      <c r="GF138" s="62">
        <f t="shared" si="158"/>
        <v>255.8298580882084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135.66666666666666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221.18884567967481</v>
      </c>
      <c r="T139" s="62">
        <f t="shared" si="142"/>
        <v>189.31596996710888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1.1879166666666663</v>
      </c>
      <c r="AI139" s="14">
        <f>IF('Données projet'!$A$62&gt;35,AI138+AH139-AQ138,IF(A139&lt;'Données projet'!$A$62,$AF$205^A139,IF(A139='Données projet'!$A$62,'Données projet'!$B$62,AI138+AH139-AQ138)))</f>
        <v>122.66083333333331</v>
      </c>
      <c r="AJ139" s="14">
        <f>AI139*VLOOKUP('Données projet'!$B$10,Paramètres!$A$1:$I$89,3,0)*VLOOKUP('Données projet'!$B$10,Paramètres!$A$1:$I$89,5,0)</f>
        <v>141.30527999999995</v>
      </c>
      <c r="AK139" s="14">
        <f t="shared" si="143"/>
        <v>36.595865117852185</v>
      </c>
      <c r="AL139" s="22">
        <f t="shared" si="112"/>
        <v>309.84449441359243</v>
      </c>
      <c r="AM139" s="62">
        <f t="shared" si="113"/>
        <v>590.28244728048458</v>
      </c>
      <c r="AN139" s="62">
        <f ca="1">AVERAGE(OFFSET($AM$3,0,0,'Données projet'!$E$10+1,1))-AVERAGE(OFFSET($H$3,0,0,'Données projet'!$E$10+1,1))</f>
        <v>314.72063458462026</v>
      </c>
      <c r="AO139" s="62">
        <f t="shared" si="144"/>
        <v>216.4380325968244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455.26558725507834</v>
      </c>
      <c r="BJ139" s="62">
        <f t="shared" si="146"/>
        <v>278.60310966788552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-2.9558577807620169E-14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300.72820267660154</v>
      </c>
      <c r="CE139" s="62">
        <f t="shared" si="148"/>
        <v>228.35388778608589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384.3367849108829</v>
      </c>
      <c r="CZ139" s="62">
        <f t="shared" si="150"/>
        <v>238.2697272367603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-6.2527760746888816E-13</v>
      </c>
      <c r="DP139" s="18">
        <f>DO139*VLOOKUP('Données projet'!$B$14,Paramètres!$A$1:$I$89,3,0)*VLOOKUP('Données projet'!$B$14,Paramètres!$A$1:$I$89,5,0)</f>
        <v>-2.9262992029543964E-13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304.1100958939968</v>
      </c>
      <c r="DU139" s="62">
        <f t="shared" si="152"/>
        <v>184.1255966824568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>
        <f>EJ139*VLOOKUP('Données projet'!$B$15,Paramètres!$A$1:$I$89,3,0)*VLOOKUP('Données projet'!$B$15,Paramètres!$A$1:$I$89,5,0)</f>
        <v>0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435.03433721979218</v>
      </c>
      <c r="EP139" s="62">
        <f t="shared" si="154"/>
        <v>267.10015759286387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>
        <f>FE139*VLOOKUP('Données projet'!$B$16,Paramètres!$A$1:$I$89,3,0)*VLOOKUP('Données projet'!$B$16,Paramètres!$A$1:$I$89,5,0)</f>
        <v>0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445.15313998584293</v>
      </c>
      <c r="FK139" s="62">
        <f t="shared" si="156"/>
        <v>272.85357736694834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-5.6843418860808015E-14</v>
      </c>
      <c r="GA139" s="18">
        <f>FZ139*VLOOKUP('Données projet'!$B$17,Paramètres!$A$1:$I$89,3,0)*VLOOKUP('Données projet'!$B$17,Paramètres!$A$1:$I$89,5,0)</f>
        <v>-4.9658410716801891E-14</v>
      </c>
      <c r="GB139" s="14" t="e">
        <f t="shared" si="157"/>
        <v>#NUM!</v>
      </c>
      <c r="GC139" s="22" t="e">
        <f t="shared" si="133"/>
        <v>#NUM!</v>
      </c>
      <c r="GD139" s="62" t="e">
        <f t="shared" si="134"/>
        <v>#NUM!</v>
      </c>
      <c r="GE139" s="62">
        <f ca="1">AVERAGE(OFFSET($GD$3,0,0,'Données projet'!$E$17+1,1))-AVERAGE(OFFSET($H$3,0,0,'Données projet'!$E$17+1,1))</f>
        <v>248.82613595888964</v>
      </c>
      <c r="GF139" s="62">
        <f t="shared" si="158"/>
        <v>255.8298580882084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135.66666666666666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221.18884567967481</v>
      </c>
      <c r="T140" s="62">
        <f t="shared" si="142"/>
        <v>189.31596996710888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1.1879166666666663</v>
      </c>
      <c r="AI140" s="14">
        <f>IF('Données projet'!$A$62&gt;35,AI139+AH140-AQ139,IF(A140&lt;'Données projet'!$A$62,$AF$205^A140,IF(A140='Données projet'!$A$62,'Données projet'!$B$62,AI139+AH140-AQ139)))</f>
        <v>123.84874999999998</v>
      </c>
      <c r="AJ140" s="14">
        <f>AI140*VLOOKUP('Données projet'!$B$10,Paramètres!$A$1:$I$89,3,0)*VLOOKUP('Données projet'!$B$10,Paramètres!$A$1:$I$89,5,0)</f>
        <v>142.67375999999996</v>
      </c>
      <c r="AK140" s="14">
        <f t="shared" si="143"/>
        <v>36.908850325906613</v>
      </c>
      <c r="AL140" s="22">
        <f t="shared" si="112"/>
        <v>312.77304631762058</v>
      </c>
      <c r="AM140" s="62">
        <f t="shared" si="113"/>
        <v>593.43470520585379</v>
      </c>
      <c r="AN140" s="62">
        <f ca="1">AVERAGE(OFFSET($AM$3,0,0,'Données projet'!$E$10+1,1))-AVERAGE(OFFSET($H$3,0,0,'Données projet'!$E$10+1,1))</f>
        <v>314.72063458462026</v>
      </c>
      <c r="AO140" s="62">
        <f t="shared" si="144"/>
        <v>216.4380325968244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455.26558725507834</v>
      </c>
      <c r="BJ140" s="62">
        <f t="shared" si="146"/>
        <v>278.60310966788552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-2.9558577807620169E-14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300.72820267660154</v>
      </c>
      <c r="CE140" s="62">
        <f t="shared" si="148"/>
        <v>228.35388778608589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384.3367849108829</v>
      </c>
      <c r="CZ140" s="62">
        <f t="shared" si="150"/>
        <v>238.2697272367603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-6.2527760746888816E-13</v>
      </c>
      <c r="DP140" s="18">
        <f>DO140*VLOOKUP('Données projet'!$B$14,Paramètres!$A$1:$I$89,3,0)*VLOOKUP('Données projet'!$B$14,Paramètres!$A$1:$I$89,5,0)</f>
        <v>-2.9262992029543964E-13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304.1100958939968</v>
      </c>
      <c r="DU140" s="62">
        <f t="shared" si="152"/>
        <v>184.1255966824568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>
        <f>EJ140*VLOOKUP('Données projet'!$B$15,Paramètres!$A$1:$I$89,3,0)*VLOOKUP('Données projet'!$B$15,Paramètres!$A$1:$I$89,5,0)</f>
        <v>0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435.03433721979218</v>
      </c>
      <c r="EP140" s="62">
        <f t="shared" si="154"/>
        <v>267.10015759286387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>
        <f>FE140*VLOOKUP('Données projet'!$B$16,Paramètres!$A$1:$I$89,3,0)*VLOOKUP('Données projet'!$B$16,Paramètres!$A$1:$I$89,5,0)</f>
        <v>0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445.15313998584293</v>
      </c>
      <c r="FK140" s="62">
        <f t="shared" si="156"/>
        <v>272.85357736694834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-5.6843418860808015E-14</v>
      </c>
      <c r="GA140" s="18">
        <f>FZ140*VLOOKUP('Données projet'!$B$17,Paramètres!$A$1:$I$89,3,0)*VLOOKUP('Données projet'!$B$17,Paramètres!$A$1:$I$89,5,0)</f>
        <v>-4.9658410716801891E-14</v>
      </c>
      <c r="GB140" s="14" t="e">
        <f t="shared" si="157"/>
        <v>#NUM!</v>
      </c>
      <c r="GC140" s="22" t="e">
        <f t="shared" si="133"/>
        <v>#NUM!</v>
      </c>
      <c r="GD140" s="62" t="e">
        <f t="shared" si="134"/>
        <v>#NUM!</v>
      </c>
      <c r="GE140" s="62">
        <f ca="1">AVERAGE(OFFSET($GD$3,0,0,'Données projet'!$E$17+1,1))-AVERAGE(OFFSET($H$3,0,0,'Données projet'!$E$17+1,1))</f>
        <v>248.82613595888964</v>
      </c>
      <c r="GF140" s="62">
        <f t="shared" si="158"/>
        <v>255.8298580882084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135.66666666666666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221.18884567967481</v>
      </c>
      <c r="T141" s="62">
        <f t="shared" si="142"/>
        <v>189.31596996710888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1.1879166666666663</v>
      </c>
      <c r="AI141" s="14">
        <f>IF('Données projet'!$A$62&gt;35,AI140+AH141-AQ140,IF(A141&lt;'Données projet'!$A$62,$AF$205^A141,IF(A141='Données projet'!$A$62,'Données projet'!$B$62,AI140+AH141-AQ140)))</f>
        <v>125.03666666666665</v>
      </c>
      <c r="AJ141" s="14">
        <f>AI141*VLOOKUP('Données projet'!$B$10,Paramètres!$A$1:$I$89,3,0)*VLOOKUP('Données projet'!$B$10,Paramètres!$A$1:$I$89,5,0)</f>
        <v>144.04223999999996</v>
      </c>
      <c r="AK141" s="14">
        <f t="shared" si="143"/>
        <v>37.221486284480982</v>
      </c>
      <c r="AL141" s="22">
        <f t="shared" si="112"/>
        <v>315.70098994547101</v>
      </c>
      <c r="AM141" s="62">
        <f t="shared" si="113"/>
        <v>596.58247405570671</v>
      </c>
      <c r="AN141" s="62">
        <f ca="1">AVERAGE(OFFSET($AM$3,0,0,'Données projet'!$E$10+1,1))-AVERAGE(OFFSET($H$3,0,0,'Données projet'!$E$10+1,1))</f>
        <v>314.72063458462026</v>
      </c>
      <c r="AO141" s="62">
        <f t="shared" si="144"/>
        <v>216.4380325968244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455.26558725507834</v>
      </c>
      <c r="BJ141" s="62">
        <f t="shared" si="146"/>
        <v>278.60310966788552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-2.9558577807620169E-14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300.72820267660154</v>
      </c>
      <c r="CE141" s="62">
        <f t="shared" si="148"/>
        <v>228.35388778608589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384.3367849108829</v>
      </c>
      <c r="CZ141" s="62">
        <f t="shared" si="150"/>
        <v>238.2697272367603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-6.2527760746888816E-13</v>
      </c>
      <c r="DP141" s="18">
        <f>DO141*VLOOKUP('Données projet'!$B$14,Paramètres!$A$1:$I$89,3,0)*VLOOKUP('Données projet'!$B$14,Paramètres!$A$1:$I$89,5,0)</f>
        <v>-2.9262992029543964E-13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304.1100958939968</v>
      </c>
      <c r="DU141" s="62">
        <f t="shared" si="152"/>
        <v>184.1255966824568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>
        <f>EJ141*VLOOKUP('Données projet'!$B$15,Paramètres!$A$1:$I$89,3,0)*VLOOKUP('Données projet'!$B$15,Paramètres!$A$1:$I$89,5,0)</f>
        <v>0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435.03433721979218</v>
      </c>
      <c r="EP141" s="62">
        <f t="shared" si="154"/>
        <v>267.10015759286387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>
        <f>FE141*VLOOKUP('Données projet'!$B$16,Paramètres!$A$1:$I$89,3,0)*VLOOKUP('Données projet'!$B$16,Paramètres!$A$1:$I$89,5,0)</f>
        <v>0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445.15313998584293</v>
      </c>
      <c r="FK141" s="62">
        <f t="shared" si="156"/>
        <v>272.85357736694834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-5.6843418860808015E-14</v>
      </c>
      <c r="GA141" s="18">
        <f>FZ141*VLOOKUP('Données projet'!$B$17,Paramètres!$A$1:$I$89,3,0)*VLOOKUP('Données projet'!$B$17,Paramètres!$A$1:$I$89,5,0)</f>
        <v>-4.9658410716801891E-14</v>
      </c>
      <c r="GB141" s="14" t="e">
        <f t="shared" si="157"/>
        <v>#NUM!</v>
      </c>
      <c r="GC141" s="22" t="e">
        <f t="shared" si="133"/>
        <v>#NUM!</v>
      </c>
      <c r="GD141" s="62" t="e">
        <f t="shared" si="134"/>
        <v>#NUM!</v>
      </c>
      <c r="GE141" s="62">
        <f ca="1">AVERAGE(OFFSET($GD$3,0,0,'Données projet'!$E$17+1,1))-AVERAGE(OFFSET($H$3,0,0,'Données projet'!$E$17+1,1))</f>
        <v>248.82613595888964</v>
      </c>
      <c r="GF141" s="62">
        <f t="shared" si="158"/>
        <v>255.8298580882084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135.66666666666666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221.18884567967481</v>
      </c>
      <c r="T142" s="62">
        <f t="shared" si="142"/>
        <v>189.31596996710888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1.1879166666666663</v>
      </c>
      <c r="AI142" s="14">
        <f>IF('Données projet'!$A$62&gt;35,AI141+AH142-AQ141,IF(A142&lt;'Données projet'!$A$62,$AF$205^A142,IF(A142='Données projet'!$A$62,'Données projet'!$B$62,AI141+AH142-AQ141)))</f>
        <v>126.22458333333331</v>
      </c>
      <c r="AJ142" s="14">
        <f>AI142*VLOOKUP('Données projet'!$B$10,Paramètres!$A$1:$I$89,3,0)*VLOOKUP('Données projet'!$B$10,Paramètres!$A$1:$I$89,5,0)</f>
        <v>145.41071999999997</v>
      </c>
      <c r="AK142" s="14">
        <f t="shared" si="143"/>
        <v>37.533776695922867</v>
      </c>
      <c r="AL142" s="22">
        <f t="shared" si="112"/>
        <v>318.62833174539895</v>
      </c>
      <c r="AM142" s="62">
        <f t="shared" si="113"/>
        <v>599.72582760149101</v>
      </c>
      <c r="AN142" s="62">
        <f ca="1">AVERAGE(OFFSET($AM$3,0,0,'Données projet'!$E$10+1,1))-AVERAGE(OFFSET($H$3,0,0,'Données projet'!$E$10+1,1))</f>
        <v>314.72063458462026</v>
      </c>
      <c r="AO142" s="62">
        <f t="shared" si="144"/>
        <v>216.4380325968244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455.26558725507834</v>
      </c>
      <c r="BJ142" s="62">
        <f t="shared" si="146"/>
        <v>278.60310966788552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-2.9558577807620169E-14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300.72820267660154</v>
      </c>
      <c r="CE142" s="62">
        <f t="shared" si="148"/>
        <v>228.35388778608589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384.3367849108829</v>
      </c>
      <c r="CZ142" s="62">
        <f t="shared" si="150"/>
        <v>238.2697272367603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-6.2527760746888816E-13</v>
      </c>
      <c r="DP142" s="18">
        <f>DO142*VLOOKUP('Données projet'!$B$14,Paramètres!$A$1:$I$89,3,0)*VLOOKUP('Données projet'!$B$14,Paramètres!$A$1:$I$89,5,0)</f>
        <v>-2.9262992029543964E-13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304.1100958939968</v>
      </c>
      <c r="DU142" s="62">
        <f t="shared" si="152"/>
        <v>184.1255966824568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>
        <f>EJ142*VLOOKUP('Données projet'!$B$15,Paramètres!$A$1:$I$89,3,0)*VLOOKUP('Données projet'!$B$15,Paramètres!$A$1:$I$89,5,0)</f>
        <v>0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435.03433721979218</v>
      </c>
      <c r="EP142" s="62">
        <f t="shared" si="154"/>
        <v>267.10015759286387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>
        <f>FE142*VLOOKUP('Données projet'!$B$16,Paramètres!$A$1:$I$89,3,0)*VLOOKUP('Données projet'!$B$16,Paramètres!$A$1:$I$89,5,0)</f>
        <v>0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445.15313998584293</v>
      </c>
      <c r="FK142" s="62">
        <f t="shared" si="156"/>
        <v>272.85357736694834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-5.6843418860808015E-14</v>
      </c>
      <c r="GA142" s="18">
        <f>FZ142*VLOOKUP('Données projet'!$B$17,Paramètres!$A$1:$I$89,3,0)*VLOOKUP('Données projet'!$B$17,Paramètres!$A$1:$I$89,5,0)</f>
        <v>-4.9658410716801891E-14</v>
      </c>
      <c r="GB142" s="14" t="e">
        <f t="shared" si="157"/>
        <v>#NUM!</v>
      </c>
      <c r="GC142" s="22" t="e">
        <f t="shared" si="133"/>
        <v>#NUM!</v>
      </c>
      <c r="GD142" s="62" t="e">
        <f t="shared" si="134"/>
        <v>#NUM!</v>
      </c>
      <c r="GE142" s="62">
        <f ca="1">AVERAGE(OFFSET($GD$3,0,0,'Données projet'!$E$17+1,1))-AVERAGE(OFFSET($H$3,0,0,'Données projet'!$E$17+1,1))</f>
        <v>248.82613595888964</v>
      </c>
      <c r="GF142" s="62">
        <f t="shared" si="158"/>
        <v>255.8298580882084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135.66666666666666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221.18884567967481</v>
      </c>
      <c r="T143" s="62">
        <f t="shared" si="142"/>
        <v>189.31596996710888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127.41250000000001</v>
      </c>
      <c r="AG143" s="13">
        <f>VLOOKUP(A143,'Données projet'!$A$61:$I$81,9,0)</f>
        <v>1.1879166666666663</v>
      </c>
      <c r="AH143" s="13">
        <f t="array" ref="AH143">INDEX(AG:AG,MIN(IF(ISNUMBER(AG143:AG339),ROW(AG143:AG339),"")))</f>
        <v>1.1879166666666663</v>
      </c>
      <c r="AI143" s="14">
        <f>IF('Données projet'!$A$62&gt;35,AI142+AH143-AQ142,IF(A143&lt;'Données projet'!$A$62,$AF$205^A143,IF(A143='Données projet'!$A$62,'Données projet'!$B$62,AI142+AH143-AQ142)))</f>
        <v>127.41249999999998</v>
      </c>
      <c r="AJ143" s="14">
        <f>AI143*VLOOKUP('Données projet'!$B$10,Paramètres!$A$1:$I$89,3,0)*VLOOKUP('Données projet'!$B$10,Paramètres!$A$1:$I$89,5,0)</f>
        <v>146.77919999999997</v>
      </c>
      <c r="AK143" s="14">
        <f t="shared" si="143"/>
        <v>37.845725188874766</v>
      </c>
      <c r="AL143" s="22">
        <f t="shared" si="112"/>
        <v>321.55507803729012</v>
      </c>
      <c r="AM143" s="62">
        <f t="shared" si="113"/>
        <v>602.86483831837791</v>
      </c>
      <c r="AN143" s="62">
        <f ca="1">AVERAGE(OFFSET($AM$3,0,0,'Données projet'!$E$10+1,1))-AVERAGE(OFFSET($H$3,0,0,'Données projet'!$E$10+1,1))</f>
        <v>314.72063458462026</v>
      </c>
      <c r="AO143" s="62">
        <f t="shared" si="144"/>
        <v>216.4380325968244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8.5416666666666679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455.26558725507834</v>
      </c>
      <c r="BJ143" s="62">
        <f t="shared" si="146"/>
        <v>278.60310966788552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-2.9558577807620169E-14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300.72820267660154</v>
      </c>
      <c r="CE143" s="62">
        <f t="shared" si="148"/>
        <v>228.35388778608589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384.3367849108829</v>
      </c>
      <c r="CZ143" s="62">
        <f t="shared" si="150"/>
        <v>238.2697272367603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-6.2527760746888816E-13</v>
      </c>
      <c r="DP143" s="18">
        <f>DO143*VLOOKUP('Données projet'!$B$14,Paramètres!$A$1:$I$89,3,0)*VLOOKUP('Données projet'!$B$14,Paramètres!$A$1:$I$89,5,0)</f>
        <v>-2.9262992029543964E-13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304.1100958939968</v>
      </c>
      <c r="DU143" s="62">
        <f t="shared" si="152"/>
        <v>184.1255966824568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>
        <f>EJ143*VLOOKUP('Données projet'!$B$15,Paramètres!$A$1:$I$89,3,0)*VLOOKUP('Données projet'!$B$15,Paramètres!$A$1:$I$89,5,0)</f>
        <v>0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435.03433721979218</v>
      </c>
      <c r="EP143" s="62">
        <f t="shared" si="154"/>
        <v>267.10015759286387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>
        <f>FE143*VLOOKUP('Données projet'!$B$16,Paramètres!$A$1:$I$89,3,0)*VLOOKUP('Données projet'!$B$16,Paramètres!$A$1:$I$89,5,0)</f>
        <v>0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445.15313998584293</v>
      </c>
      <c r="FK143" s="62">
        <f t="shared" si="156"/>
        <v>272.85357736694834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-5.6843418860808015E-14</v>
      </c>
      <c r="GA143" s="18">
        <f>FZ143*VLOOKUP('Données projet'!$B$17,Paramètres!$A$1:$I$89,3,0)*VLOOKUP('Données projet'!$B$17,Paramètres!$A$1:$I$89,5,0)</f>
        <v>-4.9658410716801891E-14</v>
      </c>
      <c r="GB143" s="14" t="e">
        <f t="shared" si="157"/>
        <v>#NUM!</v>
      </c>
      <c r="GC143" s="22" t="e">
        <f t="shared" si="133"/>
        <v>#NUM!</v>
      </c>
      <c r="GD143" s="62" t="e">
        <f t="shared" si="134"/>
        <v>#NUM!</v>
      </c>
      <c r="GE143" s="62">
        <f ca="1">AVERAGE(OFFSET($GD$3,0,0,'Données projet'!$E$17+1,1))-AVERAGE(OFFSET($H$3,0,0,'Données projet'!$E$17+1,1))</f>
        <v>248.82613595888964</v>
      </c>
      <c r="GF143" s="62">
        <f t="shared" si="158"/>
        <v>255.8298580882084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135.66666666666666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221.18884567967481</v>
      </c>
      <c r="T144" s="62">
        <f t="shared" si="142"/>
        <v>189.31596996710888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1.1341666666666668</v>
      </c>
      <c r="AI144" s="14">
        <f>IF('Données projet'!$A$62&gt;35,AI143+AH144-AQ143,IF(A144&lt;'Données projet'!$A$62,$AF$205^A144,IF(A144='Données projet'!$A$62,'Données projet'!$B$62,AI143+AH144-AQ143)))</f>
        <v>120.00499999999998</v>
      </c>
      <c r="AJ144" s="14">
        <f>AI144*VLOOKUP('Données projet'!$B$10,Paramètres!$A$1:$I$89,3,0)*VLOOKUP('Données projet'!$B$10,Paramètres!$A$1:$I$89,5,0)</f>
        <v>138.24575999999996</v>
      </c>
      <c r="AK144" s="14">
        <f t="shared" si="143"/>
        <v>35.89483929910822</v>
      </c>
      <c r="AL144" s="22">
        <f t="shared" si="112"/>
        <v>303.29487711261339</v>
      </c>
      <c r="AM144" s="62">
        <f t="shared" si="113"/>
        <v>584.81321950547522</v>
      </c>
      <c r="AN144" s="62">
        <f ca="1">AVERAGE(OFFSET($AM$3,0,0,'Données projet'!$E$10+1,1))-AVERAGE(OFFSET($H$3,0,0,'Données projet'!$E$10+1,1))</f>
        <v>314.72063458462026</v>
      </c>
      <c r="AO144" s="62">
        <f t="shared" si="144"/>
        <v>216.4380325968244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455.26558725507834</v>
      </c>
      <c r="BJ144" s="62">
        <f t="shared" si="146"/>
        <v>278.60310966788552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-2.9558577807620169E-14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300.72820267660154</v>
      </c>
      <c r="CE144" s="62">
        <f t="shared" si="148"/>
        <v>228.35388778608589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384.3367849108829</v>
      </c>
      <c r="CZ144" s="62">
        <f t="shared" si="150"/>
        <v>238.2697272367603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-6.2527760746888816E-13</v>
      </c>
      <c r="DP144" s="18">
        <f>DO144*VLOOKUP('Données projet'!$B$14,Paramètres!$A$1:$I$89,3,0)*VLOOKUP('Données projet'!$B$14,Paramètres!$A$1:$I$89,5,0)</f>
        <v>-2.9262992029543964E-13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304.1100958939968</v>
      </c>
      <c r="DU144" s="62">
        <f t="shared" si="152"/>
        <v>184.1255966824568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>
        <f>EJ144*VLOOKUP('Données projet'!$B$15,Paramètres!$A$1:$I$89,3,0)*VLOOKUP('Données projet'!$B$15,Paramètres!$A$1:$I$89,5,0)</f>
        <v>0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435.03433721979218</v>
      </c>
      <c r="EP144" s="62">
        <f t="shared" si="154"/>
        <v>267.10015759286387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>
        <f>FE144*VLOOKUP('Données projet'!$B$16,Paramètres!$A$1:$I$89,3,0)*VLOOKUP('Données projet'!$B$16,Paramètres!$A$1:$I$89,5,0)</f>
        <v>0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445.15313998584293</v>
      </c>
      <c r="FK144" s="62">
        <f t="shared" si="156"/>
        <v>272.85357736694834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-5.6843418860808015E-14</v>
      </c>
      <c r="GA144" s="18">
        <f>FZ144*VLOOKUP('Données projet'!$B$17,Paramètres!$A$1:$I$89,3,0)*VLOOKUP('Données projet'!$B$17,Paramètres!$A$1:$I$89,5,0)</f>
        <v>-4.9658410716801891E-14</v>
      </c>
      <c r="GB144" s="14" t="e">
        <f t="shared" si="157"/>
        <v>#NUM!</v>
      </c>
      <c r="GC144" s="22" t="e">
        <f t="shared" si="133"/>
        <v>#NUM!</v>
      </c>
      <c r="GD144" s="62" t="e">
        <f t="shared" si="134"/>
        <v>#NUM!</v>
      </c>
      <c r="GE144" s="62">
        <f ca="1">AVERAGE(OFFSET($GD$3,0,0,'Données projet'!$E$17+1,1))-AVERAGE(OFFSET($H$3,0,0,'Données projet'!$E$17+1,1))</f>
        <v>248.82613595888964</v>
      </c>
      <c r="GF144" s="62">
        <f t="shared" si="158"/>
        <v>255.8298580882084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135.66666666666666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221.18884567967481</v>
      </c>
      <c r="T145" s="62">
        <f t="shared" si="142"/>
        <v>189.31596996710888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1.1341666666666668</v>
      </c>
      <c r="AI145" s="14">
        <f>IF('Données projet'!$A$62&gt;35,AI144+AH145-AQ144,IF(A145&lt;'Données projet'!$A$62,$AF$205^A145,IF(A145='Données projet'!$A$62,'Données projet'!$B$62,AI144+AH145-AQ144)))</f>
        <v>121.13916666666665</v>
      </c>
      <c r="AJ145" s="14">
        <f>AI145*VLOOKUP('Données projet'!$B$10,Paramètres!$A$1:$I$89,3,0)*VLOOKUP('Données projet'!$B$10,Paramètres!$A$1:$I$89,5,0)</f>
        <v>139.55231999999998</v>
      </c>
      <c r="AK145" s="14">
        <f t="shared" si="143"/>
        <v>36.194429184175888</v>
      </c>
      <c r="AL145" s="22">
        <f t="shared" si="112"/>
        <v>306.09225482910631</v>
      </c>
      <c r="AM145" s="62">
        <f t="shared" si="113"/>
        <v>587.81556090042272</v>
      </c>
      <c r="AN145" s="62">
        <f ca="1">AVERAGE(OFFSET($AM$3,0,0,'Données projet'!$E$10+1,1))-AVERAGE(OFFSET($H$3,0,0,'Données projet'!$E$10+1,1))</f>
        <v>314.72063458462026</v>
      </c>
      <c r="AO145" s="62">
        <f t="shared" si="144"/>
        <v>216.4380325968244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455.26558725507834</v>
      </c>
      <c r="BJ145" s="62">
        <f t="shared" si="146"/>
        <v>278.60310966788552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-2.9558577807620169E-14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300.72820267660154</v>
      </c>
      <c r="CE145" s="62">
        <f t="shared" si="148"/>
        <v>228.35388778608589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384.3367849108829</v>
      </c>
      <c r="CZ145" s="62">
        <f t="shared" si="150"/>
        <v>238.2697272367603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-6.2527760746888816E-13</v>
      </c>
      <c r="DP145" s="18">
        <f>DO145*VLOOKUP('Données projet'!$B$14,Paramètres!$A$1:$I$89,3,0)*VLOOKUP('Données projet'!$B$14,Paramètres!$A$1:$I$89,5,0)</f>
        <v>-2.9262992029543964E-13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304.1100958939968</v>
      </c>
      <c r="DU145" s="62">
        <f t="shared" si="152"/>
        <v>184.1255966824568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>
        <f>EJ145*VLOOKUP('Données projet'!$B$15,Paramètres!$A$1:$I$89,3,0)*VLOOKUP('Données projet'!$B$15,Paramètres!$A$1:$I$89,5,0)</f>
        <v>0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435.03433721979218</v>
      </c>
      <c r="EP145" s="62">
        <f t="shared" si="154"/>
        <v>267.10015759286387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>
        <f>FE145*VLOOKUP('Données projet'!$B$16,Paramètres!$A$1:$I$89,3,0)*VLOOKUP('Données projet'!$B$16,Paramètres!$A$1:$I$89,5,0)</f>
        <v>0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445.15313998584293</v>
      </c>
      <c r="FK145" s="62">
        <f t="shared" si="156"/>
        <v>272.85357736694834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-5.6843418860808015E-14</v>
      </c>
      <c r="GA145" s="18">
        <f>FZ145*VLOOKUP('Données projet'!$B$17,Paramètres!$A$1:$I$89,3,0)*VLOOKUP('Données projet'!$B$17,Paramètres!$A$1:$I$89,5,0)</f>
        <v>-4.9658410716801891E-14</v>
      </c>
      <c r="GB145" s="14" t="e">
        <f t="shared" si="157"/>
        <v>#NUM!</v>
      </c>
      <c r="GC145" s="22" t="e">
        <f t="shared" si="133"/>
        <v>#NUM!</v>
      </c>
      <c r="GD145" s="62" t="e">
        <f t="shared" si="134"/>
        <v>#NUM!</v>
      </c>
      <c r="GE145" s="62">
        <f ca="1">AVERAGE(OFFSET($GD$3,0,0,'Données projet'!$E$17+1,1))-AVERAGE(OFFSET($H$3,0,0,'Données projet'!$E$17+1,1))</f>
        <v>248.82613595888964</v>
      </c>
      <c r="GF145" s="62">
        <f t="shared" si="158"/>
        <v>255.8298580882084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135.66666666666666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221.18884567967481</v>
      </c>
      <c r="T146" s="62">
        <f t="shared" si="142"/>
        <v>189.31596996710888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1.1341666666666668</v>
      </c>
      <c r="AI146" s="14">
        <f>IF('Données projet'!$A$62&gt;35,AI145+AH146-AQ145,IF(A146&lt;'Données projet'!$A$62,$AF$205^A146,IF(A146='Données projet'!$A$62,'Données projet'!$B$62,AI145+AH146-AQ145)))</f>
        <v>122.27333333333333</v>
      </c>
      <c r="AJ146" s="14">
        <f>AI146*VLOOKUP('Données projet'!$B$10,Paramètres!$A$1:$I$89,3,0)*VLOOKUP('Données projet'!$B$10,Paramètres!$A$1:$I$89,5,0)</f>
        <v>140.85887999999997</v>
      </c>
      <c r="AK146" s="14">
        <f t="shared" si="143"/>
        <v>36.49369275013197</v>
      </c>
      <c r="AL146" s="22">
        <f t="shared" si="112"/>
        <v>308.88906420647976</v>
      </c>
      <c r="AM146" s="62">
        <f t="shared" si="113"/>
        <v>590.81377829465976</v>
      </c>
      <c r="AN146" s="62">
        <f ca="1">AVERAGE(OFFSET($AM$3,0,0,'Données projet'!$E$10+1,1))-AVERAGE(OFFSET($H$3,0,0,'Données projet'!$E$10+1,1))</f>
        <v>314.72063458462026</v>
      </c>
      <c r="AO146" s="62">
        <f t="shared" si="144"/>
        <v>216.4380325968244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455.26558725507834</v>
      </c>
      <c r="BJ146" s="62">
        <f t="shared" si="146"/>
        <v>278.60310966788552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-2.9558577807620169E-14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300.72820267660154</v>
      </c>
      <c r="CE146" s="62">
        <f t="shared" si="148"/>
        <v>228.35388778608589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384.3367849108829</v>
      </c>
      <c r="CZ146" s="62">
        <f t="shared" si="150"/>
        <v>238.2697272367603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-6.2527760746888816E-13</v>
      </c>
      <c r="DP146" s="18">
        <f>DO146*VLOOKUP('Données projet'!$B$14,Paramètres!$A$1:$I$89,3,0)*VLOOKUP('Données projet'!$B$14,Paramètres!$A$1:$I$89,5,0)</f>
        <v>-2.9262992029543964E-13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304.1100958939968</v>
      </c>
      <c r="DU146" s="62">
        <f t="shared" si="152"/>
        <v>184.1255966824568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>
        <f>EJ146*VLOOKUP('Données projet'!$B$15,Paramètres!$A$1:$I$89,3,0)*VLOOKUP('Données projet'!$B$15,Paramètres!$A$1:$I$89,5,0)</f>
        <v>0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435.03433721979218</v>
      </c>
      <c r="EP146" s="62">
        <f t="shared" si="154"/>
        <v>267.10015759286387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>
        <f>FE146*VLOOKUP('Données projet'!$B$16,Paramètres!$A$1:$I$89,3,0)*VLOOKUP('Données projet'!$B$16,Paramètres!$A$1:$I$89,5,0)</f>
        <v>0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445.15313998584293</v>
      </c>
      <c r="FK146" s="62">
        <f t="shared" si="156"/>
        <v>272.85357736694834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-5.6843418860808015E-14</v>
      </c>
      <c r="GA146" s="18">
        <f>FZ146*VLOOKUP('Données projet'!$B$17,Paramètres!$A$1:$I$89,3,0)*VLOOKUP('Données projet'!$B$17,Paramètres!$A$1:$I$89,5,0)</f>
        <v>-4.9658410716801891E-14</v>
      </c>
      <c r="GB146" s="14" t="e">
        <f t="shared" si="157"/>
        <v>#NUM!</v>
      </c>
      <c r="GC146" s="22" t="e">
        <f t="shared" si="133"/>
        <v>#NUM!</v>
      </c>
      <c r="GD146" s="62" t="e">
        <f t="shared" si="134"/>
        <v>#NUM!</v>
      </c>
      <c r="GE146" s="62">
        <f ca="1">AVERAGE(OFFSET($GD$3,0,0,'Données projet'!$E$17+1,1))-AVERAGE(OFFSET($H$3,0,0,'Données projet'!$E$17+1,1))</f>
        <v>248.82613595888964</v>
      </c>
      <c r="GF146" s="62">
        <f t="shared" si="158"/>
        <v>255.8298580882084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135.66666666666666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221.18884567967481</v>
      </c>
      <c r="T147" s="62">
        <f t="shared" si="142"/>
        <v>189.31596996710888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1.1341666666666668</v>
      </c>
      <c r="AI147" s="14">
        <f>IF('Données projet'!$A$62&gt;35,AI146+AH147-AQ146,IF(A147&lt;'Données projet'!$A$62,$AF$205^A147,IF(A147='Données projet'!$A$62,'Données projet'!$B$62,AI146+AH147-AQ146)))</f>
        <v>123.4075</v>
      </c>
      <c r="AJ147" s="14">
        <f>AI147*VLOOKUP('Données projet'!$B$10,Paramètres!$A$1:$I$89,3,0)*VLOOKUP('Données projet'!$B$10,Paramètres!$A$1:$I$89,5,0)</f>
        <v>142.16543999999999</v>
      </c>
      <c r="AK147" s="14">
        <f t="shared" si="143"/>
        <v>36.792633374400118</v>
      </c>
      <c r="AL147" s="22">
        <f t="shared" si="112"/>
        <v>311.68531112708018</v>
      </c>
      <c r="AM147" s="62">
        <f t="shared" si="113"/>
        <v>593.80793925331193</v>
      </c>
      <c r="AN147" s="62">
        <f ca="1">AVERAGE(OFFSET($AM$3,0,0,'Données projet'!$E$10+1,1))-AVERAGE(OFFSET($H$3,0,0,'Données projet'!$E$10+1,1))</f>
        <v>314.72063458462026</v>
      </c>
      <c r="AO147" s="62">
        <f t="shared" si="144"/>
        <v>216.4380325968244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455.26558725507834</v>
      </c>
      <c r="BJ147" s="62">
        <f t="shared" si="146"/>
        <v>278.60310966788552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-2.9558577807620169E-14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300.72820267660154</v>
      </c>
      <c r="CE147" s="62">
        <f t="shared" si="148"/>
        <v>228.35388778608589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384.3367849108829</v>
      </c>
      <c r="CZ147" s="62">
        <f t="shared" si="150"/>
        <v>238.2697272367603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-6.2527760746888816E-13</v>
      </c>
      <c r="DP147" s="18">
        <f>DO147*VLOOKUP('Données projet'!$B$14,Paramètres!$A$1:$I$89,3,0)*VLOOKUP('Données projet'!$B$14,Paramètres!$A$1:$I$89,5,0)</f>
        <v>-2.9262992029543964E-13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304.1100958939968</v>
      </c>
      <c r="DU147" s="62">
        <f t="shared" si="152"/>
        <v>184.1255966824568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>
        <f>EJ147*VLOOKUP('Données projet'!$B$15,Paramètres!$A$1:$I$89,3,0)*VLOOKUP('Données projet'!$B$15,Paramètres!$A$1:$I$89,5,0)</f>
        <v>0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435.03433721979218</v>
      </c>
      <c r="EP147" s="62">
        <f t="shared" si="154"/>
        <v>267.10015759286387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>
        <f>FE147*VLOOKUP('Données projet'!$B$16,Paramètres!$A$1:$I$89,3,0)*VLOOKUP('Données projet'!$B$16,Paramètres!$A$1:$I$89,5,0)</f>
        <v>0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445.15313998584293</v>
      </c>
      <c r="FK147" s="62">
        <f t="shared" si="156"/>
        <v>272.85357736694834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-5.6843418860808015E-14</v>
      </c>
      <c r="GA147" s="18">
        <f>FZ147*VLOOKUP('Données projet'!$B$17,Paramètres!$A$1:$I$89,3,0)*VLOOKUP('Données projet'!$B$17,Paramètres!$A$1:$I$89,5,0)</f>
        <v>-4.9658410716801891E-14</v>
      </c>
      <c r="GB147" s="14" t="e">
        <f t="shared" si="157"/>
        <v>#NUM!</v>
      </c>
      <c r="GC147" s="22" t="e">
        <f t="shared" si="133"/>
        <v>#NUM!</v>
      </c>
      <c r="GD147" s="62" t="e">
        <f t="shared" si="134"/>
        <v>#NUM!</v>
      </c>
      <c r="GE147" s="62">
        <f ca="1">AVERAGE(OFFSET($GD$3,0,0,'Données projet'!$E$17+1,1))-AVERAGE(OFFSET($H$3,0,0,'Données projet'!$E$17+1,1))</f>
        <v>248.82613595888964</v>
      </c>
      <c r="GF147" s="62">
        <f t="shared" si="158"/>
        <v>255.8298580882084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135.66666666666666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221.18884567967481</v>
      </c>
      <c r="T148" s="62">
        <f t="shared" si="142"/>
        <v>189.31596996710888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1.1341666666666668</v>
      </c>
      <c r="AI148" s="14">
        <f>IF('Données projet'!$A$62&gt;35,AI147+AH148-AQ147,IF(A148&lt;'Données projet'!$A$62,$AF$205^A148,IF(A148='Données projet'!$A$62,'Données projet'!$B$62,AI147+AH148-AQ147)))</f>
        <v>124.54166666666667</v>
      </c>
      <c r="AJ148" s="14">
        <f>AI148*VLOOKUP('Données projet'!$B$10,Paramètres!$A$1:$I$89,3,0)*VLOOKUP('Données projet'!$B$10,Paramètres!$A$1:$I$89,5,0)</f>
        <v>143.47200000000001</v>
      </c>
      <c r="AK148" s="14">
        <f t="shared" si="143"/>
        <v>37.091254368743478</v>
      </c>
      <c r="AL148" s="22">
        <f t="shared" si="112"/>
        <v>314.4810013588949</v>
      </c>
      <c r="AM148" s="62">
        <f t="shared" si="113"/>
        <v>596.79811015708788</v>
      </c>
      <c r="AN148" s="62">
        <f ca="1">AVERAGE(OFFSET($AM$3,0,0,'Données projet'!$E$10+1,1))-AVERAGE(OFFSET($H$3,0,0,'Données projet'!$E$10+1,1))</f>
        <v>314.72063458462026</v>
      </c>
      <c r="AO148" s="62">
        <f t="shared" si="144"/>
        <v>216.4380325968244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455.26558725507834</v>
      </c>
      <c r="BJ148" s="62">
        <f t="shared" si="146"/>
        <v>278.60310966788552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-2.9558577807620169E-14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300.72820267660154</v>
      </c>
      <c r="CE148" s="62">
        <f t="shared" si="148"/>
        <v>228.35388778608589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384.3367849108829</v>
      </c>
      <c r="CZ148" s="62">
        <f t="shared" si="150"/>
        <v>238.2697272367603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-6.2527760746888816E-13</v>
      </c>
      <c r="DP148" s="18">
        <f>DO148*VLOOKUP('Données projet'!$B$14,Paramètres!$A$1:$I$89,3,0)*VLOOKUP('Données projet'!$B$14,Paramètres!$A$1:$I$89,5,0)</f>
        <v>-2.9262992029543964E-13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304.1100958939968</v>
      </c>
      <c r="DU148" s="62">
        <f t="shared" si="152"/>
        <v>184.1255966824568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>
        <f>EJ148*VLOOKUP('Données projet'!$B$15,Paramètres!$A$1:$I$89,3,0)*VLOOKUP('Données projet'!$B$15,Paramètres!$A$1:$I$89,5,0)</f>
        <v>0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435.03433721979218</v>
      </c>
      <c r="EP148" s="62">
        <f t="shared" si="154"/>
        <v>267.10015759286387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>
        <f>FE148*VLOOKUP('Données projet'!$B$16,Paramètres!$A$1:$I$89,3,0)*VLOOKUP('Données projet'!$B$16,Paramètres!$A$1:$I$89,5,0)</f>
        <v>0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445.15313998584293</v>
      </c>
      <c r="FK148" s="62">
        <f t="shared" si="156"/>
        <v>272.85357736694834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-5.6843418860808015E-14</v>
      </c>
      <c r="GA148" s="18">
        <f>FZ148*VLOOKUP('Données projet'!$B$17,Paramètres!$A$1:$I$89,3,0)*VLOOKUP('Données projet'!$B$17,Paramètres!$A$1:$I$89,5,0)</f>
        <v>-4.9658410716801891E-14</v>
      </c>
      <c r="GB148" s="14" t="e">
        <f t="shared" si="157"/>
        <v>#NUM!</v>
      </c>
      <c r="GC148" s="22" t="e">
        <f t="shared" si="133"/>
        <v>#NUM!</v>
      </c>
      <c r="GD148" s="62" t="e">
        <f t="shared" si="134"/>
        <v>#NUM!</v>
      </c>
      <c r="GE148" s="62">
        <f ca="1">AVERAGE(OFFSET($GD$3,0,0,'Données projet'!$E$17+1,1))-AVERAGE(OFFSET($H$3,0,0,'Données projet'!$E$17+1,1))</f>
        <v>248.82613595888964</v>
      </c>
      <c r="GF148" s="62">
        <f t="shared" si="158"/>
        <v>255.8298580882084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135.66666666666666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221.18884567967481</v>
      </c>
      <c r="T149" s="62">
        <f t="shared" si="142"/>
        <v>189.31596996710888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1.1341666666666668</v>
      </c>
      <c r="AI149" s="14">
        <f>IF('Données projet'!$A$62&gt;35,AI148+AH149-AQ148,IF(A149&lt;'Données projet'!$A$62,$AF$205^A149,IF(A149='Données projet'!$A$62,'Données projet'!$B$62,AI148+AH149-AQ148)))</f>
        <v>125.67583333333334</v>
      </c>
      <c r="AJ149" s="14">
        <f>AI149*VLOOKUP('Données projet'!$B$10,Paramètres!$A$1:$I$89,3,0)*VLOOKUP('Données projet'!$B$10,Paramètres!$A$1:$I$89,5,0)</f>
        <v>144.77856</v>
      </c>
      <c r="AK149" s="14">
        <f t="shared" si="143"/>
        <v>37.389558981127166</v>
      </c>
      <c r="AL149" s="22">
        <f t="shared" si="112"/>
        <v>317.2761405587965</v>
      </c>
      <c r="AM149" s="62">
        <f t="shared" si="113"/>
        <v>599.78435622408574</v>
      </c>
      <c r="AN149" s="62">
        <f ca="1">AVERAGE(OFFSET($AM$3,0,0,'Données projet'!$E$10+1,1))-AVERAGE(OFFSET($H$3,0,0,'Données projet'!$E$10+1,1))</f>
        <v>314.72063458462026</v>
      </c>
      <c r="AO149" s="62">
        <f t="shared" si="144"/>
        <v>216.4380325968244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455.26558725507834</v>
      </c>
      <c r="BJ149" s="62">
        <f t="shared" si="146"/>
        <v>278.60310966788552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-2.9558577807620169E-14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300.72820267660154</v>
      </c>
      <c r="CE149" s="62">
        <f t="shared" si="148"/>
        <v>228.35388778608589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384.3367849108829</v>
      </c>
      <c r="CZ149" s="62">
        <f t="shared" si="150"/>
        <v>238.2697272367603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-6.2527760746888816E-13</v>
      </c>
      <c r="DP149" s="18">
        <f>DO149*VLOOKUP('Données projet'!$B$14,Paramètres!$A$1:$I$89,3,0)*VLOOKUP('Données projet'!$B$14,Paramètres!$A$1:$I$89,5,0)</f>
        <v>-2.9262992029543964E-13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304.1100958939968</v>
      </c>
      <c r="DU149" s="62">
        <f t="shared" si="152"/>
        <v>184.1255966824568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>
        <f>EJ149*VLOOKUP('Données projet'!$B$15,Paramètres!$A$1:$I$89,3,0)*VLOOKUP('Données projet'!$B$15,Paramètres!$A$1:$I$89,5,0)</f>
        <v>0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435.03433721979218</v>
      </c>
      <c r="EP149" s="62">
        <f t="shared" si="154"/>
        <v>267.10015759286387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>
        <f>FE149*VLOOKUP('Données projet'!$B$16,Paramètres!$A$1:$I$89,3,0)*VLOOKUP('Données projet'!$B$16,Paramètres!$A$1:$I$89,5,0)</f>
        <v>0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445.15313998584293</v>
      </c>
      <c r="FK149" s="62">
        <f t="shared" si="156"/>
        <v>272.85357736694834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-5.6843418860808015E-14</v>
      </c>
      <c r="GA149" s="18">
        <f>FZ149*VLOOKUP('Données projet'!$B$17,Paramètres!$A$1:$I$89,3,0)*VLOOKUP('Données projet'!$B$17,Paramètres!$A$1:$I$89,5,0)</f>
        <v>-4.9658410716801891E-14</v>
      </c>
      <c r="GB149" s="14" t="e">
        <f t="shared" si="157"/>
        <v>#NUM!</v>
      </c>
      <c r="GC149" s="22" t="e">
        <f t="shared" si="133"/>
        <v>#NUM!</v>
      </c>
      <c r="GD149" s="62" t="e">
        <f t="shared" si="134"/>
        <v>#NUM!</v>
      </c>
      <c r="GE149" s="62">
        <f ca="1">AVERAGE(OFFSET($GD$3,0,0,'Données projet'!$E$17+1,1))-AVERAGE(OFFSET($H$3,0,0,'Données projet'!$E$17+1,1))</f>
        <v>248.82613595888964</v>
      </c>
      <c r="GF149" s="62">
        <f t="shared" si="158"/>
        <v>255.8298580882084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135.66666666666666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221.18884567967481</v>
      </c>
      <c r="T150" s="62">
        <f t="shared" si="142"/>
        <v>189.31596996710888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1.1341666666666668</v>
      </c>
      <c r="AI150" s="14">
        <f>IF('Données projet'!$A$62&gt;35,AI149+AH150-AQ149,IF(A150&lt;'Données projet'!$A$62,$AF$205^A150,IF(A150='Données projet'!$A$62,'Données projet'!$B$62,AI149+AH150-AQ149)))</f>
        <v>126.81000000000002</v>
      </c>
      <c r="AJ150" s="14">
        <f>AI150*VLOOKUP('Données projet'!$B$10,Paramètres!$A$1:$I$89,3,0)*VLOOKUP('Données projet'!$B$10,Paramètres!$A$1:$I$89,5,0)</f>
        <v>146.08512000000002</v>
      </c>
      <c r="AK150" s="14">
        <f t="shared" si="143"/>
        <v>37.687550397511806</v>
      </c>
      <c r="AL150" s="22">
        <f t="shared" si="112"/>
        <v>320.07073427566644</v>
      </c>
      <c r="AM150" s="62">
        <f t="shared" si="113"/>
        <v>602.76674153115869</v>
      </c>
      <c r="AN150" s="62">
        <f ca="1">AVERAGE(OFFSET($AM$3,0,0,'Données projet'!$E$10+1,1))-AVERAGE(OFFSET($H$3,0,0,'Données projet'!$E$10+1,1))</f>
        <v>314.72063458462026</v>
      </c>
      <c r="AO150" s="62">
        <f t="shared" si="144"/>
        <v>216.4380325968244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455.26558725507834</v>
      </c>
      <c r="BJ150" s="62">
        <f t="shared" si="146"/>
        <v>278.60310966788552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-2.9558577807620169E-14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300.72820267660154</v>
      </c>
      <c r="CE150" s="62">
        <f t="shared" si="148"/>
        <v>228.35388778608589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384.3367849108829</v>
      </c>
      <c r="CZ150" s="62">
        <f t="shared" si="150"/>
        <v>238.2697272367603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-6.2527760746888816E-13</v>
      </c>
      <c r="DP150" s="18">
        <f>DO150*VLOOKUP('Données projet'!$B$14,Paramètres!$A$1:$I$89,3,0)*VLOOKUP('Données projet'!$B$14,Paramètres!$A$1:$I$89,5,0)</f>
        <v>-2.9262992029543964E-13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304.1100958939968</v>
      </c>
      <c r="DU150" s="62">
        <f t="shared" si="152"/>
        <v>184.1255966824568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>
        <f>EJ150*VLOOKUP('Données projet'!$B$15,Paramètres!$A$1:$I$89,3,0)*VLOOKUP('Données projet'!$B$15,Paramètres!$A$1:$I$89,5,0)</f>
        <v>0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435.03433721979218</v>
      </c>
      <c r="EP150" s="62">
        <f t="shared" si="154"/>
        <v>267.10015759286387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>
        <f>FE150*VLOOKUP('Données projet'!$B$16,Paramètres!$A$1:$I$89,3,0)*VLOOKUP('Données projet'!$B$16,Paramètres!$A$1:$I$89,5,0)</f>
        <v>0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445.15313998584293</v>
      </c>
      <c r="FK150" s="62">
        <f t="shared" si="156"/>
        <v>272.85357736694834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-5.6843418860808015E-14</v>
      </c>
      <c r="GA150" s="18">
        <f>FZ150*VLOOKUP('Données projet'!$B$17,Paramètres!$A$1:$I$89,3,0)*VLOOKUP('Données projet'!$B$17,Paramètres!$A$1:$I$89,5,0)</f>
        <v>-4.9658410716801891E-14</v>
      </c>
      <c r="GB150" s="14" t="e">
        <f t="shared" si="157"/>
        <v>#NUM!</v>
      </c>
      <c r="GC150" s="22" t="e">
        <f t="shared" si="133"/>
        <v>#NUM!</v>
      </c>
      <c r="GD150" s="62" t="e">
        <f t="shared" si="134"/>
        <v>#NUM!</v>
      </c>
      <c r="GE150" s="62">
        <f ca="1">AVERAGE(OFFSET($GD$3,0,0,'Données projet'!$E$17+1,1))-AVERAGE(OFFSET($H$3,0,0,'Données projet'!$E$17+1,1))</f>
        <v>248.82613595888964</v>
      </c>
      <c r="GF150" s="62">
        <f t="shared" si="158"/>
        <v>255.8298580882084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135.66666666666666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221.18884567967481</v>
      </c>
      <c r="T151" s="62">
        <f t="shared" si="142"/>
        <v>189.31596996710888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1.1341666666666668</v>
      </c>
      <c r="AI151" s="14">
        <f>IF('Données projet'!$A$62&gt;35,AI150+AH151-AQ150,IF(A151&lt;'Données projet'!$A$62,$AF$205^A151,IF(A151='Données projet'!$A$62,'Données projet'!$B$62,AI150+AH151-AQ150)))</f>
        <v>127.94416666666669</v>
      </c>
      <c r="AJ151" s="14">
        <f>AI151*VLOOKUP('Données projet'!$B$10,Paramètres!$A$1:$I$89,3,0)*VLOOKUP('Données projet'!$B$10,Paramètres!$A$1:$I$89,5,0)</f>
        <v>147.39168000000001</v>
      </c>
      <c r="AK151" s="14">
        <f t="shared" si="143"/>
        <v>37.985231743580776</v>
      </c>
      <c r="AL151" s="22">
        <f t="shared" si="112"/>
        <v>322.86478795340321</v>
      </c>
      <c r="AM151" s="62">
        <f t="shared" si="113"/>
        <v>605.7453290348476</v>
      </c>
      <c r="AN151" s="62">
        <f ca="1">AVERAGE(OFFSET($AM$3,0,0,'Données projet'!$E$10+1,1))-AVERAGE(OFFSET($H$3,0,0,'Données projet'!$E$10+1,1))</f>
        <v>314.72063458462026</v>
      </c>
      <c r="AO151" s="62">
        <f t="shared" si="144"/>
        <v>216.4380325968244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455.26558725507834</v>
      </c>
      <c r="BJ151" s="62">
        <f t="shared" si="146"/>
        <v>278.60310966788552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-2.9558577807620169E-14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300.72820267660154</v>
      </c>
      <c r="CE151" s="62">
        <f t="shared" si="148"/>
        <v>228.35388778608589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384.3367849108829</v>
      </c>
      <c r="CZ151" s="62">
        <f t="shared" si="150"/>
        <v>238.2697272367603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-6.2527760746888816E-13</v>
      </c>
      <c r="DP151" s="18">
        <f>DO151*VLOOKUP('Données projet'!$B$14,Paramètres!$A$1:$I$89,3,0)*VLOOKUP('Données projet'!$B$14,Paramètres!$A$1:$I$89,5,0)</f>
        <v>-2.9262992029543964E-13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304.1100958939968</v>
      </c>
      <c r="DU151" s="62">
        <f t="shared" si="152"/>
        <v>184.1255966824568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>
        <f>EJ151*VLOOKUP('Données projet'!$B$15,Paramètres!$A$1:$I$89,3,0)*VLOOKUP('Données projet'!$B$15,Paramètres!$A$1:$I$89,5,0)</f>
        <v>0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435.03433721979218</v>
      </c>
      <c r="EP151" s="62">
        <f t="shared" si="154"/>
        <v>267.10015759286387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>
        <f>FE151*VLOOKUP('Données projet'!$B$16,Paramètres!$A$1:$I$89,3,0)*VLOOKUP('Données projet'!$B$16,Paramètres!$A$1:$I$89,5,0)</f>
        <v>0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445.15313998584293</v>
      </c>
      <c r="FK151" s="62">
        <f t="shared" si="156"/>
        <v>272.85357736694834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-5.6843418860808015E-14</v>
      </c>
      <c r="GA151" s="18">
        <f>FZ151*VLOOKUP('Données projet'!$B$17,Paramètres!$A$1:$I$89,3,0)*VLOOKUP('Données projet'!$B$17,Paramètres!$A$1:$I$89,5,0)</f>
        <v>-4.9658410716801891E-14</v>
      </c>
      <c r="GB151" s="14" t="e">
        <f t="shared" si="157"/>
        <v>#NUM!</v>
      </c>
      <c r="GC151" s="22" t="e">
        <f t="shared" si="133"/>
        <v>#NUM!</v>
      </c>
      <c r="GD151" s="62" t="e">
        <f t="shared" si="134"/>
        <v>#NUM!</v>
      </c>
      <c r="GE151" s="62">
        <f ca="1">AVERAGE(OFFSET($GD$3,0,0,'Données projet'!$E$17+1,1))-AVERAGE(OFFSET($H$3,0,0,'Données projet'!$E$17+1,1))</f>
        <v>248.82613595888964</v>
      </c>
      <c r="GF151" s="62">
        <f t="shared" si="158"/>
        <v>255.8298580882084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135.66666666666666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221.18884567967481</v>
      </c>
      <c r="T152" s="62">
        <f t="shared" si="142"/>
        <v>189.31596996710888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1.1341666666666668</v>
      </c>
      <c r="AI152" s="14">
        <f>IF('Données projet'!$A$62&gt;35,AI151+AH152-AQ151,IF(A152&lt;'Données projet'!$A$62,$AF$205^A152,IF(A152='Données projet'!$A$62,'Données projet'!$B$62,AI151+AH152-AQ151)))</f>
        <v>129.07833333333335</v>
      </c>
      <c r="AJ152" s="14">
        <f>AI152*VLOOKUP('Données projet'!$B$10,Paramètres!$A$1:$I$89,3,0)*VLOOKUP('Données projet'!$B$10,Paramètres!$A$1:$I$89,5,0)</f>
        <v>148.69824</v>
      </c>
      <c r="AK152" s="14">
        <f t="shared" si="143"/>
        <v>38.282606086404904</v>
      </c>
      <c r="AL152" s="22">
        <f t="shared" si="112"/>
        <v>325.65830693382185</v>
      </c>
      <c r="AM152" s="62">
        <f t="shared" si="113"/>
        <v>608.72018059189395</v>
      </c>
      <c r="AN152" s="62">
        <f ca="1">AVERAGE(OFFSET($AM$3,0,0,'Données projet'!$E$10+1,1))-AVERAGE(OFFSET($H$3,0,0,'Données projet'!$E$10+1,1))</f>
        <v>314.72063458462026</v>
      </c>
      <c r="AO152" s="62">
        <f t="shared" si="144"/>
        <v>216.4380325968244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455.26558725507834</v>
      </c>
      <c r="BJ152" s="62">
        <f t="shared" si="146"/>
        <v>278.60310966788552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-2.9558577807620169E-14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300.72820267660154</v>
      </c>
      <c r="CE152" s="62">
        <f t="shared" si="148"/>
        <v>228.35388778608589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384.3367849108829</v>
      </c>
      <c r="CZ152" s="62">
        <f t="shared" si="150"/>
        <v>238.2697272367603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-6.2527760746888816E-13</v>
      </c>
      <c r="DP152" s="18">
        <f>DO152*VLOOKUP('Données projet'!$B$14,Paramètres!$A$1:$I$89,3,0)*VLOOKUP('Données projet'!$B$14,Paramètres!$A$1:$I$89,5,0)</f>
        <v>-2.9262992029543964E-13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304.1100958939968</v>
      </c>
      <c r="DU152" s="62">
        <f t="shared" si="152"/>
        <v>184.1255966824568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>
        <f>EJ152*VLOOKUP('Données projet'!$B$15,Paramètres!$A$1:$I$89,3,0)*VLOOKUP('Données projet'!$B$15,Paramètres!$A$1:$I$89,5,0)</f>
        <v>0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435.03433721979218</v>
      </c>
      <c r="EP152" s="62">
        <f t="shared" si="154"/>
        <v>267.10015759286387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>
        <f>FE152*VLOOKUP('Données projet'!$B$16,Paramètres!$A$1:$I$89,3,0)*VLOOKUP('Données projet'!$B$16,Paramètres!$A$1:$I$89,5,0)</f>
        <v>0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445.15313998584293</v>
      </c>
      <c r="FK152" s="62">
        <f t="shared" si="156"/>
        <v>272.85357736694834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-5.6843418860808015E-14</v>
      </c>
      <c r="GA152" s="18">
        <f>FZ152*VLOOKUP('Données projet'!$B$17,Paramètres!$A$1:$I$89,3,0)*VLOOKUP('Données projet'!$B$17,Paramètres!$A$1:$I$89,5,0)</f>
        <v>-4.9658410716801891E-14</v>
      </c>
      <c r="GB152" s="14" t="e">
        <f t="shared" si="157"/>
        <v>#NUM!</v>
      </c>
      <c r="GC152" s="22" t="e">
        <f t="shared" si="133"/>
        <v>#NUM!</v>
      </c>
      <c r="GD152" s="62" t="e">
        <f t="shared" si="134"/>
        <v>#NUM!</v>
      </c>
      <c r="GE152" s="62">
        <f ca="1">AVERAGE(OFFSET($GD$3,0,0,'Données projet'!$E$17+1,1))-AVERAGE(OFFSET($H$3,0,0,'Données projet'!$E$17+1,1))</f>
        <v>248.82613595888964</v>
      </c>
      <c r="GF152" s="62">
        <f t="shared" si="158"/>
        <v>255.8298580882084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135.66666666666666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221.18884567967481</v>
      </c>
      <c r="T153" s="62">
        <f t="shared" si="142"/>
        <v>189.31596996710888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130.21250000000001</v>
      </c>
      <c r="AG153" s="13">
        <f>VLOOKUP(A153,'Données projet'!$A$61:$I$81,9,0)</f>
        <v>1.1341666666666668</v>
      </c>
      <c r="AH153" s="13">
        <f t="array" ref="AH153">INDEX(AG:AG,MIN(IF(ISNUMBER(AG153:AG349),ROW(AG153:AG349),"")))</f>
        <v>1.1341666666666668</v>
      </c>
      <c r="AI153" s="14">
        <f>IF('Données projet'!$A$62&gt;35,AI152+AH153-AQ152,IF(A153&lt;'Données projet'!$A$62,$AF$205^A153,IF(A153='Données projet'!$A$62,'Données projet'!$B$62,AI152+AH153-AQ152)))</f>
        <v>130.21250000000001</v>
      </c>
      <c r="AJ153" s="14">
        <f>AI153*VLOOKUP('Données projet'!$B$10,Paramètres!$A$1:$I$89,3,0)*VLOOKUP('Données projet'!$B$10,Paramètres!$A$1:$I$89,5,0)</f>
        <v>150.00479999999999</v>
      </c>
      <c r="AK153" s="14">
        <f t="shared" si="143"/>
        <v>38.579676436046306</v>
      </c>
      <c r="AL153" s="22">
        <f t="shared" si="112"/>
        <v>328.45129645944729</v>
      </c>
      <c r="AM153" s="62">
        <f t="shared" si="113"/>
        <v>611.69135697934166</v>
      </c>
      <c r="AN153" s="62">
        <f ca="1">AVERAGE(OFFSET($AM$3,0,0,'Données projet'!$E$10+1,1))-AVERAGE(OFFSET($H$3,0,0,'Données projet'!$E$10+1,1))</f>
        <v>314.72063458462026</v>
      </c>
      <c r="AO153" s="62">
        <f t="shared" si="144"/>
        <v>216.4380325968244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130.21250000000001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455.26558725507834</v>
      </c>
      <c r="BJ153" s="62">
        <f t="shared" si="146"/>
        <v>278.60310966788552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-2.9558577807620169E-14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300.72820267660154</v>
      </c>
      <c r="CE153" s="62">
        <f t="shared" si="148"/>
        <v>228.35388778608589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384.3367849108829</v>
      </c>
      <c r="CZ153" s="62">
        <f t="shared" si="150"/>
        <v>238.2697272367603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-6.2527760746888816E-13</v>
      </c>
      <c r="DP153" s="18">
        <f>DO153*VLOOKUP('Données projet'!$B$14,Paramètres!$A$1:$I$89,3,0)*VLOOKUP('Données projet'!$B$14,Paramètres!$A$1:$I$89,5,0)</f>
        <v>-2.9262992029543964E-13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304.1100958939968</v>
      </c>
      <c r="DU153" s="62">
        <f t="shared" si="152"/>
        <v>184.1255966824568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>
        <f>EJ153*VLOOKUP('Données projet'!$B$15,Paramètres!$A$1:$I$89,3,0)*VLOOKUP('Données projet'!$B$15,Paramètres!$A$1:$I$89,5,0)</f>
        <v>0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435.03433721979218</v>
      </c>
      <c r="EP153" s="62">
        <f t="shared" si="154"/>
        <v>267.10015759286387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>
        <f>FE153*VLOOKUP('Données projet'!$B$16,Paramètres!$A$1:$I$89,3,0)*VLOOKUP('Données projet'!$B$16,Paramètres!$A$1:$I$89,5,0)</f>
        <v>0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445.15313998584293</v>
      </c>
      <c r="FK153" s="62">
        <f t="shared" si="156"/>
        <v>272.85357736694834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-5.6843418860808015E-14</v>
      </c>
      <c r="GA153" s="18">
        <f>FZ153*VLOOKUP('Données projet'!$B$17,Paramètres!$A$1:$I$89,3,0)*VLOOKUP('Données projet'!$B$17,Paramètres!$A$1:$I$89,5,0)</f>
        <v>-4.9658410716801891E-14</v>
      </c>
      <c r="GB153" s="14" t="e">
        <f t="shared" si="157"/>
        <v>#NUM!</v>
      </c>
      <c r="GC153" s="22" t="e">
        <f t="shared" si="133"/>
        <v>#NUM!</v>
      </c>
      <c r="GD153" s="62" t="e">
        <f t="shared" si="134"/>
        <v>#NUM!</v>
      </c>
      <c r="GE153" s="62">
        <f ca="1">AVERAGE(OFFSET($GD$3,0,0,'Données projet'!$E$17+1,1))-AVERAGE(OFFSET($H$3,0,0,'Données projet'!$E$17+1,1))</f>
        <v>248.82613595888964</v>
      </c>
      <c r="GF153" s="62">
        <f t="shared" si="158"/>
        <v>255.8298580882084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135.66666666666666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221.18884567967481</v>
      </c>
      <c r="T154" s="62">
        <f t="shared" si="142"/>
        <v>189.31596996710888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314.72063458462026</v>
      </c>
      <c r="AO154" s="62">
        <f t="shared" si="144"/>
        <v>216.4380325968244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455.26558725507834</v>
      </c>
      <c r="BJ154" s="62">
        <f t="shared" si="146"/>
        <v>278.60310966788552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-2.9558577807620169E-14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300.72820267660154</v>
      </c>
      <c r="CE154" s="62">
        <f t="shared" si="148"/>
        <v>228.35388778608589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384.3367849108829</v>
      </c>
      <c r="CZ154" s="62">
        <f t="shared" si="150"/>
        <v>238.2697272367603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-6.2527760746888816E-13</v>
      </c>
      <c r="DP154" s="18">
        <f>DO154*VLOOKUP('Données projet'!$B$14,Paramètres!$A$1:$I$89,3,0)*VLOOKUP('Données projet'!$B$14,Paramètres!$A$1:$I$89,5,0)</f>
        <v>-2.9262992029543964E-13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304.1100958939968</v>
      </c>
      <c r="DU154" s="62">
        <f t="shared" si="152"/>
        <v>184.1255966824568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>
        <f>EJ154*VLOOKUP('Données projet'!$B$15,Paramètres!$A$1:$I$89,3,0)*VLOOKUP('Données projet'!$B$15,Paramètres!$A$1:$I$89,5,0)</f>
        <v>0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435.03433721979218</v>
      </c>
      <c r="EP154" s="62">
        <f t="shared" si="154"/>
        <v>267.10015759286387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>
        <f>FE154*VLOOKUP('Données projet'!$B$16,Paramètres!$A$1:$I$89,3,0)*VLOOKUP('Données projet'!$B$16,Paramètres!$A$1:$I$89,5,0)</f>
        <v>0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445.15313998584293</v>
      </c>
      <c r="FK154" s="62">
        <f t="shared" si="156"/>
        <v>272.85357736694834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-5.6843418860808015E-14</v>
      </c>
      <c r="GA154" s="18">
        <f>FZ154*VLOOKUP('Données projet'!$B$17,Paramètres!$A$1:$I$89,3,0)*VLOOKUP('Données projet'!$B$17,Paramètres!$A$1:$I$89,5,0)</f>
        <v>-4.9658410716801891E-14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248.82613595888964</v>
      </c>
      <c r="GF154" s="62">
        <f t="shared" si="158"/>
        <v>255.8298580882084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135.66666666666666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221.18884567967481</v>
      </c>
      <c r="T155" s="62">
        <f t="shared" si="142"/>
        <v>189.31596996710888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314.72063458462026</v>
      </c>
      <c r="AO155" s="62">
        <f t="shared" si="144"/>
        <v>216.4380325968244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455.26558725507834</v>
      </c>
      <c r="BJ155" s="62">
        <f t="shared" si="146"/>
        <v>278.60310966788552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-2.9558577807620169E-14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300.72820267660154</v>
      </c>
      <c r="CE155" s="62">
        <f t="shared" si="148"/>
        <v>228.35388778608589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384.3367849108829</v>
      </c>
      <c r="CZ155" s="62">
        <f t="shared" si="150"/>
        <v>238.2697272367603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-6.2527760746888816E-13</v>
      </c>
      <c r="DP155" s="18">
        <f>DO155*VLOOKUP('Données projet'!$B$14,Paramètres!$A$1:$I$89,3,0)*VLOOKUP('Données projet'!$B$14,Paramètres!$A$1:$I$89,5,0)</f>
        <v>-2.9262992029543964E-13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304.1100958939968</v>
      </c>
      <c r="DU155" s="62">
        <f t="shared" si="152"/>
        <v>184.1255966824568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>
        <f>EJ155*VLOOKUP('Données projet'!$B$15,Paramètres!$A$1:$I$89,3,0)*VLOOKUP('Données projet'!$B$15,Paramètres!$A$1:$I$89,5,0)</f>
        <v>0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435.03433721979218</v>
      </c>
      <c r="EP155" s="62">
        <f t="shared" si="154"/>
        <v>267.10015759286387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>
        <f>FE155*VLOOKUP('Données projet'!$B$16,Paramètres!$A$1:$I$89,3,0)*VLOOKUP('Données projet'!$B$16,Paramètres!$A$1:$I$89,5,0)</f>
        <v>0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445.15313998584293</v>
      </c>
      <c r="FK155" s="62">
        <f t="shared" si="156"/>
        <v>272.85357736694834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-5.6843418860808015E-14</v>
      </c>
      <c r="GA155" s="18">
        <f>FZ155*VLOOKUP('Données projet'!$B$17,Paramètres!$A$1:$I$89,3,0)*VLOOKUP('Données projet'!$B$17,Paramètres!$A$1:$I$89,5,0)</f>
        <v>-4.9658410716801891E-14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248.82613595888964</v>
      </c>
      <c r="GF155" s="62">
        <f t="shared" si="158"/>
        <v>255.8298580882084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135.66666666666666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221.18884567967481</v>
      </c>
      <c r="T156" s="62">
        <f t="shared" si="142"/>
        <v>189.31596996710888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314.72063458462026</v>
      </c>
      <c r="AO156" s="62">
        <f t="shared" si="144"/>
        <v>216.4380325968244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455.26558725507834</v>
      </c>
      <c r="BJ156" s="62">
        <f t="shared" si="146"/>
        <v>278.60310966788552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-2.9558577807620169E-14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300.72820267660154</v>
      </c>
      <c r="CE156" s="62">
        <f t="shared" si="148"/>
        <v>228.35388778608589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384.3367849108829</v>
      </c>
      <c r="CZ156" s="62">
        <f t="shared" si="150"/>
        <v>238.2697272367603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-6.2527760746888816E-13</v>
      </c>
      <c r="DP156" s="18">
        <f>DO156*VLOOKUP('Données projet'!$B$14,Paramètres!$A$1:$I$89,3,0)*VLOOKUP('Données projet'!$B$14,Paramètres!$A$1:$I$89,5,0)</f>
        <v>-2.9262992029543964E-13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304.1100958939968</v>
      </c>
      <c r="DU156" s="62">
        <f t="shared" si="152"/>
        <v>184.1255966824568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>
        <f>EJ156*VLOOKUP('Données projet'!$B$15,Paramètres!$A$1:$I$89,3,0)*VLOOKUP('Données projet'!$B$15,Paramètres!$A$1:$I$89,5,0)</f>
        <v>0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435.03433721979218</v>
      </c>
      <c r="EP156" s="62">
        <f t="shared" si="154"/>
        <v>267.10015759286387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>
        <f>FE156*VLOOKUP('Données projet'!$B$16,Paramètres!$A$1:$I$89,3,0)*VLOOKUP('Données projet'!$B$16,Paramètres!$A$1:$I$89,5,0)</f>
        <v>0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445.15313998584293</v>
      </c>
      <c r="FK156" s="62">
        <f t="shared" si="156"/>
        <v>272.85357736694834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-5.6843418860808015E-14</v>
      </c>
      <c r="GA156" s="18">
        <f>FZ156*VLOOKUP('Données projet'!$B$17,Paramètres!$A$1:$I$89,3,0)*VLOOKUP('Données projet'!$B$17,Paramètres!$A$1:$I$89,5,0)</f>
        <v>-4.9658410716801891E-14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248.82613595888964</v>
      </c>
      <c r="GF156" s="62">
        <f t="shared" si="158"/>
        <v>255.8298580882084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135.66666666666666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221.18884567967481</v>
      </c>
      <c r="T157" s="62">
        <f t="shared" si="142"/>
        <v>189.31596996710888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314.72063458462026</v>
      </c>
      <c r="AO157" s="62">
        <f t="shared" si="144"/>
        <v>216.4380325968244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455.26558725507834</v>
      </c>
      <c r="BJ157" s="62">
        <f t="shared" si="146"/>
        <v>278.60310966788552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-2.9558577807620169E-14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300.72820267660154</v>
      </c>
      <c r="CE157" s="62">
        <f t="shared" si="148"/>
        <v>228.35388778608589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384.3367849108829</v>
      </c>
      <c r="CZ157" s="62">
        <f t="shared" si="150"/>
        <v>238.2697272367603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-6.2527760746888816E-13</v>
      </c>
      <c r="DP157" s="18">
        <f>DO157*VLOOKUP('Données projet'!$B$14,Paramètres!$A$1:$I$89,3,0)*VLOOKUP('Données projet'!$B$14,Paramètres!$A$1:$I$89,5,0)</f>
        <v>-2.9262992029543964E-13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304.1100958939968</v>
      </c>
      <c r="DU157" s="62">
        <f t="shared" si="152"/>
        <v>184.1255966824568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>
        <f>EJ157*VLOOKUP('Données projet'!$B$15,Paramètres!$A$1:$I$89,3,0)*VLOOKUP('Données projet'!$B$15,Paramètres!$A$1:$I$89,5,0)</f>
        <v>0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435.03433721979218</v>
      </c>
      <c r="EP157" s="62">
        <f t="shared" si="154"/>
        <v>267.10015759286387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>
        <f>FE157*VLOOKUP('Données projet'!$B$16,Paramètres!$A$1:$I$89,3,0)*VLOOKUP('Données projet'!$B$16,Paramètres!$A$1:$I$89,5,0)</f>
        <v>0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445.15313998584293</v>
      </c>
      <c r="FK157" s="62">
        <f t="shared" si="156"/>
        <v>272.85357736694834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-5.6843418860808015E-14</v>
      </c>
      <c r="GA157" s="18">
        <f>FZ157*VLOOKUP('Données projet'!$B$17,Paramètres!$A$1:$I$89,3,0)*VLOOKUP('Données projet'!$B$17,Paramètres!$A$1:$I$89,5,0)</f>
        <v>-4.9658410716801891E-14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248.82613595888964</v>
      </c>
      <c r="GF157" s="62">
        <f t="shared" si="158"/>
        <v>255.8298580882084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135.66666666666666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221.18884567967481</v>
      </c>
      <c r="T158" s="62">
        <f t="shared" si="142"/>
        <v>189.31596996710888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314.72063458462026</v>
      </c>
      <c r="AO158" s="62">
        <f t="shared" si="144"/>
        <v>216.4380325968244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455.26558725507834</v>
      </c>
      <c r="BJ158" s="62">
        <f t="shared" si="146"/>
        <v>278.60310966788552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-2.9558577807620169E-14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300.72820267660154</v>
      </c>
      <c r="CE158" s="62">
        <f t="shared" si="148"/>
        <v>228.35388778608589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384.3367849108829</v>
      </c>
      <c r="CZ158" s="62">
        <f t="shared" si="150"/>
        <v>238.2697272367603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-6.2527760746888816E-13</v>
      </c>
      <c r="DP158" s="18">
        <f>DO158*VLOOKUP('Données projet'!$B$14,Paramètres!$A$1:$I$89,3,0)*VLOOKUP('Données projet'!$B$14,Paramètres!$A$1:$I$89,5,0)</f>
        <v>-2.9262992029543964E-13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304.1100958939968</v>
      </c>
      <c r="DU158" s="62">
        <f t="shared" si="152"/>
        <v>184.1255966824568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>
        <f>EJ158*VLOOKUP('Données projet'!$B$15,Paramètres!$A$1:$I$89,3,0)*VLOOKUP('Données projet'!$B$15,Paramètres!$A$1:$I$89,5,0)</f>
        <v>0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435.03433721979218</v>
      </c>
      <c r="EP158" s="62">
        <f t="shared" si="154"/>
        <v>267.10015759286387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>
        <f>FE158*VLOOKUP('Données projet'!$B$16,Paramètres!$A$1:$I$89,3,0)*VLOOKUP('Données projet'!$B$16,Paramètres!$A$1:$I$89,5,0)</f>
        <v>0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445.15313998584293</v>
      </c>
      <c r="FK158" s="62">
        <f t="shared" si="156"/>
        <v>272.85357736694834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-5.6843418860808015E-14</v>
      </c>
      <c r="GA158" s="18">
        <f>FZ158*VLOOKUP('Données projet'!$B$17,Paramètres!$A$1:$I$89,3,0)*VLOOKUP('Données projet'!$B$17,Paramètres!$A$1:$I$89,5,0)</f>
        <v>-4.9658410716801891E-14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248.82613595888964</v>
      </c>
      <c r="GF158" s="62">
        <f t="shared" si="158"/>
        <v>255.8298580882084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135.66666666666666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221.18884567967481</v>
      </c>
      <c r="T159" s="62">
        <f t="shared" si="142"/>
        <v>189.31596996710888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314.72063458462026</v>
      </c>
      <c r="AO159" s="62">
        <f t="shared" si="144"/>
        <v>216.4380325968244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455.26558725507834</v>
      </c>
      <c r="BJ159" s="62">
        <f t="shared" si="146"/>
        <v>278.60310966788552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-2.9558577807620169E-14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300.72820267660154</v>
      </c>
      <c r="CE159" s="62">
        <f t="shared" si="148"/>
        <v>228.35388778608589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384.3367849108829</v>
      </c>
      <c r="CZ159" s="62">
        <f t="shared" si="150"/>
        <v>238.2697272367603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-6.2527760746888816E-13</v>
      </c>
      <c r="DP159" s="18">
        <f>DO159*VLOOKUP('Données projet'!$B$14,Paramètres!$A$1:$I$89,3,0)*VLOOKUP('Données projet'!$B$14,Paramètres!$A$1:$I$89,5,0)</f>
        <v>-2.9262992029543964E-13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304.1100958939968</v>
      </c>
      <c r="DU159" s="62">
        <f t="shared" si="152"/>
        <v>184.1255966824568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>
        <f>EJ159*VLOOKUP('Données projet'!$B$15,Paramètres!$A$1:$I$89,3,0)*VLOOKUP('Données projet'!$B$15,Paramètres!$A$1:$I$89,5,0)</f>
        <v>0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435.03433721979218</v>
      </c>
      <c r="EP159" s="62">
        <f t="shared" si="154"/>
        <v>267.10015759286387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>
        <f>FE159*VLOOKUP('Données projet'!$B$16,Paramètres!$A$1:$I$89,3,0)*VLOOKUP('Données projet'!$B$16,Paramètres!$A$1:$I$89,5,0)</f>
        <v>0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445.15313998584293</v>
      </c>
      <c r="FK159" s="62">
        <f t="shared" si="156"/>
        <v>272.85357736694834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-5.6843418860808015E-14</v>
      </c>
      <c r="GA159" s="18">
        <f>FZ159*VLOOKUP('Données projet'!$B$17,Paramètres!$A$1:$I$89,3,0)*VLOOKUP('Données projet'!$B$17,Paramètres!$A$1:$I$89,5,0)</f>
        <v>-4.9658410716801891E-14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248.82613595888964</v>
      </c>
      <c r="GF159" s="62">
        <f t="shared" si="158"/>
        <v>255.8298580882084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135.66666666666666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221.18884567967481</v>
      </c>
      <c r="T160" s="62">
        <f t="shared" si="142"/>
        <v>189.31596996710888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314.72063458462026</v>
      </c>
      <c r="AO160" s="62">
        <f t="shared" si="144"/>
        <v>216.4380325968244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455.26558725507834</v>
      </c>
      <c r="BJ160" s="62">
        <f t="shared" si="146"/>
        <v>278.60310966788552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-2.9558577807620169E-14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300.72820267660154</v>
      </c>
      <c r="CE160" s="62">
        <f t="shared" si="148"/>
        <v>228.35388778608589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384.3367849108829</v>
      </c>
      <c r="CZ160" s="62">
        <f t="shared" si="150"/>
        <v>238.2697272367603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-6.2527760746888816E-13</v>
      </c>
      <c r="DP160" s="18">
        <f>DO160*VLOOKUP('Données projet'!$B$14,Paramètres!$A$1:$I$89,3,0)*VLOOKUP('Données projet'!$B$14,Paramètres!$A$1:$I$89,5,0)</f>
        <v>-2.9262992029543964E-13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304.1100958939968</v>
      </c>
      <c r="DU160" s="62">
        <f t="shared" si="152"/>
        <v>184.1255966824568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>
        <f>EJ160*VLOOKUP('Données projet'!$B$15,Paramètres!$A$1:$I$89,3,0)*VLOOKUP('Données projet'!$B$15,Paramètres!$A$1:$I$89,5,0)</f>
        <v>0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435.03433721979218</v>
      </c>
      <c r="EP160" s="62">
        <f t="shared" si="154"/>
        <v>267.10015759286387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>
        <f>FE160*VLOOKUP('Données projet'!$B$16,Paramètres!$A$1:$I$89,3,0)*VLOOKUP('Données projet'!$B$16,Paramètres!$A$1:$I$89,5,0)</f>
        <v>0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445.15313998584293</v>
      </c>
      <c r="FK160" s="62">
        <f t="shared" si="156"/>
        <v>272.85357736694834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-5.6843418860808015E-14</v>
      </c>
      <c r="GA160" s="18">
        <f>FZ160*VLOOKUP('Données projet'!$B$17,Paramètres!$A$1:$I$89,3,0)*VLOOKUP('Données projet'!$B$17,Paramètres!$A$1:$I$89,5,0)</f>
        <v>-4.9658410716801891E-14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248.82613595888964</v>
      </c>
      <c r="GF160" s="62">
        <f t="shared" si="158"/>
        <v>255.8298580882084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135.66666666666666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221.18884567967481</v>
      </c>
      <c r="T161" s="62">
        <f t="shared" si="142"/>
        <v>189.31596996710888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314.72063458462026</v>
      </c>
      <c r="AO161" s="62">
        <f t="shared" si="144"/>
        <v>216.4380325968244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455.26558725507834</v>
      </c>
      <c r="BJ161" s="62">
        <f t="shared" si="146"/>
        <v>278.60310966788552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-2.9558577807620169E-14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300.72820267660154</v>
      </c>
      <c r="CE161" s="62">
        <f t="shared" si="148"/>
        <v>228.35388778608589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384.3367849108829</v>
      </c>
      <c r="CZ161" s="62">
        <f t="shared" si="150"/>
        <v>238.2697272367603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-6.2527760746888816E-13</v>
      </c>
      <c r="DP161" s="18">
        <f>DO161*VLOOKUP('Données projet'!$B$14,Paramètres!$A$1:$I$89,3,0)*VLOOKUP('Données projet'!$B$14,Paramètres!$A$1:$I$89,5,0)</f>
        <v>-2.9262992029543964E-13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304.1100958939968</v>
      </c>
      <c r="DU161" s="62">
        <f t="shared" si="152"/>
        <v>184.1255966824568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>
        <f>EJ161*VLOOKUP('Données projet'!$B$15,Paramètres!$A$1:$I$89,3,0)*VLOOKUP('Données projet'!$B$15,Paramètres!$A$1:$I$89,5,0)</f>
        <v>0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435.03433721979218</v>
      </c>
      <c r="EP161" s="62">
        <f t="shared" si="154"/>
        <v>267.10015759286387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>
        <f>FE161*VLOOKUP('Données projet'!$B$16,Paramètres!$A$1:$I$89,3,0)*VLOOKUP('Données projet'!$B$16,Paramètres!$A$1:$I$89,5,0)</f>
        <v>0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445.15313998584293</v>
      </c>
      <c r="FK161" s="62">
        <f t="shared" si="156"/>
        <v>272.85357736694834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-5.6843418860808015E-14</v>
      </c>
      <c r="GA161" s="18">
        <f>FZ161*VLOOKUP('Données projet'!$B$17,Paramètres!$A$1:$I$89,3,0)*VLOOKUP('Données projet'!$B$17,Paramètres!$A$1:$I$89,5,0)</f>
        <v>-4.9658410716801891E-14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248.82613595888964</v>
      </c>
      <c r="GF161" s="62">
        <f t="shared" si="158"/>
        <v>255.8298580882084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135.66666666666666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221.18884567967481</v>
      </c>
      <c r="T162" s="62">
        <f t="shared" si="142"/>
        <v>189.31596996710888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314.72063458462026</v>
      </c>
      <c r="AO162" s="62">
        <f t="shared" si="144"/>
        <v>216.4380325968244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455.26558725507834</v>
      </c>
      <c r="BJ162" s="62">
        <f t="shared" si="146"/>
        <v>278.60310966788552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-2.9558577807620169E-14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300.72820267660154</v>
      </c>
      <c r="CE162" s="62">
        <f t="shared" si="148"/>
        <v>228.35388778608589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384.3367849108829</v>
      </c>
      <c r="CZ162" s="62">
        <f t="shared" si="150"/>
        <v>238.2697272367603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-6.2527760746888816E-13</v>
      </c>
      <c r="DP162" s="18">
        <f>DO162*VLOOKUP('Données projet'!$B$14,Paramètres!$A$1:$I$89,3,0)*VLOOKUP('Données projet'!$B$14,Paramètres!$A$1:$I$89,5,0)</f>
        <v>-2.9262992029543964E-13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304.1100958939968</v>
      </c>
      <c r="DU162" s="62">
        <f t="shared" si="152"/>
        <v>184.1255966824568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>
        <f>EJ162*VLOOKUP('Données projet'!$B$15,Paramètres!$A$1:$I$89,3,0)*VLOOKUP('Données projet'!$B$15,Paramètres!$A$1:$I$89,5,0)</f>
        <v>0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435.03433721979218</v>
      </c>
      <c r="EP162" s="62">
        <f t="shared" si="154"/>
        <v>267.10015759286387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>
        <f>FE162*VLOOKUP('Données projet'!$B$16,Paramètres!$A$1:$I$89,3,0)*VLOOKUP('Données projet'!$B$16,Paramètres!$A$1:$I$89,5,0)</f>
        <v>0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445.15313998584293</v>
      </c>
      <c r="FK162" s="62">
        <f t="shared" si="156"/>
        <v>272.85357736694834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-5.6843418860808015E-14</v>
      </c>
      <c r="GA162" s="18">
        <f>FZ162*VLOOKUP('Données projet'!$B$17,Paramètres!$A$1:$I$89,3,0)*VLOOKUP('Données projet'!$B$17,Paramètres!$A$1:$I$89,5,0)</f>
        <v>-4.9658410716801891E-14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248.82613595888964</v>
      </c>
      <c r="GF162" s="62">
        <f t="shared" si="158"/>
        <v>255.8298580882084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135.66666666666666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221.18884567967481</v>
      </c>
      <c r="T163" s="62">
        <f t="shared" si="142"/>
        <v>189.31596996710888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314.72063458462026</v>
      </c>
      <c r="AO163" s="62">
        <f t="shared" si="144"/>
        <v>216.4380325968244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455.26558725507834</v>
      </c>
      <c r="BJ163" s="62">
        <f t="shared" si="146"/>
        <v>278.60310966788552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-2.9558577807620169E-14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300.72820267660154</v>
      </c>
      <c r="CE163" s="62">
        <f t="shared" si="148"/>
        <v>228.35388778608589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384.3367849108829</v>
      </c>
      <c r="CZ163" s="62">
        <f t="shared" si="150"/>
        <v>238.2697272367603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-6.2527760746888816E-13</v>
      </c>
      <c r="DP163" s="18">
        <f>DO163*VLOOKUP('Données projet'!$B$14,Paramètres!$A$1:$I$89,3,0)*VLOOKUP('Données projet'!$B$14,Paramètres!$A$1:$I$89,5,0)</f>
        <v>-2.9262992029543964E-13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304.1100958939968</v>
      </c>
      <c r="DU163" s="62">
        <f t="shared" si="152"/>
        <v>184.1255966824568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>
        <f>EJ163*VLOOKUP('Données projet'!$B$15,Paramètres!$A$1:$I$89,3,0)*VLOOKUP('Données projet'!$B$15,Paramètres!$A$1:$I$89,5,0)</f>
        <v>0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435.03433721979218</v>
      </c>
      <c r="EP163" s="62">
        <f t="shared" si="154"/>
        <v>267.10015759286387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>
        <f>FE163*VLOOKUP('Données projet'!$B$16,Paramètres!$A$1:$I$89,3,0)*VLOOKUP('Données projet'!$B$16,Paramètres!$A$1:$I$89,5,0)</f>
        <v>0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445.15313998584293</v>
      </c>
      <c r="FK163" s="62">
        <f t="shared" si="156"/>
        <v>272.85357736694834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-5.6843418860808015E-14</v>
      </c>
      <c r="GA163" s="18">
        <f>FZ163*VLOOKUP('Données projet'!$B$17,Paramètres!$A$1:$I$89,3,0)*VLOOKUP('Données projet'!$B$17,Paramètres!$A$1:$I$89,5,0)</f>
        <v>-4.9658410716801891E-14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248.82613595888964</v>
      </c>
      <c r="GF163" s="62">
        <f t="shared" si="158"/>
        <v>255.8298580882084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135.66666666666666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221.18884567967481</v>
      </c>
      <c r="T164" s="62">
        <f t="shared" si="142"/>
        <v>189.31596996710888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314.72063458462026</v>
      </c>
      <c r="AO164" s="62">
        <f t="shared" si="144"/>
        <v>216.4380325968244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455.26558725507834</v>
      </c>
      <c r="BJ164" s="62">
        <f t="shared" si="146"/>
        <v>278.60310966788552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-2.9558577807620169E-14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300.72820267660154</v>
      </c>
      <c r="CE164" s="62">
        <f t="shared" si="148"/>
        <v>228.35388778608589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384.3367849108829</v>
      </c>
      <c r="CZ164" s="62">
        <f t="shared" si="150"/>
        <v>238.2697272367603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-6.2527760746888816E-13</v>
      </c>
      <c r="DP164" s="18">
        <f>DO164*VLOOKUP('Données projet'!$B$14,Paramètres!$A$1:$I$89,3,0)*VLOOKUP('Données projet'!$B$14,Paramètres!$A$1:$I$89,5,0)</f>
        <v>-2.9262992029543964E-13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304.1100958939968</v>
      </c>
      <c r="DU164" s="62">
        <f t="shared" si="152"/>
        <v>184.1255966824568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>
        <f>EJ164*VLOOKUP('Données projet'!$B$15,Paramètres!$A$1:$I$89,3,0)*VLOOKUP('Données projet'!$B$15,Paramètres!$A$1:$I$89,5,0)</f>
        <v>0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435.03433721979218</v>
      </c>
      <c r="EP164" s="62">
        <f t="shared" si="154"/>
        <v>267.10015759286387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>
        <f>FE164*VLOOKUP('Données projet'!$B$16,Paramètres!$A$1:$I$89,3,0)*VLOOKUP('Données projet'!$B$16,Paramètres!$A$1:$I$89,5,0)</f>
        <v>0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445.15313998584293</v>
      </c>
      <c r="FK164" s="62">
        <f t="shared" si="156"/>
        <v>272.85357736694834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-5.6843418860808015E-14</v>
      </c>
      <c r="GA164" s="18">
        <f>FZ164*VLOOKUP('Données projet'!$B$17,Paramètres!$A$1:$I$89,3,0)*VLOOKUP('Données projet'!$B$17,Paramètres!$A$1:$I$89,5,0)</f>
        <v>-4.9658410716801891E-14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248.82613595888964</v>
      </c>
      <c r="GF164" s="62">
        <f t="shared" si="158"/>
        <v>255.8298580882084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135.66666666666666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221.18884567967481</v>
      </c>
      <c r="T165" s="62">
        <f t="shared" si="142"/>
        <v>189.31596996710888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314.72063458462026</v>
      </c>
      <c r="AO165" s="62">
        <f t="shared" si="144"/>
        <v>216.4380325968244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455.26558725507834</v>
      </c>
      <c r="BJ165" s="62">
        <f t="shared" si="146"/>
        <v>278.60310966788552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-2.9558577807620169E-14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300.72820267660154</v>
      </c>
      <c r="CE165" s="62">
        <f t="shared" si="148"/>
        <v>228.35388778608589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384.3367849108829</v>
      </c>
      <c r="CZ165" s="62">
        <f t="shared" si="150"/>
        <v>238.2697272367603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-6.2527760746888816E-13</v>
      </c>
      <c r="DP165" s="18">
        <f>DO165*VLOOKUP('Données projet'!$B$14,Paramètres!$A$1:$I$89,3,0)*VLOOKUP('Données projet'!$B$14,Paramètres!$A$1:$I$89,5,0)</f>
        <v>-2.9262992029543964E-13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304.1100958939968</v>
      </c>
      <c r="DU165" s="62">
        <f t="shared" si="152"/>
        <v>184.1255966824568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>
        <f>EJ165*VLOOKUP('Données projet'!$B$15,Paramètres!$A$1:$I$89,3,0)*VLOOKUP('Données projet'!$B$15,Paramètres!$A$1:$I$89,5,0)</f>
        <v>0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435.03433721979218</v>
      </c>
      <c r="EP165" s="62">
        <f t="shared" si="154"/>
        <v>267.10015759286387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>
        <f>FE165*VLOOKUP('Données projet'!$B$16,Paramètres!$A$1:$I$89,3,0)*VLOOKUP('Données projet'!$B$16,Paramètres!$A$1:$I$89,5,0)</f>
        <v>0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445.15313998584293</v>
      </c>
      <c r="FK165" s="62">
        <f t="shared" si="156"/>
        <v>272.85357736694834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-5.6843418860808015E-14</v>
      </c>
      <c r="GA165" s="18">
        <f>FZ165*VLOOKUP('Données projet'!$B$17,Paramètres!$A$1:$I$89,3,0)*VLOOKUP('Données projet'!$B$17,Paramètres!$A$1:$I$89,5,0)</f>
        <v>-4.9658410716801891E-14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248.82613595888964</v>
      </c>
      <c r="GF165" s="62">
        <f t="shared" si="158"/>
        <v>255.8298580882084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135.66666666666666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221.18884567967481</v>
      </c>
      <c r="T166" s="62">
        <f t="shared" si="142"/>
        <v>189.31596996710888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314.72063458462026</v>
      </c>
      <c r="AO166" s="62">
        <f t="shared" si="144"/>
        <v>216.4380325968244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455.26558725507834</v>
      </c>
      <c r="BJ166" s="62">
        <f t="shared" si="146"/>
        <v>278.60310966788552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-2.9558577807620169E-14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300.72820267660154</v>
      </c>
      <c r="CE166" s="62">
        <f t="shared" si="148"/>
        <v>228.35388778608589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384.3367849108829</v>
      </c>
      <c r="CZ166" s="62">
        <f t="shared" si="150"/>
        <v>238.2697272367603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-6.2527760746888816E-13</v>
      </c>
      <c r="DP166" s="18">
        <f>DO166*VLOOKUP('Données projet'!$B$14,Paramètres!$A$1:$I$89,3,0)*VLOOKUP('Données projet'!$B$14,Paramètres!$A$1:$I$89,5,0)</f>
        <v>-2.9262992029543964E-13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304.1100958939968</v>
      </c>
      <c r="DU166" s="62">
        <f t="shared" si="152"/>
        <v>184.1255966824568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>
        <f>EJ166*VLOOKUP('Données projet'!$B$15,Paramètres!$A$1:$I$89,3,0)*VLOOKUP('Données projet'!$B$15,Paramètres!$A$1:$I$89,5,0)</f>
        <v>0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435.03433721979218</v>
      </c>
      <c r="EP166" s="62">
        <f t="shared" si="154"/>
        <v>267.10015759286387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>
        <f>FE166*VLOOKUP('Données projet'!$B$16,Paramètres!$A$1:$I$89,3,0)*VLOOKUP('Données projet'!$B$16,Paramètres!$A$1:$I$89,5,0)</f>
        <v>0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445.15313998584293</v>
      </c>
      <c r="FK166" s="62">
        <f t="shared" si="156"/>
        <v>272.85357736694834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-5.6843418860808015E-14</v>
      </c>
      <c r="GA166" s="18">
        <f>FZ166*VLOOKUP('Données projet'!$B$17,Paramètres!$A$1:$I$89,3,0)*VLOOKUP('Données projet'!$B$17,Paramètres!$A$1:$I$89,5,0)</f>
        <v>-4.9658410716801891E-14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248.82613595888964</v>
      </c>
      <c r="GF166" s="62">
        <f t="shared" si="158"/>
        <v>255.8298580882084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135.66666666666666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221.18884567967481</v>
      </c>
      <c r="T167" s="62">
        <f t="shared" si="142"/>
        <v>189.31596996710888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314.72063458462026</v>
      </c>
      <c r="AO167" s="62">
        <f t="shared" si="144"/>
        <v>216.4380325968244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455.26558725507834</v>
      </c>
      <c r="BJ167" s="62">
        <f t="shared" si="146"/>
        <v>278.60310966788552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-2.9558577807620169E-14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300.72820267660154</v>
      </c>
      <c r="CE167" s="62">
        <f t="shared" si="148"/>
        <v>228.35388778608589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384.3367849108829</v>
      </c>
      <c r="CZ167" s="62">
        <f t="shared" si="150"/>
        <v>238.2697272367603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-6.2527760746888816E-13</v>
      </c>
      <c r="DP167" s="18">
        <f>DO167*VLOOKUP('Données projet'!$B$14,Paramètres!$A$1:$I$89,3,0)*VLOOKUP('Données projet'!$B$14,Paramètres!$A$1:$I$89,5,0)</f>
        <v>-2.9262992029543964E-13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304.1100958939968</v>
      </c>
      <c r="DU167" s="62">
        <f t="shared" si="152"/>
        <v>184.1255966824568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>
        <f>EJ167*VLOOKUP('Données projet'!$B$15,Paramètres!$A$1:$I$89,3,0)*VLOOKUP('Données projet'!$B$15,Paramètres!$A$1:$I$89,5,0)</f>
        <v>0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435.03433721979218</v>
      </c>
      <c r="EP167" s="62">
        <f t="shared" si="154"/>
        <v>267.10015759286387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>
        <f>FE167*VLOOKUP('Données projet'!$B$16,Paramètres!$A$1:$I$89,3,0)*VLOOKUP('Données projet'!$B$16,Paramètres!$A$1:$I$89,5,0)</f>
        <v>0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445.15313998584293</v>
      </c>
      <c r="FK167" s="62">
        <f t="shared" si="156"/>
        <v>272.85357736694834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-5.6843418860808015E-14</v>
      </c>
      <c r="GA167" s="18">
        <f>FZ167*VLOOKUP('Données projet'!$B$17,Paramètres!$A$1:$I$89,3,0)*VLOOKUP('Données projet'!$B$17,Paramètres!$A$1:$I$89,5,0)</f>
        <v>-4.9658410716801891E-14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248.82613595888964</v>
      </c>
      <c r="GF167" s="62">
        <f t="shared" si="158"/>
        <v>255.8298580882084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135.66666666666666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221.18884567967481</v>
      </c>
      <c r="T168" s="62">
        <f t="shared" si="142"/>
        <v>189.31596996710888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314.72063458462026</v>
      </c>
      <c r="AO168" s="62">
        <f t="shared" si="144"/>
        <v>216.4380325968244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455.26558725507834</v>
      </c>
      <c r="BJ168" s="62">
        <f t="shared" si="146"/>
        <v>278.60310966788552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-2.9558577807620169E-14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300.72820267660154</v>
      </c>
      <c r="CE168" s="62">
        <f t="shared" si="148"/>
        <v>228.35388778608589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384.3367849108829</v>
      </c>
      <c r="CZ168" s="62">
        <f t="shared" si="150"/>
        <v>238.2697272367603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-6.2527760746888816E-13</v>
      </c>
      <c r="DP168" s="18">
        <f>DO168*VLOOKUP('Données projet'!$B$14,Paramètres!$A$1:$I$89,3,0)*VLOOKUP('Données projet'!$B$14,Paramètres!$A$1:$I$89,5,0)</f>
        <v>-2.9262992029543964E-13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304.1100958939968</v>
      </c>
      <c r="DU168" s="62">
        <f t="shared" si="152"/>
        <v>184.1255966824568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>
        <f>EJ168*VLOOKUP('Données projet'!$B$15,Paramètres!$A$1:$I$89,3,0)*VLOOKUP('Données projet'!$B$15,Paramètres!$A$1:$I$89,5,0)</f>
        <v>0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435.03433721979218</v>
      </c>
      <c r="EP168" s="62">
        <f t="shared" si="154"/>
        <v>267.10015759286387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>
        <f>FE168*VLOOKUP('Données projet'!$B$16,Paramètres!$A$1:$I$89,3,0)*VLOOKUP('Données projet'!$B$16,Paramètres!$A$1:$I$89,5,0)</f>
        <v>0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445.15313998584293</v>
      </c>
      <c r="FK168" s="62">
        <f t="shared" si="156"/>
        <v>272.85357736694834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-5.6843418860808015E-14</v>
      </c>
      <c r="GA168" s="18">
        <f>FZ168*VLOOKUP('Données projet'!$B$17,Paramètres!$A$1:$I$89,3,0)*VLOOKUP('Données projet'!$B$17,Paramètres!$A$1:$I$89,5,0)</f>
        <v>-4.9658410716801891E-14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248.82613595888964</v>
      </c>
      <c r="GF168" s="62">
        <f t="shared" si="158"/>
        <v>255.8298580882084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135.66666666666666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221.18884567967481</v>
      </c>
      <c r="T169" s="62">
        <f t="shared" si="142"/>
        <v>189.31596996710888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314.72063458462026</v>
      </c>
      <c r="AO169" s="62">
        <f t="shared" si="144"/>
        <v>216.4380325968244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455.26558725507834</v>
      </c>
      <c r="BJ169" s="62">
        <f t="shared" si="146"/>
        <v>278.60310966788552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-2.9558577807620169E-14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300.72820267660154</v>
      </c>
      <c r="CE169" s="62">
        <f t="shared" si="148"/>
        <v>228.35388778608589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384.3367849108829</v>
      </c>
      <c r="CZ169" s="62">
        <f t="shared" si="150"/>
        <v>238.2697272367603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-6.2527760746888816E-13</v>
      </c>
      <c r="DP169" s="18">
        <f>DO169*VLOOKUP('Données projet'!$B$14,Paramètres!$A$1:$I$89,3,0)*VLOOKUP('Données projet'!$B$14,Paramètres!$A$1:$I$89,5,0)</f>
        <v>-2.9262992029543964E-13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304.1100958939968</v>
      </c>
      <c r="DU169" s="62">
        <f t="shared" si="152"/>
        <v>184.1255966824568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>
        <f>EJ169*VLOOKUP('Données projet'!$B$15,Paramètres!$A$1:$I$89,3,0)*VLOOKUP('Données projet'!$B$15,Paramètres!$A$1:$I$89,5,0)</f>
        <v>0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435.03433721979218</v>
      </c>
      <c r="EP169" s="62">
        <f t="shared" si="154"/>
        <v>267.10015759286387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>
        <f>FE169*VLOOKUP('Données projet'!$B$16,Paramètres!$A$1:$I$89,3,0)*VLOOKUP('Données projet'!$B$16,Paramètres!$A$1:$I$89,5,0)</f>
        <v>0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445.15313998584293</v>
      </c>
      <c r="FK169" s="62">
        <f t="shared" si="156"/>
        <v>272.85357736694834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-5.6843418860808015E-14</v>
      </c>
      <c r="GA169" s="18">
        <f>FZ169*VLOOKUP('Données projet'!$B$17,Paramètres!$A$1:$I$89,3,0)*VLOOKUP('Données projet'!$B$17,Paramètres!$A$1:$I$89,5,0)</f>
        <v>-4.9658410716801891E-14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248.82613595888964</v>
      </c>
      <c r="GF169" s="62">
        <f t="shared" si="158"/>
        <v>255.8298580882084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135.66666666666666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221.18884567967481</v>
      </c>
      <c r="T170" s="62">
        <f t="shared" si="142"/>
        <v>189.31596996710888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314.72063458462026</v>
      </c>
      <c r="AO170" s="62">
        <f t="shared" si="144"/>
        <v>216.4380325968244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455.26558725507834</v>
      </c>
      <c r="BJ170" s="62">
        <f t="shared" si="146"/>
        <v>278.60310966788552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-2.9558577807620169E-14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300.72820267660154</v>
      </c>
      <c r="CE170" s="62">
        <f t="shared" si="148"/>
        <v>228.35388778608589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384.3367849108829</v>
      </c>
      <c r="CZ170" s="62">
        <f t="shared" si="150"/>
        <v>238.2697272367603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-6.2527760746888816E-13</v>
      </c>
      <c r="DP170" s="18">
        <f>DO170*VLOOKUP('Données projet'!$B$14,Paramètres!$A$1:$I$89,3,0)*VLOOKUP('Données projet'!$B$14,Paramètres!$A$1:$I$89,5,0)</f>
        <v>-2.9262992029543964E-13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304.1100958939968</v>
      </c>
      <c r="DU170" s="62">
        <f t="shared" si="152"/>
        <v>184.1255966824568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>
        <f>EJ170*VLOOKUP('Données projet'!$B$15,Paramètres!$A$1:$I$89,3,0)*VLOOKUP('Données projet'!$B$15,Paramètres!$A$1:$I$89,5,0)</f>
        <v>0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435.03433721979218</v>
      </c>
      <c r="EP170" s="62">
        <f t="shared" si="154"/>
        <v>267.10015759286387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>
        <f>FE170*VLOOKUP('Données projet'!$B$16,Paramètres!$A$1:$I$89,3,0)*VLOOKUP('Données projet'!$B$16,Paramètres!$A$1:$I$89,5,0)</f>
        <v>0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445.15313998584293</v>
      </c>
      <c r="FK170" s="62">
        <f t="shared" si="156"/>
        <v>272.85357736694834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-5.6843418860808015E-14</v>
      </c>
      <c r="GA170" s="18">
        <f>FZ170*VLOOKUP('Données projet'!$B$17,Paramètres!$A$1:$I$89,3,0)*VLOOKUP('Données projet'!$B$17,Paramètres!$A$1:$I$89,5,0)</f>
        <v>-4.9658410716801891E-14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248.82613595888964</v>
      </c>
      <c r="GF170" s="62">
        <f t="shared" si="158"/>
        <v>255.8298580882084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135.66666666666666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221.18884567967481</v>
      </c>
      <c r="T171" s="62">
        <f t="shared" si="142"/>
        <v>189.31596996710888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314.72063458462026</v>
      </c>
      <c r="AO171" s="62">
        <f t="shared" si="144"/>
        <v>216.4380325968244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455.26558725507834</v>
      </c>
      <c r="BJ171" s="62">
        <f t="shared" si="146"/>
        <v>278.60310966788552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-2.9558577807620169E-14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300.72820267660154</v>
      </c>
      <c r="CE171" s="62">
        <f t="shared" si="148"/>
        <v>228.35388778608589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384.3367849108829</v>
      </c>
      <c r="CZ171" s="62">
        <f t="shared" si="150"/>
        <v>238.2697272367603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-6.2527760746888816E-13</v>
      </c>
      <c r="DP171" s="18">
        <f>DO171*VLOOKUP('Données projet'!$B$14,Paramètres!$A$1:$I$89,3,0)*VLOOKUP('Données projet'!$B$14,Paramètres!$A$1:$I$89,5,0)</f>
        <v>-2.9262992029543964E-13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304.1100958939968</v>
      </c>
      <c r="DU171" s="62">
        <f t="shared" si="152"/>
        <v>184.1255966824568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>
        <f>EJ171*VLOOKUP('Données projet'!$B$15,Paramètres!$A$1:$I$89,3,0)*VLOOKUP('Données projet'!$B$15,Paramètres!$A$1:$I$89,5,0)</f>
        <v>0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435.03433721979218</v>
      </c>
      <c r="EP171" s="62">
        <f t="shared" si="154"/>
        <v>267.10015759286387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>
        <f>FE171*VLOOKUP('Données projet'!$B$16,Paramètres!$A$1:$I$89,3,0)*VLOOKUP('Données projet'!$B$16,Paramètres!$A$1:$I$89,5,0)</f>
        <v>0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445.15313998584293</v>
      </c>
      <c r="FK171" s="62">
        <f t="shared" si="156"/>
        <v>272.85357736694834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-5.6843418860808015E-14</v>
      </c>
      <c r="GA171" s="18">
        <f>FZ171*VLOOKUP('Données projet'!$B$17,Paramètres!$A$1:$I$89,3,0)*VLOOKUP('Données projet'!$B$17,Paramètres!$A$1:$I$89,5,0)</f>
        <v>-4.9658410716801891E-14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248.82613595888964</v>
      </c>
      <c r="GF171" s="62">
        <f t="shared" si="158"/>
        <v>255.8298580882084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135.66666666666666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221.18884567967481</v>
      </c>
      <c r="T172" s="62">
        <f t="shared" si="142"/>
        <v>189.31596996710888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314.72063458462026</v>
      </c>
      <c r="AO172" s="62">
        <f t="shared" si="144"/>
        <v>216.4380325968244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455.26558725507834</v>
      </c>
      <c r="BJ172" s="62">
        <f t="shared" si="146"/>
        <v>278.60310966788552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-2.9558577807620169E-14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300.72820267660154</v>
      </c>
      <c r="CE172" s="62">
        <f t="shared" si="148"/>
        <v>228.35388778608589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384.3367849108829</v>
      </c>
      <c r="CZ172" s="62">
        <f t="shared" si="150"/>
        <v>238.2697272367603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-6.2527760746888816E-13</v>
      </c>
      <c r="DP172" s="18">
        <f>DO172*VLOOKUP('Données projet'!$B$14,Paramètres!$A$1:$I$89,3,0)*VLOOKUP('Données projet'!$B$14,Paramètres!$A$1:$I$89,5,0)</f>
        <v>-2.9262992029543964E-13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304.1100958939968</v>
      </c>
      <c r="DU172" s="62">
        <f t="shared" si="152"/>
        <v>184.1255966824568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>
        <f>EJ172*VLOOKUP('Données projet'!$B$15,Paramètres!$A$1:$I$89,3,0)*VLOOKUP('Données projet'!$B$15,Paramètres!$A$1:$I$89,5,0)</f>
        <v>0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435.03433721979218</v>
      </c>
      <c r="EP172" s="62">
        <f t="shared" si="154"/>
        <v>267.10015759286387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>
        <f>FE172*VLOOKUP('Données projet'!$B$16,Paramètres!$A$1:$I$89,3,0)*VLOOKUP('Données projet'!$B$16,Paramètres!$A$1:$I$89,5,0)</f>
        <v>0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445.15313998584293</v>
      </c>
      <c r="FK172" s="62">
        <f t="shared" si="156"/>
        <v>272.85357736694834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-5.6843418860808015E-14</v>
      </c>
      <c r="GA172" s="18">
        <f>FZ172*VLOOKUP('Données projet'!$B$17,Paramètres!$A$1:$I$89,3,0)*VLOOKUP('Données projet'!$B$17,Paramètres!$A$1:$I$89,5,0)</f>
        <v>-4.9658410716801891E-14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248.82613595888964</v>
      </c>
      <c r="GF172" s="62">
        <f t="shared" si="158"/>
        <v>255.8298580882084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135.66666666666666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221.18884567967481</v>
      </c>
      <c r="T173" s="62">
        <f t="shared" si="142"/>
        <v>189.31596996710888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314.72063458462026</v>
      </c>
      <c r="AO173" s="62">
        <f t="shared" si="144"/>
        <v>216.4380325968244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455.26558725507834</v>
      </c>
      <c r="BJ173" s="62">
        <f t="shared" si="146"/>
        <v>278.60310966788552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-2.9558577807620169E-14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300.72820267660154</v>
      </c>
      <c r="CE173" s="62">
        <f t="shared" si="148"/>
        <v>228.35388778608589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384.3367849108829</v>
      </c>
      <c r="CZ173" s="62">
        <f t="shared" si="150"/>
        <v>238.2697272367603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-6.2527760746888816E-13</v>
      </c>
      <c r="DP173" s="18">
        <f>DO173*VLOOKUP('Données projet'!$B$14,Paramètres!$A$1:$I$89,3,0)*VLOOKUP('Données projet'!$B$14,Paramètres!$A$1:$I$89,5,0)</f>
        <v>-2.9262992029543964E-13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304.1100958939968</v>
      </c>
      <c r="DU173" s="62">
        <f t="shared" si="152"/>
        <v>184.1255966824568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>
        <f>EJ173*VLOOKUP('Données projet'!$B$15,Paramètres!$A$1:$I$89,3,0)*VLOOKUP('Données projet'!$B$15,Paramètres!$A$1:$I$89,5,0)</f>
        <v>0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435.03433721979218</v>
      </c>
      <c r="EP173" s="62">
        <f t="shared" si="154"/>
        <v>267.10015759286387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>
        <f>FE173*VLOOKUP('Données projet'!$B$16,Paramètres!$A$1:$I$89,3,0)*VLOOKUP('Données projet'!$B$16,Paramètres!$A$1:$I$89,5,0)</f>
        <v>0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445.15313998584293</v>
      </c>
      <c r="FK173" s="62">
        <f t="shared" si="156"/>
        <v>272.85357736694834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-5.6843418860808015E-14</v>
      </c>
      <c r="GA173" s="18">
        <f>FZ173*VLOOKUP('Données projet'!$B$17,Paramètres!$A$1:$I$89,3,0)*VLOOKUP('Données projet'!$B$17,Paramètres!$A$1:$I$89,5,0)</f>
        <v>-4.9658410716801891E-14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248.82613595888964</v>
      </c>
      <c r="GF173" s="62">
        <f t="shared" si="158"/>
        <v>255.8298580882084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135.66666666666666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221.18884567967481</v>
      </c>
      <c r="T174" s="62">
        <f t="shared" si="142"/>
        <v>189.31596996710888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314.72063458462026</v>
      </c>
      <c r="AO174" s="62">
        <f t="shared" si="144"/>
        <v>216.4380325968244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455.26558725507834</v>
      </c>
      <c r="BJ174" s="62">
        <f t="shared" si="146"/>
        <v>278.60310966788552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-2.9558577807620169E-14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300.72820267660154</v>
      </c>
      <c r="CE174" s="62">
        <f t="shared" si="148"/>
        <v>228.35388778608589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384.3367849108829</v>
      </c>
      <c r="CZ174" s="62">
        <f t="shared" si="150"/>
        <v>238.2697272367603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-6.2527760746888816E-13</v>
      </c>
      <c r="DP174" s="18">
        <f>DO174*VLOOKUP('Données projet'!$B$14,Paramètres!$A$1:$I$89,3,0)*VLOOKUP('Données projet'!$B$14,Paramètres!$A$1:$I$89,5,0)</f>
        <v>-2.9262992029543964E-13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304.1100958939968</v>
      </c>
      <c r="DU174" s="62">
        <f t="shared" si="152"/>
        <v>184.1255966824568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>
        <f>EJ174*VLOOKUP('Données projet'!$B$15,Paramètres!$A$1:$I$89,3,0)*VLOOKUP('Données projet'!$B$15,Paramètres!$A$1:$I$89,5,0)</f>
        <v>0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435.03433721979218</v>
      </c>
      <c r="EP174" s="62">
        <f t="shared" si="154"/>
        <v>267.10015759286387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>
        <f>FE174*VLOOKUP('Données projet'!$B$16,Paramètres!$A$1:$I$89,3,0)*VLOOKUP('Données projet'!$B$16,Paramètres!$A$1:$I$89,5,0)</f>
        <v>0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445.15313998584293</v>
      </c>
      <c r="FK174" s="62">
        <f t="shared" si="156"/>
        <v>272.85357736694834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-5.6843418860808015E-14</v>
      </c>
      <c r="GA174" s="18">
        <f>FZ174*VLOOKUP('Données projet'!$B$17,Paramètres!$A$1:$I$89,3,0)*VLOOKUP('Données projet'!$B$17,Paramètres!$A$1:$I$89,5,0)</f>
        <v>-4.9658410716801891E-14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248.82613595888964</v>
      </c>
      <c r="GF174" s="62">
        <f t="shared" si="158"/>
        <v>255.8298580882084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135.66666666666666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221.18884567967481</v>
      </c>
      <c r="T175" s="62">
        <f t="shared" si="142"/>
        <v>189.31596996710888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314.72063458462026</v>
      </c>
      <c r="AO175" s="62">
        <f t="shared" si="144"/>
        <v>216.4380325968244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455.26558725507834</v>
      </c>
      <c r="BJ175" s="62">
        <f t="shared" si="146"/>
        <v>278.60310966788552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-2.9558577807620169E-14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300.72820267660154</v>
      </c>
      <c r="CE175" s="62">
        <f t="shared" si="148"/>
        <v>228.35388778608589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384.3367849108829</v>
      </c>
      <c r="CZ175" s="62">
        <f t="shared" si="150"/>
        <v>238.2697272367603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-6.2527760746888816E-13</v>
      </c>
      <c r="DP175" s="18">
        <f>DO175*VLOOKUP('Données projet'!$B$14,Paramètres!$A$1:$I$89,3,0)*VLOOKUP('Données projet'!$B$14,Paramètres!$A$1:$I$89,5,0)</f>
        <v>-2.9262992029543964E-13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304.1100958939968</v>
      </c>
      <c r="DU175" s="62">
        <f t="shared" si="152"/>
        <v>184.1255966824568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>
        <f>EJ175*VLOOKUP('Données projet'!$B$15,Paramètres!$A$1:$I$89,3,0)*VLOOKUP('Données projet'!$B$15,Paramètres!$A$1:$I$89,5,0)</f>
        <v>0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435.03433721979218</v>
      </c>
      <c r="EP175" s="62">
        <f t="shared" si="154"/>
        <v>267.10015759286387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>
        <f>FE175*VLOOKUP('Données projet'!$B$16,Paramètres!$A$1:$I$89,3,0)*VLOOKUP('Données projet'!$B$16,Paramètres!$A$1:$I$89,5,0)</f>
        <v>0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445.15313998584293</v>
      </c>
      <c r="FK175" s="62">
        <f t="shared" si="156"/>
        <v>272.85357736694834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-5.6843418860808015E-14</v>
      </c>
      <c r="GA175" s="18">
        <f>FZ175*VLOOKUP('Données projet'!$B$17,Paramètres!$A$1:$I$89,3,0)*VLOOKUP('Données projet'!$B$17,Paramètres!$A$1:$I$89,5,0)</f>
        <v>-4.9658410716801891E-14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248.82613595888964</v>
      </c>
      <c r="GF175" s="62">
        <f t="shared" si="158"/>
        <v>255.8298580882084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135.66666666666666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221.18884567967481</v>
      </c>
      <c r="T176" s="62">
        <f t="shared" si="142"/>
        <v>189.31596996710888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314.72063458462026</v>
      </c>
      <c r="AO176" s="62">
        <f t="shared" si="144"/>
        <v>216.4380325968244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455.26558725507834</v>
      </c>
      <c r="BJ176" s="62">
        <f t="shared" si="146"/>
        <v>278.60310966788552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-2.9558577807620169E-14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300.72820267660154</v>
      </c>
      <c r="CE176" s="62">
        <f t="shared" si="148"/>
        <v>228.35388778608589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384.3367849108829</v>
      </c>
      <c r="CZ176" s="62">
        <f t="shared" si="150"/>
        <v>238.2697272367603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-6.2527760746888816E-13</v>
      </c>
      <c r="DP176" s="18">
        <f>DO176*VLOOKUP('Données projet'!$B$14,Paramètres!$A$1:$I$89,3,0)*VLOOKUP('Données projet'!$B$14,Paramètres!$A$1:$I$89,5,0)</f>
        <v>-2.9262992029543964E-13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304.1100958939968</v>
      </c>
      <c r="DU176" s="62">
        <f t="shared" si="152"/>
        <v>184.1255966824568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>
        <f>EJ176*VLOOKUP('Données projet'!$B$15,Paramètres!$A$1:$I$89,3,0)*VLOOKUP('Données projet'!$B$15,Paramètres!$A$1:$I$89,5,0)</f>
        <v>0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435.03433721979218</v>
      </c>
      <c r="EP176" s="62">
        <f t="shared" si="154"/>
        <v>267.10015759286387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>
        <f>FE176*VLOOKUP('Données projet'!$B$16,Paramètres!$A$1:$I$89,3,0)*VLOOKUP('Données projet'!$B$16,Paramètres!$A$1:$I$89,5,0)</f>
        <v>0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445.15313998584293</v>
      </c>
      <c r="FK176" s="62">
        <f t="shared" si="156"/>
        <v>272.85357736694834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-5.6843418860808015E-14</v>
      </c>
      <c r="GA176" s="18">
        <f>FZ176*VLOOKUP('Données projet'!$B$17,Paramètres!$A$1:$I$89,3,0)*VLOOKUP('Données projet'!$B$17,Paramètres!$A$1:$I$89,5,0)</f>
        <v>-4.9658410716801891E-14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248.82613595888964</v>
      </c>
      <c r="GF176" s="62">
        <f t="shared" si="158"/>
        <v>255.8298580882084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135.66666666666666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221.18884567967481</v>
      </c>
      <c r="T177" s="62">
        <f t="shared" si="142"/>
        <v>189.31596996710888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314.72063458462026</v>
      </c>
      <c r="AO177" s="62">
        <f t="shared" si="144"/>
        <v>216.4380325968244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455.26558725507834</v>
      </c>
      <c r="BJ177" s="62">
        <f t="shared" si="146"/>
        <v>278.60310966788552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-2.9558577807620169E-14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300.72820267660154</v>
      </c>
      <c r="CE177" s="62">
        <f t="shared" si="148"/>
        <v>228.35388778608589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384.3367849108829</v>
      </c>
      <c r="CZ177" s="62">
        <f t="shared" si="150"/>
        <v>238.2697272367603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-6.2527760746888816E-13</v>
      </c>
      <c r="DP177" s="18">
        <f>DO177*VLOOKUP('Données projet'!$B$14,Paramètres!$A$1:$I$89,3,0)*VLOOKUP('Données projet'!$B$14,Paramètres!$A$1:$I$89,5,0)</f>
        <v>-2.9262992029543964E-13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304.1100958939968</v>
      </c>
      <c r="DU177" s="62">
        <f t="shared" si="152"/>
        <v>184.1255966824568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>
        <f>EJ177*VLOOKUP('Données projet'!$B$15,Paramètres!$A$1:$I$89,3,0)*VLOOKUP('Données projet'!$B$15,Paramètres!$A$1:$I$89,5,0)</f>
        <v>0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435.03433721979218</v>
      </c>
      <c r="EP177" s="62">
        <f t="shared" si="154"/>
        <v>267.10015759286387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>
        <f>FE177*VLOOKUP('Données projet'!$B$16,Paramètres!$A$1:$I$89,3,0)*VLOOKUP('Données projet'!$B$16,Paramètres!$A$1:$I$89,5,0)</f>
        <v>0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445.15313998584293</v>
      </c>
      <c r="FK177" s="62">
        <f t="shared" si="156"/>
        <v>272.85357736694834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-5.6843418860808015E-14</v>
      </c>
      <c r="GA177" s="18">
        <f>FZ177*VLOOKUP('Données projet'!$B$17,Paramètres!$A$1:$I$89,3,0)*VLOOKUP('Données projet'!$B$17,Paramètres!$A$1:$I$89,5,0)</f>
        <v>-4.9658410716801891E-14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248.82613595888964</v>
      </c>
      <c r="GF177" s="62">
        <f t="shared" si="158"/>
        <v>255.8298580882084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135.66666666666666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221.18884567967481</v>
      </c>
      <c r="T178" s="62">
        <f t="shared" si="142"/>
        <v>189.31596996710888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314.72063458462026</v>
      </c>
      <c r="AO178" s="62">
        <f t="shared" si="144"/>
        <v>216.4380325968244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455.26558725507834</v>
      </c>
      <c r="BJ178" s="62">
        <f t="shared" si="146"/>
        <v>278.60310966788552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-2.9558577807620169E-14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300.72820267660154</v>
      </c>
      <c r="CE178" s="62">
        <f t="shared" si="148"/>
        <v>228.35388778608589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384.3367849108829</v>
      </c>
      <c r="CZ178" s="62">
        <f t="shared" si="150"/>
        <v>238.2697272367603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-6.2527760746888816E-13</v>
      </c>
      <c r="DP178" s="18">
        <f>DO178*VLOOKUP('Données projet'!$B$14,Paramètres!$A$1:$I$89,3,0)*VLOOKUP('Données projet'!$B$14,Paramètres!$A$1:$I$89,5,0)</f>
        <v>-2.9262992029543964E-13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304.1100958939968</v>
      </c>
      <c r="DU178" s="62">
        <f t="shared" si="152"/>
        <v>184.1255966824568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>
        <f>EJ178*VLOOKUP('Données projet'!$B$15,Paramètres!$A$1:$I$89,3,0)*VLOOKUP('Données projet'!$B$15,Paramètres!$A$1:$I$89,5,0)</f>
        <v>0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435.03433721979218</v>
      </c>
      <c r="EP178" s="62">
        <f t="shared" si="154"/>
        <v>267.10015759286387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>
        <f>FE178*VLOOKUP('Données projet'!$B$16,Paramètres!$A$1:$I$89,3,0)*VLOOKUP('Données projet'!$B$16,Paramètres!$A$1:$I$89,5,0)</f>
        <v>0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445.15313998584293</v>
      </c>
      <c r="FK178" s="62">
        <f t="shared" si="156"/>
        <v>272.85357736694834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-5.6843418860808015E-14</v>
      </c>
      <c r="GA178" s="18">
        <f>FZ178*VLOOKUP('Données projet'!$B$17,Paramètres!$A$1:$I$89,3,0)*VLOOKUP('Données projet'!$B$17,Paramètres!$A$1:$I$89,5,0)</f>
        <v>-4.9658410716801891E-14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248.82613595888964</v>
      </c>
      <c r="GF178" s="62">
        <f t="shared" si="158"/>
        <v>255.8298580882084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135.66666666666666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221.18884567967481</v>
      </c>
      <c r="T179" s="62">
        <f t="shared" si="142"/>
        <v>189.31596996710888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314.72063458462026</v>
      </c>
      <c r="AO179" s="62">
        <f t="shared" si="144"/>
        <v>216.4380325968244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455.26558725507834</v>
      </c>
      <c r="BJ179" s="62">
        <f t="shared" si="146"/>
        <v>278.60310966788552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-2.9558577807620169E-14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300.72820267660154</v>
      </c>
      <c r="CE179" s="62">
        <f t="shared" si="148"/>
        <v>228.35388778608589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384.3367849108829</v>
      </c>
      <c r="CZ179" s="62">
        <f t="shared" si="150"/>
        <v>238.2697272367603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-6.2527760746888816E-13</v>
      </c>
      <c r="DP179" s="18">
        <f>DO179*VLOOKUP('Données projet'!$B$14,Paramètres!$A$1:$I$89,3,0)*VLOOKUP('Données projet'!$B$14,Paramètres!$A$1:$I$89,5,0)</f>
        <v>-2.9262992029543964E-13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304.1100958939968</v>
      </c>
      <c r="DU179" s="62">
        <f t="shared" si="152"/>
        <v>184.1255966824568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>
        <f>EJ179*VLOOKUP('Données projet'!$B$15,Paramètres!$A$1:$I$89,3,0)*VLOOKUP('Données projet'!$B$15,Paramètres!$A$1:$I$89,5,0)</f>
        <v>0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435.03433721979218</v>
      </c>
      <c r="EP179" s="62">
        <f t="shared" si="154"/>
        <v>267.10015759286387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>
        <f>FE179*VLOOKUP('Données projet'!$B$16,Paramètres!$A$1:$I$89,3,0)*VLOOKUP('Données projet'!$B$16,Paramètres!$A$1:$I$89,5,0)</f>
        <v>0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445.15313998584293</v>
      </c>
      <c r="FK179" s="62">
        <f t="shared" si="156"/>
        <v>272.85357736694834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-5.6843418860808015E-14</v>
      </c>
      <c r="GA179" s="18">
        <f>FZ179*VLOOKUP('Données projet'!$B$17,Paramètres!$A$1:$I$89,3,0)*VLOOKUP('Données projet'!$B$17,Paramètres!$A$1:$I$89,5,0)</f>
        <v>-4.9658410716801891E-14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248.82613595888964</v>
      </c>
      <c r="GF179" s="62">
        <f t="shared" si="158"/>
        <v>255.8298580882084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135.66666666666666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221.18884567967481</v>
      </c>
      <c r="T180" s="62">
        <f t="shared" si="142"/>
        <v>189.31596996710888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314.72063458462026</v>
      </c>
      <c r="AO180" s="62">
        <f t="shared" si="144"/>
        <v>216.4380325968244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455.26558725507834</v>
      </c>
      <c r="BJ180" s="62">
        <f t="shared" si="146"/>
        <v>278.60310966788552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-2.9558577807620169E-14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300.72820267660154</v>
      </c>
      <c r="CE180" s="62">
        <f t="shared" si="148"/>
        <v>228.35388778608589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384.3367849108829</v>
      </c>
      <c r="CZ180" s="62">
        <f t="shared" si="150"/>
        <v>238.2697272367603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-6.2527760746888816E-13</v>
      </c>
      <c r="DP180" s="18">
        <f>DO180*VLOOKUP('Données projet'!$B$14,Paramètres!$A$1:$I$89,3,0)*VLOOKUP('Données projet'!$B$14,Paramètres!$A$1:$I$89,5,0)</f>
        <v>-2.9262992029543964E-13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304.1100958939968</v>
      </c>
      <c r="DU180" s="62">
        <f t="shared" si="152"/>
        <v>184.1255966824568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>
        <f>EJ180*VLOOKUP('Données projet'!$B$15,Paramètres!$A$1:$I$89,3,0)*VLOOKUP('Données projet'!$B$15,Paramètres!$A$1:$I$89,5,0)</f>
        <v>0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435.03433721979218</v>
      </c>
      <c r="EP180" s="62">
        <f t="shared" si="154"/>
        <v>267.10015759286387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>
        <f>FE180*VLOOKUP('Données projet'!$B$16,Paramètres!$A$1:$I$89,3,0)*VLOOKUP('Données projet'!$B$16,Paramètres!$A$1:$I$89,5,0)</f>
        <v>0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445.15313998584293</v>
      </c>
      <c r="FK180" s="62">
        <f t="shared" si="156"/>
        <v>272.85357736694834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-5.6843418860808015E-14</v>
      </c>
      <c r="GA180" s="18">
        <f>FZ180*VLOOKUP('Données projet'!$B$17,Paramètres!$A$1:$I$89,3,0)*VLOOKUP('Données projet'!$B$17,Paramètres!$A$1:$I$89,5,0)</f>
        <v>-4.9658410716801891E-14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248.82613595888964</v>
      </c>
      <c r="GF180" s="62">
        <f t="shared" si="158"/>
        <v>255.8298580882084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135.66666666666666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221.18884567967481</v>
      </c>
      <c r="T181" s="62">
        <f t="shared" si="142"/>
        <v>189.31596996710888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314.72063458462026</v>
      </c>
      <c r="AO181" s="62">
        <f t="shared" si="144"/>
        <v>216.4380325968244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455.26558725507834</v>
      </c>
      <c r="BJ181" s="62">
        <f t="shared" si="146"/>
        <v>278.60310966788552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-2.9558577807620169E-14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300.72820267660154</v>
      </c>
      <c r="CE181" s="62">
        <f t="shared" si="148"/>
        <v>228.35388778608589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384.3367849108829</v>
      </c>
      <c r="CZ181" s="62">
        <f t="shared" si="150"/>
        <v>238.2697272367603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-6.2527760746888816E-13</v>
      </c>
      <c r="DP181" s="18">
        <f>DO181*VLOOKUP('Données projet'!$B$14,Paramètres!$A$1:$I$89,3,0)*VLOOKUP('Données projet'!$B$14,Paramètres!$A$1:$I$89,5,0)</f>
        <v>-2.9262992029543964E-13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304.1100958939968</v>
      </c>
      <c r="DU181" s="62">
        <f t="shared" si="152"/>
        <v>184.1255966824568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>
        <f>EJ181*VLOOKUP('Données projet'!$B$15,Paramètres!$A$1:$I$89,3,0)*VLOOKUP('Données projet'!$B$15,Paramètres!$A$1:$I$89,5,0)</f>
        <v>0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435.03433721979218</v>
      </c>
      <c r="EP181" s="62">
        <f t="shared" si="154"/>
        <v>267.10015759286387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>
        <f>FE181*VLOOKUP('Données projet'!$B$16,Paramètres!$A$1:$I$89,3,0)*VLOOKUP('Données projet'!$B$16,Paramètres!$A$1:$I$89,5,0)</f>
        <v>0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445.15313998584293</v>
      </c>
      <c r="FK181" s="62">
        <f t="shared" si="156"/>
        <v>272.85357736694834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-5.6843418860808015E-14</v>
      </c>
      <c r="GA181" s="18">
        <f>FZ181*VLOOKUP('Données projet'!$B$17,Paramètres!$A$1:$I$89,3,0)*VLOOKUP('Données projet'!$B$17,Paramètres!$A$1:$I$89,5,0)</f>
        <v>-4.9658410716801891E-14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248.82613595888964</v>
      </c>
      <c r="GF181" s="62">
        <f t="shared" si="158"/>
        <v>255.8298580882084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135.66666666666666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221.18884567967481</v>
      </c>
      <c r="T182" s="62">
        <f t="shared" si="142"/>
        <v>189.31596996710888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314.72063458462026</v>
      </c>
      <c r="AO182" s="62">
        <f t="shared" si="144"/>
        <v>216.4380325968244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455.26558725507834</v>
      </c>
      <c r="BJ182" s="62">
        <f t="shared" si="146"/>
        <v>278.60310966788552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-2.9558577807620169E-14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300.72820267660154</v>
      </c>
      <c r="CE182" s="62">
        <f t="shared" si="148"/>
        <v>228.35388778608589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384.3367849108829</v>
      </c>
      <c r="CZ182" s="62">
        <f t="shared" si="150"/>
        <v>238.2697272367603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-6.2527760746888816E-13</v>
      </c>
      <c r="DP182" s="18">
        <f>DO182*VLOOKUP('Données projet'!$B$14,Paramètres!$A$1:$I$89,3,0)*VLOOKUP('Données projet'!$B$14,Paramètres!$A$1:$I$89,5,0)</f>
        <v>-2.9262992029543964E-13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304.1100958939968</v>
      </c>
      <c r="DU182" s="62">
        <f t="shared" si="152"/>
        <v>184.1255966824568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>
        <f>EJ182*VLOOKUP('Données projet'!$B$15,Paramètres!$A$1:$I$89,3,0)*VLOOKUP('Données projet'!$B$15,Paramètres!$A$1:$I$89,5,0)</f>
        <v>0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435.03433721979218</v>
      </c>
      <c r="EP182" s="62">
        <f t="shared" si="154"/>
        <v>267.10015759286387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>
        <f>FE182*VLOOKUP('Données projet'!$B$16,Paramètres!$A$1:$I$89,3,0)*VLOOKUP('Données projet'!$B$16,Paramètres!$A$1:$I$89,5,0)</f>
        <v>0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445.15313998584293</v>
      </c>
      <c r="FK182" s="62">
        <f t="shared" si="156"/>
        <v>272.85357736694834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-5.6843418860808015E-14</v>
      </c>
      <c r="GA182" s="18">
        <f>FZ182*VLOOKUP('Données projet'!$B$17,Paramètres!$A$1:$I$89,3,0)*VLOOKUP('Données projet'!$B$17,Paramètres!$A$1:$I$89,5,0)</f>
        <v>-4.9658410716801891E-14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248.82613595888964</v>
      </c>
      <c r="GF182" s="62">
        <f t="shared" si="158"/>
        <v>255.8298580882084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135.66666666666666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221.18884567967481</v>
      </c>
      <c r="T183" s="62">
        <f t="shared" si="142"/>
        <v>189.31596996710888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314.72063458462026</v>
      </c>
      <c r="AO183" s="62">
        <f t="shared" si="144"/>
        <v>216.4380325968244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455.26558725507834</v>
      </c>
      <c r="BJ183" s="62">
        <f t="shared" si="146"/>
        <v>278.60310966788552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-2.9558577807620169E-14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300.72820267660154</v>
      </c>
      <c r="CE183" s="62">
        <f t="shared" si="148"/>
        <v>228.35388778608589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384.3367849108829</v>
      </c>
      <c r="CZ183" s="62">
        <f t="shared" si="150"/>
        <v>238.2697272367603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-6.2527760746888816E-13</v>
      </c>
      <c r="DP183" s="18">
        <f>DO183*VLOOKUP('Données projet'!$B$14,Paramètres!$A$1:$I$89,3,0)*VLOOKUP('Données projet'!$B$14,Paramètres!$A$1:$I$89,5,0)</f>
        <v>-2.9262992029543964E-13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304.1100958939968</v>
      </c>
      <c r="DU183" s="62">
        <f t="shared" si="152"/>
        <v>184.1255966824568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>
        <f>EJ183*VLOOKUP('Données projet'!$B$15,Paramètres!$A$1:$I$89,3,0)*VLOOKUP('Données projet'!$B$15,Paramètres!$A$1:$I$89,5,0)</f>
        <v>0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435.03433721979218</v>
      </c>
      <c r="EP183" s="62">
        <f t="shared" si="154"/>
        <v>267.10015759286387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>
        <f>FE183*VLOOKUP('Données projet'!$B$16,Paramètres!$A$1:$I$89,3,0)*VLOOKUP('Données projet'!$B$16,Paramètres!$A$1:$I$89,5,0)</f>
        <v>0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445.15313998584293</v>
      </c>
      <c r="FK183" s="62">
        <f t="shared" si="156"/>
        <v>272.85357736694834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-5.6843418860808015E-14</v>
      </c>
      <c r="GA183" s="18">
        <f>FZ183*VLOOKUP('Données projet'!$B$17,Paramètres!$A$1:$I$89,3,0)*VLOOKUP('Données projet'!$B$17,Paramètres!$A$1:$I$89,5,0)</f>
        <v>-4.9658410716801891E-14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248.82613595888964</v>
      </c>
      <c r="GF183" s="62">
        <f t="shared" si="158"/>
        <v>255.8298580882084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135.66666666666666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221.18884567967481</v>
      </c>
      <c r="T184" s="62">
        <f t="shared" si="142"/>
        <v>189.31596996710888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314.72063458462026</v>
      </c>
      <c r="AO184" s="62">
        <f t="shared" si="144"/>
        <v>216.4380325968244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455.26558725507834</v>
      </c>
      <c r="BJ184" s="62">
        <f t="shared" si="146"/>
        <v>278.60310966788552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-2.9558577807620169E-14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300.72820267660154</v>
      </c>
      <c r="CE184" s="62">
        <f t="shared" si="148"/>
        <v>228.35388778608589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384.3367849108829</v>
      </c>
      <c r="CZ184" s="62">
        <f t="shared" si="150"/>
        <v>238.2697272367603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-6.2527760746888816E-13</v>
      </c>
      <c r="DP184" s="18">
        <f>DO184*VLOOKUP('Données projet'!$B$14,Paramètres!$A$1:$I$89,3,0)*VLOOKUP('Données projet'!$B$14,Paramètres!$A$1:$I$89,5,0)</f>
        <v>-2.9262992029543964E-13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304.1100958939968</v>
      </c>
      <c r="DU184" s="62">
        <f t="shared" si="152"/>
        <v>184.1255966824568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>
        <f>EJ184*VLOOKUP('Données projet'!$B$15,Paramètres!$A$1:$I$89,3,0)*VLOOKUP('Données projet'!$B$15,Paramètres!$A$1:$I$89,5,0)</f>
        <v>0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435.03433721979218</v>
      </c>
      <c r="EP184" s="62">
        <f t="shared" si="154"/>
        <v>267.10015759286387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>
        <f>FE184*VLOOKUP('Données projet'!$B$16,Paramètres!$A$1:$I$89,3,0)*VLOOKUP('Données projet'!$B$16,Paramètres!$A$1:$I$89,5,0)</f>
        <v>0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445.15313998584293</v>
      </c>
      <c r="FK184" s="62">
        <f t="shared" si="156"/>
        <v>272.85357736694834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-5.6843418860808015E-14</v>
      </c>
      <c r="GA184" s="18">
        <f>FZ184*VLOOKUP('Données projet'!$B$17,Paramètres!$A$1:$I$89,3,0)*VLOOKUP('Données projet'!$B$17,Paramètres!$A$1:$I$89,5,0)</f>
        <v>-4.9658410716801891E-14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248.82613595888964</v>
      </c>
      <c r="GF184" s="62">
        <f t="shared" si="158"/>
        <v>255.8298580882084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135.66666666666666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221.18884567967481</v>
      </c>
      <c r="T185" s="62">
        <f t="shared" si="142"/>
        <v>189.31596996710888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314.72063458462026</v>
      </c>
      <c r="AO185" s="62">
        <f t="shared" si="144"/>
        <v>216.4380325968244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455.26558725507834</v>
      </c>
      <c r="BJ185" s="62">
        <f t="shared" si="146"/>
        <v>278.60310966788552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-2.9558577807620169E-14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300.72820267660154</v>
      </c>
      <c r="CE185" s="62">
        <f t="shared" si="148"/>
        <v>228.35388778608589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384.3367849108829</v>
      </c>
      <c r="CZ185" s="62">
        <f t="shared" si="150"/>
        <v>238.2697272367603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-6.2527760746888816E-13</v>
      </c>
      <c r="DP185" s="18">
        <f>DO185*VLOOKUP('Données projet'!$B$14,Paramètres!$A$1:$I$89,3,0)*VLOOKUP('Données projet'!$B$14,Paramètres!$A$1:$I$89,5,0)</f>
        <v>-2.9262992029543964E-13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304.1100958939968</v>
      </c>
      <c r="DU185" s="62">
        <f t="shared" si="152"/>
        <v>184.1255966824568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>
        <f>EJ185*VLOOKUP('Données projet'!$B$15,Paramètres!$A$1:$I$89,3,0)*VLOOKUP('Données projet'!$B$15,Paramètres!$A$1:$I$89,5,0)</f>
        <v>0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435.03433721979218</v>
      </c>
      <c r="EP185" s="62">
        <f t="shared" si="154"/>
        <v>267.10015759286387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>
        <f>FE185*VLOOKUP('Données projet'!$B$16,Paramètres!$A$1:$I$89,3,0)*VLOOKUP('Données projet'!$B$16,Paramètres!$A$1:$I$89,5,0)</f>
        <v>0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445.15313998584293</v>
      </c>
      <c r="FK185" s="62">
        <f t="shared" si="156"/>
        <v>272.85357736694834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-5.6843418860808015E-14</v>
      </c>
      <c r="GA185" s="18">
        <f>FZ185*VLOOKUP('Données projet'!$B$17,Paramètres!$A$1:$I$89,3,0)*VLOOKUP('Données projet'!$B$17,Paramètres!$A$1:$I$89,5,0)</f>
        <v>-4.9658410716801891E-14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248.82613595888964</v>
      </c>
      <c r="GF185" s="62">
        <f t="shared" si="158"/>
        <v>255.8298580882084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135.66666666666666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221.18884567967481</v>
      </c>
      <c r="T186" s="62">
        <f t="shared" si="142"/>
        <v>189.31596996710888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314.72063458462026</v>
      </c>
      <c r="AO186" s="62">
        <f t="shared" si="144"/>
        <v>216.4380325968244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455.26558725507834</v>
      </c>
      <c r="BJ186" s="62">
        <f t="shared" si="146"/>
        <v>278.60310966788552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-2.9558577807620169E-14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300.72820267660154</v>
      </c>
      <c r="CE186" s="62">
        <f t="shared" si="148"/>
        <v>228.35388778608589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384.3367849108829</v>
      </c>
      <c r="CZ186" s="62">
        <f t="shared" si="150"/>
        <v>238.2697272367603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-6.2527760746888816E-13</v>
      </c>
      <c r="DP186" s="18">
        <f>DO186*VLOOKUP('Données projet'!$B$14,Paramètres!$A$1:$I$89,3,0)*VLOOKUP('Données projet'!$B$14,Paramètres!$A$1:$I$89,5,0)</f>
        <v>-2.9262992029543964E-13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304.1100958939968</v>
      </c>
      <c r="DU186" s="62">
        <f t="shared" si="152"/>
        <v>184.1255966824568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>
        <f>EJ186*VLOOKUP('Données projet'!$B$15,Paramètres!$A$1:$I$89,3,0)*VLOOKUP('Données projet'!$B$15,Paramètres!$A$1:$I$89,5,0)</f>
        <v>0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435.03433721979218</v>
      </c>
      <c r="EP186" s="62">
        <f t="shared" si="154"/>
        <v>267.10015759286387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>
        <f>FE186*VLOOKUP('Données projet'!$B$16,Paramètres!$A$1:$I$89,3,0)*VLOOKUP('Données projet'!$B$16,Paramètres!$A$1:$I$89,5,0)</f>
        <v>0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445.15313998584293</v>
      </c>
      <c r="FK186" s="62">
        <f t="shared" si="156"/>
        <v>272.85357736694834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-5.6843418860808015E-14</v>
      </c>
      <c r="GA186" s="18">
        <f>FZ186*VLOOKUP('Données projet'!$B$17,Paramètres!$A$1:$I$89,3,0)*VLOOKUP('Données projet'!$B$17,Paramètres!$A$1:$I$89,5,0)</f>
        <v>-4.9658410716801891E-14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248.82613595888964</v>
      </c>
      <c r="GF186" s="62">
        <f t="shared" si="158"/>
        <v>255.8298580882084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135.66666666666666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221.18884567967481</v>
      </c>
      <c r="T187" s="62">
        <f t="shared" si="142"/>
        <v>189.31596996710888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314.72063458462026</v>
      </c>
      <c r="AO187" s="62">
        <f t="shared" si="144"/>
        <v>216.4380325968244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455.26558725507834</v>
      </c>
      <c r="BJ187" s="62">
        <f t="shared" si="146"/>
        <v>278.60310966788552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-2.9558577807620169E-14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300.72820267660154</v>
      </c>
      <c r="CE187" s="62">
        <f t="shared" si="148"/>
        <v>228.35388778608589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384.3367849108829</v>
      </c>
      <c r="CZ187" s="62">
        <f t="shared" si="150"/>
        <v>238.2697272367603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-6.2527760746888816E-13</v>
      </c>
      <c r="DP187" s="18">
        <f>DO187*VLOOKUP('Données projet'!$B$14,Paramètres!$A$1:$I$89,3,0)*VLOOKUP('Données projet'!$B$14,Paramètres!$A$1:$I$89,5,0)</f>
        <v>-2.9262992029543964E-13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304.1100958939968</v>
      </c>
      <c r="DU187" s="62">
        <f t="shared" si="152"/>
        <v>184.1255966824568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>
        <f>EJ187*VLOOKUP('Données projet'!$B$15,Paramètres!$A$1:$I$89,3,0)*VLOOKUP('Données projet'!$B$15,Paramètres!$A$1:$I$89,5,0)</f>
        <v>0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435.03433721979218</v>
      </c>
      <c r="EP187" s="62">
        <f t="shared" si="154"/>
        <v>267.10015759286387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>
        <f>FE187*VLOOKUP('Données projet'!$B$16,Paramètres!$A$1:$I$89,3,0)*VLOOKUP('Données projet'!$B$16,Paramètres!$A$1:$I$89,5,0)</f>
        <v>0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445.15313998584293</v>
      </c>
      <c r="FK187" s="62">
        <f t="shared" si="156"/>
        <v>272.85357736694834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-5.6843418860808015E-14</v>
      </c>
      <c r="GA187" s="18">
        <f>FZ187*VLOOKUP('Données projet'!$B$17,Paramètres!$A$1:$I$89,3,0)*VLOOKUP('Données projet'!$B$17,Paramètres!$A$1:$I$89,5,0)</f>
        <v>-4.9658410716801891E-14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248.82613595888964</v>
      </c>
      <c r="GF187" s="62">
        <f t="shared" si="158"/>
        <v>255.8298580882084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135.66666666666666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221.18884567967481</v>
      </c>
      <c r="T188" s="62">
        <f t="shared" si="142"/>
        <v>189.31596996710888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314.72063458462026</v>
      </c>
      <c r="AO188" s="62">
        <f t="shared" si="144"/>
        <v>216.4380325968244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455.26558725507834</v>
      </c>
      <c r="BJ188" s="62">
        <f t="shared" si="146"/>
        <v>278.60310966788552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-2.9558577807620169E-14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300.72820267660154</v>
      </c>
      <c r="CE188" s="62">
        <f t="shared" si="148"/>
        <v>228.35388778608589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384.3367849108829</v>
      </c>
      <c r="CZ188" s="62">
        <f t="shared" si="150"/>
        <v>238.2697272367603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-6.2527760746888816E-13</v>
      </c>
      <c r="DP188" s="18">
        <f>DO188*VLOOKUP('Données projet'!$B$14,Paramètres!$A$1:$I$89,3,0)*VLOOKUP('Données projet'!$B$14,Paramètres!$A$1:$I$89,5,0)</f>
        <v>-2.9262992029543964E-13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304.1100958939968</v>
      </c>
      <c r="DU188" s="62">
        <f t="shared" si="152"/>
        <v>184.1255966824568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>
        <f>EJ188*VLOOKUP('Données projet'!$B$15,Paramètres!$A$1:$I$89,3,0)*VLOOKUP('Données projet'!$B$15,Paramètres!$A$1:$I$89,5,0)</f>
        <v>0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435.03433721979218</v>
      </c>
      <c r="EP188" s="62">
        <f t="shared" si="154"/>
        <v>267.10015759286387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>
        <f>FE188*VLOOKUP('Données projet'!$B$16,Paramètres!$A$1:$I$89,3,0)*VLOOKUP('Données projet'!$B$16,Paramètres!$A$1:$I$89,5,0)</f>
        <v>0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445.15313998584293</v>
      </c>
      <c r="FK188" s="62">
        <f t="shared" si="156"/>
        <v>272.85357736694834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-5.6843418860808015E-14</v>
      </c>
      <c r="GA188" s="18">
        <f>FZ188*VLOOKUP('Données projet'!$B$17,Paramètres!$A$1:$I$89,3,0)*VLOOKUP('Données projet'!$B$17,Paramètres!$A$1:$I$89,5,0)</f>
        <v>-4.9658410716801891E-14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248.82613595888964</v>
      </c>
      <c r="GF188" s="62">
        <f t="shared" si="158"/>
        <v>255.8298580882084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135.66666666666666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221.18884567967481</v>
      </c>
      <c r="T189" s="62">
        <f t="shared" si="142"/>
        <v>189.31596996710888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314.72063458462026</v>
      </c>
      <c r="AO189" s="62">
        <f t="shared" si="144"/>
        <v>216.4380325968244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455.26558725507834</v>
      </c>
      <c r="BJ189" s="62">
        <f t="shared" si="146"/>
        <v>278.60310966788552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-2.9558577807620169E-14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300.72820267660154</v>
      </c>
      <c r="CE189" s="62">
        <f t="shared" si="148"/>
        <v>228.35388778608589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384.3367849108829</v>
      </c>
      <c r="CZ189" s="62">
        <f t="shared" si="150"/>
        <v>238.2697272367603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-6.2527760746888816E-13</v>
      </c>
      <c r="DP189" s="18">
        <f>DO189*VLOOKUP('Données projet'!$B$14,Paramètres!$A$1:$I$89,3,0)*VLOOKUP('Données projet'!$B$14,Paramètres!$A$1:$I$89,5,0)</f>
        <v>-2.9262992029543964E-13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304.1100958939968</v>
      </c>
      <c r="DU189" s="62">
        <f t="shared" si="152"/>
        <v>184.1255966824568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>
        <f>EJ189*VLOOKUP('Données projet'!$B$15,Paramètres!$A$1:$I$89,3,0)*VLOOKUP('Données projet'!$B$15,Paramètres!$A$1:$I$89,5,0)</f>
        <v>0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435.03433721979218</v>
      </c>
      <c r="EP189" s="62">
        <f t="shared" si="154"/>
        <v>267.10015759286387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>
        <f>FE189*VLOOKUP('Données projet'!$B$16,Paramètres!$A$1:$I$89,3,0)*VLOOKUP('Données projet'!$B$16,Paramètres!$A$1:$I$89,5,0)</f>
        <v>0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445.15313998584293</v>
      </c>
      <c r="FK189" s="62">
        <f t="shared" si="156"/>
        <v>272.85357736694834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-5.6843418860808015E-14</v>
      </c>
      <c r="GA189" s="18">
        <f>FZ189*VLOOKUP('Données projet'!$B$17,Paramètres!$A$1:$I$89,3,0)*VLOOKUP('Données projet'!$B$17,Paramètres!$A$1:$I$89,5,0)</f>
        <v>-4.9658410716801891E-14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248.82613595888964</v>
      </c>
      <c r="GF189" s="62">
        <f t="shared" si="158"/>
        <v>255.8298580882084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135.66666666666666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221.18884567967481</v>
      </c>
      <c r="T190" s="62">
        <f t="shared" si="142"/>
        <v>189.31596996710888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314.72063458462026</v>
      </c>
      <c r="AO190" s="62">
        <f t="shared" si="144"/>
        <v>216.4380325968244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455.26558725507834</v>
      </c>
      <c r="BJ190" s="62">
        <f t="shared" si="146"/>
        <v>278.60310966788552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-2.9558577807620169E-14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300.72820267660154</v>
      </c>
      <c r="CE190" s="62">
        <f t="shared" si="148"/>
        <v>228.35388778608589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384.3367849108829</v>
      </c>
      <c r="CZ190" s="62">
        <f t="shared" si="150"/>
        <v>238.2697272367603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-6.2527760746888816E-13</v>
      </c>
      <c r="DP190" s="18">
        <f>DO190*VLOOKUP('Données projet'!$B$14,Paramètres!$A$1:$I$89,3,0)*VLOOKUP('Données projet'!$B$14,Paramètres!$A$1:$I$89,5,0)</f>
        <v>-2.9262992029543964E-13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304.1100958939968</v>
      </c>
      <c r="DU190" s="62">
        <f t="shared" si="152"/>
        <v>184.1255966824568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>
        <f>EJ190*VLOOKUP('Données projet'!$B$15,Paramètres!$A$1:$I$89,3,0)*VLOOKUP('Données projet'!$B$15,Paramètres!$A$1:$I$89,5,0)</f>
        <v>0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435.03433721979218</v>
      </c>
      <c r="EP190" s="62">
        <f t="shared" si="154"/>
        <v>267.10015759286387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>
        <f>FE190*VLOOKUP('Données projet'!$B$16,Paramètres!$A$1:$I$89,3,0)*VLOOKUP('Données projet'!$B$16,Paramètres!$A$1:$I$89,5,0)</f>
        <v>0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445.15313998584293</v>
      </c>
      <c r="FK190" s="62">
        <f t="shared" si="156"/>
        <v>272.85357736694834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-5.6843418860808015E-14</v>
      </c>
      <c r="GA190" s="18">
        <f>FZ190*VLOOKUP('Données projet'!$B$17,Paramètres!$A$1:$I$89,3,0)*VLOOKUP('Données projet'!$B$17,Paramètres!$A$1:$I$89,5,0)</f>
        <v>-4.9658410716801891E-14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248.82613595888964</v>
      </c>
      <c r="GF190" s="62">
        <f t="shared" si="158"/>
        <v>255.8298580882084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135.66666666666666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221.18884567967481</v>
      </c>
      <c r="T191" s="62">
        <f t="shared" si="142"/>
        <v>189.31596996710888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314.72063458462026</v>
      </c>
      <c r="AO191" s="62">
        <f t="shared" si="144"/>
        <v>216.4380325968244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455.26558725507834</v>
      </c>
      <c r="BJ191" s="62">
        <f t="shared" si="146"/>
        <v>278.60310966788552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-2.9558577807620169E-14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300.72820267660154</v>
      </c>
      <c r="CE191" s="62">
        <f t="shared" si="148"/>
        <v>228.35388778608589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384.3367849108829</v>
      </c>
      <c r="CZ191" s="62">
        <f t="shared" si="150"/>
        <v>238.2697272367603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-6.2527760746888816E-13</v>
      </c>
      <c r="DP191" s="18">
        <f>DO191*VLOOKUP('Données projet'!$B$14,Paramètres!$A$1:$I$89,3,0)*VLOOKUP('Données projet'!$B$14,Paramètres!$A$1:$I$89,5,0)</f>
        <v>-2.9262992029543964E-13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304.1100958939968</v>
      </c>
      <c r="DU191" s="62">
        <f t="shared" si="152"/>
        <v>184.1255966824568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>
        <f>EJ191*VLOOKUP('Données projet'!$B$15,Paramètres!$A$1:$I$89,3,0)*VLOOKUP('Données projet'!$B$15,Paramètres!$A$1:$I$89,5,0)</f>
        <v>0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435.03433721979218</v>
      </c>
      <c r="EP191" s="62">
        <f t="shared" si="154"/>
        <v>267.10015759286387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>
        <f>FE191*VLOOKUP('Données projet'!$B$16,Paramètres!$A$1:$I$89,3,0)*VLOOKUP('Données projet'!$B$16,Paramètres!$A$1:$I$89,5,0)</f>
        <v>0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445.15313998584293</v>
      </c>
      <c r="FK191" s="62">
        <f t="shared" si="156"/>
        <v>272.85357736694834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-5.6843418860808015E-14</v>
      </c>
      <c r="GA191" s="18">
        <f>FZ191*VLOOKUP('Données projet'!$B$17,Paramètres!$A$1:$I$89,3,0)*VLOOKUP('Données projet'!$B$17,Paramètres!$A$1:$I$89,5,0)</f>
        <v>-4.9658410716801891E-14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248.82613595888964</v>
      </c>
      <c r="GF191" s="62">
        <f t="shared" si="158"/>
        <v>255.8298580882084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135.66666666666666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221.18884567967481</v>
      </c>
      <c r="T192" s="62">
        <f t="shared" si="142"/>
        <v>189.31596996710888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314.72063458462026</v>
      </c>
      <c r="AO192" s="62">
        <f t="shared" si="144"/>
        <v>216.4380325968244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455.26558725507834</v>
      </c>
      <c r="BJ192" s="62">
        <f t="shared" si="146"/>
        <v>278.60310966788552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-2.9558577807620169E-14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300.72820267660154</v>
      </c>
      <c r="CE192" s="62">
        <f t="shared" si="148"/>
        <v>228.35388778608589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384.3367849108829</v>
      </c>
      <c r="CZ192" s="62">
        <f t="shared" si="150"/>
        <v>238.2697272367603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-6.2527760746888816E-13</v>
      </c>
      <c r="DP192" s="18">
        <f>DO192*VLOOKUP('Données projet'!$B$14,Paramètres!$A$1:$I$89,3,0)*VLOOKUP('Données projet'!$B$14,Paramètres!$A$1:$I$89,5,0)</f>
        <v>-2.9262992029543964E-13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304.1100958939968</v>
      </c>
      <c r="DU192" s="62">
        <f t="shared" si="152"/>
        <v>184.1255966824568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>
        <f>EJ192*VLOOKUP('Données projet'!$B$15,Paramètres!$A$1:$I$89,3,0)*VLOOKUP('Données projet'!$B$15,Paramètres!$A$1:$I$89,5,0)</f>
        <v>0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435.03433721979218</v>
      </c>
      <c r="EP192" s="62">
        <f t="shared" si="154"/>
        <v>267.10015759286387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>
        <f>FE192*VLOOKUP('Données projet'!$B$16,Paramètres!$A$1:$I$89,3,0)*VLOOKUP('Données projet'!$B$16,Paramètres!$A$1:$I$89,5,0)</f>
        <v>0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445.15313998584293</v>
      </c>
      <c r="FK192" s="62">
        <f t="shared" si="156"/>
        <v>272.85357736694834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-5.6843418860808015E-14</v>
      </c>
      <c r="GA192" s="18">
        <f>FZ192*VLOOKUP('Données projet'!$B$17,Paramètres!$A$1:$I$89,3,0)*VLOOKUP('Données projet'!$B$17,Paramètres!$A$1:$I$89,5,0)</f>
        <v>-4.9658410716801891E-14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248.82613595888964</v>
      </c>
      <c r="GF192" s="62">
        <f t="shared" si="158"/>
        <v>255.8298580882084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135.66666666666666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221.18884567967481</v>
      </c>
      <c r="T193" s="62">
        <f t="shared" si="142"/>
        <v>189.31596996710888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314.72063458462026</v>
      </c>
      <c r="AO193" s="62">
        <f t="shared" si="144"/>
        <v>216.4380325968244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455.26558725507834</v>
      </c>
      <c r="BJ193" s="62">
        <f t="shared" si="146"/>
        <v>278.60310966788552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-2.9558577807620169E-14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300.72820267660154</v>
      </c>
      <c r="CE193" s="62">
        <f t="shared" si="148"/>
        <v>228.35388778608589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384.3367849108829</v>
      </c>
      <c r="CZ193" s="62">
        <f t="shared" si="150"/>
        <v>238.2697272367603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-6.2527760746888816E-13</v>
      </c>
      <c r="DP193" s="18">
        <f>DO193*VLOOKUP('Données projet'!$B$14,Paramètres!$A$1:$I$89,3,0)*VLOOKUP('Données projet'!$B$14,Paramètres!$A$1:$I$89,5,0)</f>
        <v>-2.9262992029543964E-13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304.1100958939968</v>
      </c>
      <c r="DU193" s="62">
        <f t="shared" si="152"/>
        <v>184.1255966824568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>
        <f>EJ193*VLOOKUP('Données projet'!$B$15,Paramètres!$A$1:$I$89,3,0)*VLOOKUP('Données projet'!$B$15,Paramètres!$A$1:$I$89,5,0)</f>
        <v>0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435.03433721979218</v>
      </c>
      <c r="EP193" s="62">
        <f t="shared" si="154"/>
        <v>267.10015759286387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>
        <f>FE193*VLOOKUP('Données projet'!$B$16,Paramètres!$A$1:$I$89,3,0)*VLOOKUP('Données projet'!$B$16,Paramètres!$A$1:$I$89,5,0)</f>
        <v>0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445.15313998584293</v>
      </c>
      <c r="FK193" s="62">
        <f t="shared" si="156"/>
        <v>272.85357736694834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-5.6843418860808015E-14</v>
      </c>
      <c r="GA193" s="18">
        <f>FZ193*VLOOKUP('Données projet'!$B$17,Paramètres!$A$1:$I$89,3,0)*VLOOKUP('Données projet'!$B$17,Paramètres!$A$1:$I$89,5,0)</f>
        <v>-4.9658410716801891E-14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248.82613595888964</v>
      </c>
      <c r="GF193" s="62">
        <f t="shared" si="158"/>
        <v>255.8298580882084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135.66666666666666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221.18884567967481</v>
      </c>
      <c r="T194" s="62">
        <f t="shared" si="142"/>
        <v>189.31596996710888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314.72063458462026</v>
      </c>
      <c r="AO194" s="62">
        <f t="shared" si="144"/>
        <v>216.4380325968244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455.26558725507834</v>
      </c>
      <c r="BJ194" s="62">
        <f t="shared" si="146"/>
        <v>278.60310966788552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-2.9558577807620169E-14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300.72820267660154</v>
      </c>
      <c r="CE194" s="62">
        <f t="shared" si="148"/>
        <v>228.35388778608589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384.3367849108829</v>
      </c>
      <c r="CZ194" s="62">
        <f t="shared" si="150"/>
        <v>238.2697272367603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-6.2527760746888816E-13</v>
      </c>
      <c r="DP194" s="18">
        <f>DO194*VLOOKUP('Données projet'!$B$14,Paramètres!$A$1:$I$89,3,0)*VLOOKUP('Données projet'!$B$14,Paramètres!$A$1:$I$89,5,0)</f>
        <v>-2.9262992029543964E-13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304.1100958939968</v>
      </c>
      <c r="DU194" s="62">
        <f t="shared" si="152"/>
        <v>184.1255966824568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>
        <f>EJ194*VLOOKUP('Données projet'!$B$15,Paramètres!$A$1:$I$89,3,0)*VLOOKUP('Données projet'!$B$15,Paramètres!$A$1:$I$89,5,0)</f>
        <v>0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435.03433721979218</v>
      </c>
      <c r="EP194" s="62">
        <f t="shared" si="154"/>
        <v>267.10015759286387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>
        <f>FE194*VLOOKUP('Données projet'!$B$16,Paramètres!$A$1:$I$89,3,0)*VLOOKUP('Données projet'!$B$16,Paramètres!$A$1:$I$89,5,0)</f>
        <v>0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445.15313998584293</v>
      </c>
      <c r="FK194" s="62">
        <f t="shared" si="156"/>
        <v>272.85357736694834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-5.6843418860808015E-14</v>
      </c>
      <c r="GA194" s="18">
        <f>FZ194*VLOOKUP('Données projet'!$B$17,Paramètres!$A$1:$I$89,3,0)*VLOOKUP('Données projet'!$B$17,Paramètres!$A$1:$I$89,5,0)</f>
        <v>-4.9658410716801891E-14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248.82613595888964</v>
      </c>
      <c r="GF194" s="62">
        <f t="shared" si="158"/>
        <v>255.8298580882084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135.66666666666666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221.18884567967481</v>
      </c>
      <c r="T195" s="62">
        <f t="shared" si="142"/>
        <v>189.31596996710888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314.72063458462026</v>
      </c>
      <c r="AO195" s="62">
        <f t="shared" si="144"/>
        <v>216.4380325968244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455.26558725507834</v>
      </c>
      <c r="BJ195" s="62">
        <f t="shared" si="146"/>
        <v>278.60310966788552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-2.9558577807620169E-14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300.72820267660154</v>
      </c>
      <c r="CE195" s="62">
        <f t="shared" si="148"/>
        <v>228.35388778608589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384.3367849108829</v>
      </c>
      <c r="CZ195" s="62">
        <f t="shared" si="150"/>
        <v>238.2697272367603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-6.2527760746888816E-13</v>
      </c>
      <c r="DP195" s="18">
        <f>DO195*VLOOKUP('Données projet'!$B$14,Paramètres!$A$1:$I$89,3,0)*VLOOKUP('Données projet'!$B$14,Paramètres!$A$1:$I$89,5,0)</f>
        <v>-2.9262992029543964E-13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304.1100958939968</v>
      </c>
      <c r="DU195" s="62">
        <f t="shared" si="152"/>
        <v>184.1255966824568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>
        <f>EJ195*VLOOKUP('Données projet'!$B$15,Paramètres!$A$1:$I$89,3,0)*VLOOKUP('Données projet'!$B$15,Paramètres!$A$1:$I$89,5,0)</f>
        <v>0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435.03433721979218</v>
      </c>
      <c r="EP195" s="62">
        <f t="shared" si="154"/>
        <v>267.10015759286387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>
        <f>FE195*VLOOKUP('Données projet'!$B$16,Paramètres!$A$1:$I$89,3,0)*VLOOKUP('Données projet'!$B$16,Paramètres!$A$1:$I$89,5,0)</f>
        <v>0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445.15313998584293</v>
      </c>
      <c r="FK195" s="62">
        <f t="shared" si="156"/>
        <v>272.85357736694834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-5.6843418860808015E-14</v>
      </c>
      <c r="GA195" s="18">
        <f>FZ195*VLOOKUP('Données projet'!$B$17,Paramètres!$A$1:$I$89,3,0)*VLOOKUP('Données projet'!$B$17,Paramètres!$A$1:$I$89,5,0)</f>
        <v>-4.9658410716801891E-14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248.82613595888964</v>
      </c>
      <c r="GF195" s="62">
        <f t="shared" si="158"/>
        <v>255.8298580882084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135.66666666666666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221.18884567967481</v>
      </c>
      <c r="T196" s="62">
        <f t="shared" si="142"/>
        <v>189.31596996710888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314.72063458462026</v>
      </c>
      <c r="AO196" s="62">
        <f t="shared" si="144"/>
        <v>216.4380325968244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455.26558725507834</v>
      </c>
      <c r="BJ196" s="62">
        <f t="shared" si="146"/>
        <v>278.60310966788552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-2.9558577807620169E-14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300.72820267660154</v>
      </c>
      <c r="CE196" s="62">
        <f t="shared" si="148"/>
        <v>228.35388778608589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384.3367849108829</v>
      </c>
      <c r="CZ196" s="62">
        <f t="shared" si="150"/>
        <v>238.2697272367603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-6.2527760746888816E-13</v>
      </c>
      <c r="DP196" s="18">
        <f>DO196*VLOOKUP('Données projet'!$B$14,Paramètres!$A$1:$I$89,3,0)*VLOOKUP('Données projet'!$B$14,Paramètres!$A$1:$I$89,5,0)</f>
        <v>-2.9262992029543964E-13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304.1100958939968</v>
      </c>
      <c r="DU196" s="62">
        <f t="shared" si="152"/>
        <v>184.1255966824568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>
        <f>EJ196*VLOOKUP('Données projet'!$B$15,Paramètres!$A$1:$I$89,3,0)*VLOOKUP('Données projet'!$B$15,Paramètres!$A$1:$I$89,5,0)</f>
        <v>0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435.03433721979218</v>
      </c>
      <c r="EP196" s="62">
        <f t="shared" si="154"/>
        <v>267.10015759286387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>
        <f>FE196*VLOOKUP('Données projet'!$B$16,Paramètres!$A$1:$I$89,3,0)*VLOOKUP('Données projet'!$B$16,Paramètres!$A$1:$I$89,5,0)</f>
        <v>0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445.15313998584293</v>
      </c>
      <c r="FK196" s="62">
        <f t="shared" si="156"/>
        <v>272.85357736694834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-5.6843418860808015E-14</v>
      </c>
      <c r="GA196" s="18">
        <f>FZ196*VLOOKUP('Données projet'!$B$17,Paramètres!$A$1:$I$89,3,0)*VLOOKUP('Données projet'!$B$17,Paramètres!$A$1:$I$89,5,0)</f>
        <v>-4.9658410716801891E-14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248.82613595888964</v>
      </c>
      <c r="GF196" s="62">
        <f t="shared" si="158"/>
        <v>255.8298580882084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135.66666666666666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221.18884567967481</v>
      </c>
      <c r="T197" s="62">
        <f t="shared" ref="T197:T203" si="204">$T$3</f>
        <v>189.31596996710888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314.72063458462026</v>
      </c>
      <c r="AO197" s="62">
        <f t="shared" ref="AO197:AO203" si="205">$AO$3</f>
        <v>216.4380325968244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455.26558725507834</v>
      </c>
      <c r="BJ197" s="62">
        <f t="shared" ref="BJ197:BJ203" si="206">$BJ$3</f>
        <v>278.60310966788552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-2.9558577807620169E-14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300.72820267660154</v>
      </c>
      <c r="CE197" s="62">
        <f t="shared" ref="CE197:CE203" si="207">$CE$3</f>
        <v>228.35388778608589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384.3367849108829</v>
      </c>
      <c r="CZ197" s="62">
        <f t="shared" ref="CZ197:CZ203" si="208">$CZ$3</f>
        <v>238.2697272367603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-6.2527760746888816E-13</v>
      </c>
      <c r="DP197" s="18">
        <f>DO197*VLOOKUP('Données projet'!$B$14,Paramètres!$A$1:$I$89,3,0)*VLOOKUP('Données projet'!$B$14,Paramètres!$A$1:$I$89,5,0)</f>
        <v>-2.9262992029543964E-13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304.1100958939968</v>
      </c>
      <c r="DU197" s="62">
        <f t="shared" ref="DU197:DU203" si="209">$DU$3</f>
        <v>184.1255966824568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>
        <f>EJ197*VLOOKUP('Données projet'!$B$15,Paramètres!$A$1:$I$89,3,0)*VLOOKUP('Données projet'!$B$15,Paramètres!$A$1:$I$89,5,0)</f>
        <v>0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435.03433721979218</v>
      </c>
      <c r="EP197" s="62">
        <f t="shared" ref="EP197:EP203" si="210">$EP$3</f>
        <v>267.10015759286387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>
        <f>FE197*VLOOKUP('Données projet'!$B$16,Paramètres!$A$1:$I$89,3,0)*VLOOKUP('Données projet'!$B$16,Paramètres!$A$1:$I$89,5,0)</f>
        <v>0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445.15313998584293</v>
      </c>
      <c r="FK197" s="62">
        <f t="shared" ref="FK197:FK203" si="211">$FK$3</f>
        <v>272.85357736694834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-5.6843418860808015E-14</v>
      </c>
      <c r="GA197" s="18">
        <f>FZ197*VLOOKUP('Données projet'!$B$17,Paramètres!$A$1:$I$89,3,0)*VLOOKUP('Données projet'!$B$17,Paramètres!$A$1:$I$89,5,0)</f>
        <v>-4.9658410716801891E-14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248.82613595888964</v>
      </c>
      <c r="GF197" s="62">
        <f t="shared" ref="GF197:GF203" si="212">$GF$3</f>
        <v>255.8298580882084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135.66666666666666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221.18884567967481</v>
      </c>
      <c r="T198" s="62">
        <f t="shared" si="204"/>
        <v>189.31596996710888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314.72063458462026</v>
      </c>
      <c r="AO198" s="62">
        <f t="shared" si="205"/>
        <v>216.4380325968244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455.26558725507834</v>
      </c>
      <c r="BJ198" s="62">
        <f t="shared" si="206"/>
        <v>278.60310966788552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-2.9558577807620169E-14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300.72820267660154</v>
      </c>
      <c r="CE198" s="62">
        <f t="shared" si="207"/>
        <v>228.35388778608589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384.3367849108829</v>
      </c>
      <c r="CZ198" s="62">
        <f t="shared" si="208"/>
        <v>238.2697272367603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-6.2527760746888816E-13</v>
      </c>
      <c r="DP198" s="18">
        <f>DO198*VLOOKUP('Données projet'!$B$14,Paramètres!$A$1:$I$89,3,0)*VLOOKUP('Données projet'!$B$14,Paramètres!$A$1:$I$89,5,0)</f>
        <v>-2.9262992029543964E-13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304.1100958939968</v>
      </c>
      <c r="DU198" s="62">
        <f t="shared" si="209"/>
        <v>184.1255966824568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>
        <f>EJ198*VLOOKUP('Données projet'!$B$15,Paramètres!$A$1:$I$89,3,0)*VLOOKUP('Données projet'!$B$15,Paramètres!$A$1:$I$89,5,0)</f>
        <v>0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435.03433721979218</v>
      </c>
      <c r="EP198" s="62">
        <f t="shared" si="210"/>
        <v>267.10015759286387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>
        <f>FE198*VLOOKUP('Données projet'!$B$16,Paramètres!$A$1:$I$89,3,0)*VLOOKUP('Données projet'!$B$16,Paramètres!$A$1:$I$89,5,0)</f>
        <v>0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445.15313998584293</v>
      </c>
      <c r="FK198" s="62">
        <f t="shared" si="211"/>
        <v>272.85357736694834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-5.6843418860808015E-14</v>
      </c>
      <c r="GA198" s="18">
        <f>FZ198*VLOOKUP('Données projet'!$B$17,Paramètres!$A$1:$I$89,3,0)*VLOOKUP('Données projet'!$B$17,Paramètres!$A$1:$I$89,5,0)</f>
        <v>-4.9658410716801891E-14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248.82613595888964</v>
      </c>
      <c r="GF198" s="62">
        <f t="shared" si="212"/>
        <v>255.8298580882084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135.66666666666666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221.18884567967481</v>
      </c>
      <c r="T199" s="62">
        <f t="shared" si="204"/>
        <v>189.31596996710888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314.72063458462026</v>
      </c>
      <c r="AO199" s="62">
        <f t="shared" si="205"/>
        <v>216.4380325968244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455.26558725507834</v>
      </c>
      <c r="BJ199" s="62">
        <f t="shared" si="206"/>
        <v>278.60310966788552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-2.9558577807620169E-14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300.72820267660154</v>
      </c>
      <c r="CE199" s="62">
        <f t="shared" si="207"/>
        <v>228.35388778608589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384.3367849108829</v>
      </c>
      <c r="CZ199" s="62">
        <f t="shared" si="208"/>
        <v>238.2697272367603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-6.2527760746888816E-13</v>
      </c>
      <c r="DP199" s="18">
        <f>DO199*VLOOKUP('Données projet'!$B$14,Paramètres!$A$1:$I$89,3,0)*VLOOKUP('Données projet'!$B$14,Paramètres!$A$1:$I$89,5,0)</f>
        <v>-2.9262992029543964E-13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304.1100958939968</v>
      </c>
      <c r="DU199" s="62">
        <f t="shared" si="209"/>
        <v>184.1255966824568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>
        <f>EJ199*VLOOKUP('Données projet'!$B$15,Paramètres!$A$1:$I$89,3,0)*VLOOKUP('Données projet'!$B$15,Paramètres!$A$1:$I$89,5,0)</f>
        <v>0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435.03433721979218</v>
      </c>
      <c r="EP199" s="62">
        <f t="shared" si="210"/>
        <v>267.10015759286387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>
        <f>FE199*VLOOKUP('Données projet'!$B$16,Paramètres!$A$1:$I$89,3,0)*VLOOKUP('Données projet'!$B$16,Paramètres!$A$1:$I$89,5,0)</f>
        <v>0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445.15313998584293</v>
      </c>
      <c r="FK199" s="62">
        <f t="shared" si="211"/>
        <v>272.85357736694834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-5.6843418860808015E-14</v>
      </c>
      <c r="GA199" s="18">
        <f>FZ199*VLOOKUP('Données projet'!$B$17,Paramètres!$A$1:$I$89,3,0)*VLOOKUP('Données projet'!$B$17,Paramètres!$A$1:$I$89,5,0)</f>
        <v>-4.9658410716801891E-14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248.82613595888964</v>
      </c>
      <c r="GF199" s="62">
        <f t="shared" si="212"/>
        <v>255.8298580882084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135.66666666666666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221.18884567967481</v>
      </c>
      <c r="T200" s="62">
        <f t="shared" si="204"/>
        <v>189.31596996710888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314.72063458462026</v>
      </c>
      <c r="AO200" s="62">
        <f t="shared" si="205"/>
        <v>216.4380325968244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455.26558725507834</v>
      </c>
      <c r="BJ200" s="62">
        <f t="shared" si="206"/>
        <v>278.60310966788552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-2.9558577807620169E-14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300.72820267660154</v>
      </c>
      <c r="CE200" s="62">
        <f t="shared" si="207"/>
        <v>228.35388778608589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384.3367849108829</v>
      </c>
      <c r="CZ200" s="62">
        <f t="shared" si="208"/>
        <v>238.2697272367603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-6.2527760746888816E-13</v>
      </c>
      <c r="DP200" s="18">
        <f>DO200*VLOOKUP('Données projet'!$B$14,Paramètres!$A$1:$I$89,3,0)*VLOOKUP('Données projet'!$B$14,Paramètres!$A$1:$I$89,5,0)</f>
        <v>-2.9262992029543964E-13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304.1100958939968</v>
      </c>
      <c r="DU200" s="62">
        <f t="shared" si="209"/>
        <v>184.1255966824568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>
        <f>EJ200*VLOOKUP('Données projet'!$B$15,Paramètres!$A$1:$I$89,3,0)*VLOOKUP('Données projet'!$B$15,Paramètres!$A$1:$I$89,5,0)</f>
        <v>0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435.03433721979218</v>
      </c>
      <c r="EP200" s="62">
        <f t="shared" si="210"/>
        <v>267.10015759286387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>
        <f>FE200*VLOOKUP('Données projet'!$B$16,Paramètres!$A$1:$I$89,3,0)*VLOOKUP('Données projet'!$B$16,Paramètres!$A$1:$I$89,5,0)</f>
        <v>0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445.15313998584293</v>
      </c>
      <c r="FK200" s="62">
        <f t="shared" si="211"/>
        <v>272.85357736694834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-5.6843418860808015E-14</v>
      </c>
      <c r="GA200" s="18">
        <f>FZ200*VLOOKUP('Données projet'!$B$17,Paramètres!$A$1:$I$89,3,0)*VLOOKUP('Données projet'!$B$17,Paramètres!$A$1:$I$89,5,0)</f>
        <v>-4.9658410716801891E-14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248.82613595888964</v>
      </c>
      <c r="GF200" s="62">
        <f t="shared" si="212"/>
        <v>255.8298580882084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135.66666666666666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221.18884567967481</v>
      </c>
      <c r="T201" s="62">
        <f t="shared" si="204"/>
        <v>189.31596996710888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314.72063458462026</v>
      </c>
      <c r="AO201" s="62">
        <f t="shared" si="205"/>
        <v>216.4380325968244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455.26558725507834</v>
      </c>
      <c r="BJ201" s="62">
        <f t="shared" si="206"/>
        <v>278.60310966788552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-2.9558577807620169E-14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300.72820267660154</v>
      </c>
      <c r="CE201" s="62">
        <f t="shared" si="207"/>
        <v>228.35388778608589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384.3367849108829</v>
      </c>
      <c r="CZ201" s="62">
        <f t="shared" si="208"/>
        <v>238.2697272367603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-6.2527760746888816E-13</v>
      </c>
      <c r="DP201" s="18">
        <f>DO201*VLOOKUP('Données projet'!$B$14,Paramètres!$A$1:$I$89,3,0)*VLOOKUP('Données projet'!$B$14,Paramètres!$A$1:$I$89,5,0)</f>
        <v>-2.9262992029543964E-13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304.1100958939968</v>
      </c>
      <c r="DU201" s="62">
        <f t="shared" si="209"/>
        <v>184.1255966824568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>
        <f>EJ201*VLOOKUP('Données projet'!$B$15,Paramètres!$A$1:$I$89,3,0)*VLOOKUP('Données projet'!$B$15,Paramètres!$A$1:$I$89,5,0)</f>
        <v>0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435.03433721979218</v>
      </c>
      <c r="EP201" s="62">
        <f t="shared" si="210"/>
        <v>267.10015759286387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>
        <f>FE201*VLOOKUP('Données projet'!$B$16,Paramètres!$A$1:$I$89,3,0)*VLOOKUP('Données projet'!$B$16,Paramètres!$A$1:$I$89,5,0)</f>
        <v>0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445.15313998584293</v>
      </c>
      <c r="FK201" s="62">
        <f t="shared" si="211"/>
        <v>272.85357736694834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-5.6843418860808015E-14</v>
      </c>
      <c r="GA201" s="18">
        <f>FZ201*VLOOKUP('Données projet'!$B$17,Paramètres!$A$1:$I$89,3,0)*VLOOKUP('Données projet'!$B$17,Paramètres!$A$1:$I$89,5,0)</f>
        <v>-4.9658410716801891E-14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248.82613595888964</v>
      </c>
      <c r="GF201" s="62">
        <f t="shared" si="212"/>
        <v>255.8298580882084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135.66666666666666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221.18884567967481</v>
      </c>
      <c r="T202" s="62">
        <f t="shared" si="204"/>
        <v>189.31596996710888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314.72063458462026</v>
      </c>
      <c r="AO202" s="62">
        <f t="shared" si="205"/>
        <v>216.4380325968244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455.26558725507834</v>
      </c>
      <c r="BJ202" s="62">
        <f t="shared" si="206"/>
        <v>278.60310966788552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-2.9558577807620169E-14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300.72820267660154</v>
      </c>
      <c r="CE202" s="62">
        <f t="shared" si="207"/>
        <v>228.35388778608589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384.3367849108829</v>
      </c>
      <c r="CZ202" s="62">
        <f t="shared" si="208"/>
        <v>238.2697272367603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-6.2527760746888816E-13</v>
      </c>
      <c r="DP202" s="18">
        <f>DO202*VLOOKUP('Données projet'!$B$14,Paramètres!$A$1:$I$89,3,0)*VLOOKUP('Données projet'!$B$14,Paramètres!$A$1:$I$89,5,0)</f>
        <v>-2.9262992029543964E-13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304.1100958939968</v>
      </c>
      <c r="DU202" s="62">
        <f t="shared" si="209"/>
        <v>184.1255966824568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>
        <f>EJ202*VLOOKUP('Données projet'!$B$15,Paramètres!$A$1:$I$89,3,0)*VLOOKUP('Données projet'!$B$15,Paramètres!$A$1:$I$89,5,0)</f>
        <v>0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435.03433721979218</v>
      </c>
      <c r="EP202" s="62">
        <f t="shared" si="210"/>
        <v>267.10015759286387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>
        <f>FE202*VLOOKUP('Données projet'!$B$16,Paramètres!$A$1:$I$89,3,0)*VLOOKUP('Données projet'!$B$16,Paramètres!$A$1:$I$89,5,0)</f>
        <v>0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445.15313998584293</v>
      </c>
      <c r="FK202" s="62">
        <f t="shared" si="211"/>
        <v>272.85357736694834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-5.6843418860808015E-14</v>
      </c>
      <c r="GA202" s="18">
        <f>FZ202*VLOOKUP('Données projet'!$B$17,Paramètres!$A$1:$I$89,3,0)*VLOOKUP('Données projet'!$B$17,Paramètres!$A$1:$I$89,5,0)</f>
        <v>-4.9658410716801891E-14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248.82613595888964</v>
      </c>
      <c r="GF202" s="62">
        <f t="shared" si="212"/>
        <v>255.8298580882084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135.66666666666666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221.18884567967481</v>
      </c>
      <c r="T203" s="62">
        <f t="shared" si="204"/>
        <v>189.31596996710888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314.72063458462026</v>
      </c>
      <c r="AO203" s="62">
        <f t="shared" si="205"/>
        <v>216.4380325968244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455.26558725507834</v>
      </c>
      <c r="BJ203" s="62">
        <f t="shared" si="206"/>
        <v>278.60310966788552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-2.9558577807620169E-14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300.72820267660154</v>
      </c>
      <c r="CE203" s="62">
        <f t="shared" si="207"/>
        <v>228.35388778608589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384.3367849108829</v>
      </c>
      <c r="CZ203" s="62">
        <f t="shared" si="208"/>
        <v>238.2697272367603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-6.2527760746888816E-13</v>
      </c>
      <c r="DP203" s="18">
        <f>DO203*VLOOKUP('Données projet'!$B$14,Paramètres!$A$1:$I$89,3,0)*VLOOKUP('Données projet'!$B$14,Paramètres!$A$1:$I$89,5,0)</f>
        <v>-2.9262992029543964E-13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304.1100958939968</v>
      </c>
      <c r="DU203" s="62">
        <f t="shared" si="209"/>
        <v>184.1255966824568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>
        <f>EJ203*VLOOKUP('Données projet'!$B$15,Paramètres!$A$1:$I$89,3,0)*VLOOKUP('Données projet'!$B$15,Paramètres!$A$1:$I$89,5,0)</f>
        <v>0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435.03433721979218</v>
      </c>
      <c r="EP203" s="62">
        <f t="shared" si="210"/>
        <v>267.10015759286387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>
        <f>FE203*VLOOKUP('Données projet'!$B$16,Paramètres!$A$1:$I$89,3,0)*VLOOKUP('Données projet'!$B$16,Paramètres!$A$1:$I$89,5,0)</f>
        <v>0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445.15313998584293</v>
      </c>
      <c r="FK203" s="62">
        <f t="shared" si="211"/>
        <v>272.85357736694834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-5.6843418860808015E-14</v>
      </c>
      <c r="GA203" s="18">
        <f>FZ203*VLOOKUP('Données projet'!$B$17,Paramètres!$A$1:$I$89,3,0)*VLOOKUP('Données projet'!$B$17,Paramètres!$A$1:$I$89,5,0)</f>
        <v>-4.9658410716801891E-14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248.82613595888964</v>
      </c>
      <c r="GF203" s="62">
        <f t="shared" si="212"/>
        <v>255.8298580882084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1.2251829146849735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1.3139754596796083</v>
      </c>
      <c r="BA205" s="88">
        <f>EXP(LN('Données projet'!B88)/'Données projet'!A88)</f>
        <v>1.197119521332874</v>
      </c>
      <c r="BV205" s="88">
        <f>EXP(LN('Données projet'!B114)/'Données projet'!A114)</f>
        <v>1.3150034895347604</v>
      </c>
      <c r="CQ205" s="88">
        <f>EXP(LN('Données projet'!B140)/'Données projet'!A140)</f>
        <v>1.197119521332874</v>
      </c>
      <c r="DL205" s="88">
        <f>EXP(LN('Données projet'!B166)/'Données projet'!A166)</f>
        <v>1.1671681906248585</v>
      </c>
      <c r="EG205" s="88">
        <f>EXP(LN('Données projet'!B192)/'Données projet'!A192)</f>
        <v>1.197119521332874</v>
      </c>
      <c r="FB205" s="88">
        <f>EXP(LN('Données projet'!B218)/'Données projet'!A218)</f>
        <v>1.197119521332874</v>
      </c>
      <c r="FW205" s="88">
        <f>EXP(LN('Données projet'!B244)/'Données projet'!A244)</f>
        <v>1.1554831727638066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H8" sqref="H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d'Alep</v>
      </c>
      <c r="B6" s="155">
        <f>'Données projet'!D9</f>
        <v>0.81991999999999998</v>
      </c>
      <c r="C6" s="156">
        <f ca="1">IF(OR('Données projet'!B9="",'Données projet'!C9="",'Données projet'!C9=0%),0,Calculateur!S3)</f>
        <v>221.18884567967481</v>
      </c>
      <c r="D6" s="156">
        <f>IF(OR('Données projet'!B9="",'Données projet'!C9="",'Données projet'!C9=0%),0,Calculateur!T3)</f>
        <v>189.31596996710888</v>
      </c>
      <c r="E6" s="156">
        <f ca="1">MIN(C6,D6)</f>
        <v>189.31596996710888</v>
      </c>
      <c r="F6" s="156">
        <f ca="1">E6*B6</f>
        <v>155.22395009543192</v>
      </c>
      <c r="G6" s="156">
        <f ca="1">F6*(100%-'Données projet'!$C$24)*(100%-'Données projet'!$C$25)*(100%-'Données projet'!$C$26)*(100%-'Données projet'!$C$27)</f>
        <v>118.74632182300543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118.74632182300543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pignon</v>
      </c>
      <c r="B7" s="163">
        <f>'Données projet'!D10</f>
        <v>0.66008</v>
      </c>
      <c r="C7" s="156">
        <f ca="1">IF(OR('Données projet'!B10="",'Données projet'!C10="",'Données projet'!C10=0%),0,Calculateur!AN3)</f>
        <v>314.72063458462026</v>
      </c>
      <c r="D7" s="156">
        <f>IF(OR('Données projet'!B10="",'Données projet'!C10="",'Données projet'!C10=0%),0,Calculateur!AO3)</f>
        <v>216.4380325968244</v>
      </c>
      <c r="E7" s="156">
        <f t="shared" ref="E7:E15" ca="1" si="0">MIN(C7,D7)</f>
        <v>216.4380325968244</v>
      </c>
      <c r="F7" s="156">
        <f t="shared" ref="F7:F15" ca="1" si="1">E7*B7</f>
        <v>142.86641655651184</v>
      </c>
      <c r="G7" s="156">
        <f ca="1">F7*(100%-'Données projet'!$C$24)*(100%-'Données projet'!$C$25)*(100%-'Données projet'!$C$26)*(100%-'Données projet'!$C$27)</f>
        <v>109.29280866573156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3.2286163000000001</v>
      </c>
      <c r="K7" s="160">
        <f>J7*(100%-'Données projet'!$C$24)*(100%-'Données projet'!$C$25)*(100%-'Données projet'!$C$26)*(100%-'Données projet'!$C$27)</f>
        <v>2.4698914695000003</v>
      </c>
      <c r="L7" s="161">
        <f t="shared" ref="L7:L15" ca="1" si="2">G7+I7+K7</f>
        <v>111.76270013523155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Cormier</v>
      </c>
      <c r="B8" s="163">
        <f>'Données projet'!D11</f>
        <v>0.47989000000000004</v>
      </c>
      <c r="C8" s="156">
        <f ca="1">IF(OR('Données projet'!B11="",'Données projet'!C11="",'Données projet'!C11=0%),0,Calculateur!BI3)</f>
        <v>455.26558725507834</v>
      </c>
      <c r="D8" s="156">
        <f>IF(OR('Données projet'!B11="",'Données projet'!C11="",'Données projet'!C11=0%),0,Calculateur!BJ3)</f>
        <v>278.60310966788552</v>
      </c>
      <c r="E8" s="156">
        <f t="shared" ca="1" si="0"/>
        <v>278.60310966788552</v>
      </c>
      <c r="F8" s="156">
        <f t="shared" ca="1" si="1"/>
        <v>133.6988462985216</v>
      </c>
      <c r="G8" s="156">
        <f ca="1">F8*(100%-'Données projet'!$C$24)*(100%-'Données projet'!$C$25)*(100%-'Données projet'!$C$26)*(100%-'Données projet'!$C$27)</f>
        <v>102.27961741836903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2.0764471153846156</v>
      </c>
      <c r="K8" s="160">
        <f>J8*(100%-'Données projet'!$C$24)*(100%-'Données projet'!$C$25)*(100%-'Données projet'!$C$26)*(100%-'Données projet'!$C$27)</f>
        <v>1.588482043269231</v>
      </c>
      <c r="L8" s="161">
        <f t="shared" ca="1" si="2"/>
        <v>103.86809946163827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Cyprès de Provence</v>
      </c>
      <c r="B9" s="163">
        <f>'Données projet'!D12</f>
        <v>0.47989000000000004</v>
      </c>
      <c r="C9" s="156">
        <f ca="1">IF(OR('Données projet'!B12="",'Données projet'!C12="",'Données projet'!C12=0%),0,Calculateur!CD3)</f>
        <v>300.72820267660154</v>
      </c>
      <c r="D9" s="156">
        <f>IF(OR('Données projet'!B12="",'Données projet'!C12="",'Données projet'!C12=0%),0,Calculateur!CE3)</f>
        <v>228.35388778608589</v>
      </c>
      <c r="E9" s="156">
        <f t="shared" ca="1" si="0"/>
        <v>228.35388778608589</v>
      </c>
      <c r="F9" s="156">
        <f t="shared" ca="1" si="1"/>
        <v>109.58474720966477</v>
      </c>
      <c r="G9" s="156">
        <f ca="1">F9*(100%-'Données projet'!$C$24)*(100%-'Données projet'!$C$25)*(100%-'Données projet'!$C$26)*(100%-'Données projet'!$C$27)</f>
        <v>83.832331615393542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83.832331615393542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Micocoulier de Provence</v>
      </c>
      <c r="B10" s="163">
        <f>'Données projet'!D13</f>
        <v>0.37000000000000005</v>
      </c>
      <c r="C10" s="156">
        <f ca="1">IF(OR('Données projet'!B13="",'Données projet'!C13="",'Données projet'!C13=0%),0,Calculateur!CY3)</f>
        <v>384.3367849108829</v>
      </c>
      <c r="D10" s="156">
        <f>IF(OR('Données projet'!B13="",'Données projet'!C13="",'Données projet'!C13=0%),0,Calculateur!CZ3)</f>
        <v>238.2697272367603</v>
      </c>
      <c r="E10" s="156">
        <f t="shared" ca="1" si="0"/>
        <v>238.2697272367603</v>
      </c>
      <c r="F10" s="156">
        <f t="shared" ca="1" si="1"/>
        <v>88.159799077601321</v>
      </c>
      <c r="G10" s="156">
        <f ca="1">F10*(100%-'Données projet'!$C$24)*(100%-'Données projet'!$C$25)*(100%-'Données projet'!$C$26)*(100%-'Données projet'!$C$27)</f>
        <v>67.44224629436502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1.6009615384615385</v>
      </c>
      <c r="K10" s="160">
        <f>J10*(100%-'Données projet'!$C$24)*(100%-'Données projet'!$C$25)*(100%-'Données projet'!$C$26)*(100%-'Données projet'!$C$27)</f>
        <v>1.224735576923077</v>
      </c>
      <c r="L10" s="161">
        <f t="shared" ca="1" si="2"/>
        <v>68.666981871288101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Cèdre de l'Atlas</v>
      </c>
      <c r="B11" s="163">
        <f>'Données projet'!D14</f>
        <v>0.33004</v>
      </c>
      <c r="C11" s="156">
        <f ca="1">IF(OR('Données projet'!B14="",'Données projet'!C14="",'Données projet'!C14=0%),0,Calculateur!DT3)</f>
        <v>304.1100958939968</v>
      </c>
      <c r="D11" s="156">
        <f>IF(OR('Données projet'!B14="",'Données projet'!C14="",'Données projet'!C14=0%),0,Calculateur!DU3)</f>
        <v>184.1255966824568</v>
      </c>
      <c r="E11" s="156">
        <f t="shared" ca="1" si="0"/>
        <v>184.1255966824568</v>
      </c>
      <c r="F11" s="156">
        <f t="shared" ca="1" si="1"/>
        <v>60.768811929078041</v>
      </c>
      <c r="G11" s="156">
        <f ca="1">F11*(100%-'Données projet'!$C$24)*(100%-'Données projet'!$C$25)*(100%-'Données projet'!$C$26)*(100%-'Données projet'!$C$27)</f>
        <v>46.488141125744697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ca="1" si="2"/>
        <v>46.488141125744697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Chêne pubescent</v>
      </c>
      <c r="B12" s="163">
        <f>'Données projet'!D15</f>
        <v>0.14985000000000001</v>
      </c>
      <c r="C12" s="156">
        <f ca="1">IF(OR('Données projet'!B15="",'Données projet'!C15="",'Données projet'!C15=0%),0,Calculateur!EO3)</f>
        <v>435.03433721979218</v>
      </c>
      <c r="D12" s="156">
        <f>IF(OR('Données projet'!B15="",'Données projet'!C15="",'Données projet'!C15=0%),0,Calculateur!EP3)</f>
        <v>267.10015759286387</v>
      </c>
      <c r="E12" s="156">
        <f t="shared" ca="1" si="0"/>
        <v>267.10015759286387</v>
      </c>
      <c r="F12" s="156">
        <f t="shared" ca="1" si="1"/>
        <v>40.02495861529065</v>
      </c>
      <c r="G12" s="156">
        <f ca="1">F12*(100%-'Données projet'!$C$24)*(100%-'Données projet'!$C$25)*(100%-'Données projet'!$C$26)*(100%-'Données projet'!$C$27)</f>
        <v>30.619093340697347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0.64838942307692304</v>
      </c>
      <c r="K12" s="160">
        <f>J12*(100%-'Données projet'!$C$24)*(100%-'Données projet'!$C$25)*(100%-'Données projet'!$C$26)*(100%-'Données projet'!$C$27)</f>
        <v>0.49601790865384615</v>
      </c>
      <c r="L12" s="161">
        <f t="shared" ca="1" si="2"/>
        <v>31.115111249351195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Chêne chevelu</v>
      </c>
      <c r="B13" s="163">
        <f>'Données projet'!D16</f>
        <v>0.14985000000000001</v>
      </c>
      <c r="C13" s="156">
        <f ca="1">IF(OR('Données projet'!B16="",'Données projet'!C16="",'Données projet'!C16=0%),0,Calculateur!FJ3)</f>
        <v>445.15313998584293</v>
      </c>
      <c r="D13" s="156">
        <f>IF(OR('Données projet'!B16="",'Données projet'!C16="",'Données projet'!C16=0%),0,Calculateur!FK3)</f>
        <v>272.85357736694834</v>
      </c>
      <c r="E13" s="156">
        <f t="shared" ca="1" si="0"/>
        <v>272.85357736694834</v>
      </c>
      <c r="F13" s="156">
        <f t="shared" ca="1" si="1"/>
        <v>40.887108568437213</v>
      </c>
      <c r="G13" s="156">
        <f ca="1">F13*(100%-'Données projet'!$C$24)*(100%-'Données projet'!$C$25)*(100%-'Données projet'!$C$26)*(100%-'Données projet'!$C$27)</f>
        <v>31.278638054854468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0.64838942307692304</v>
      </c>
      <c r="K13" s="160">
        <f>J13*(100%-'Données projet'!$C$24)*(100%-'Données projet'!$C$25)*(100%-'Données projet'!$C$26)*(100%-'Données projet'!$C$27)</f>
        <v>0.49601790865384615</v>
      </c>
      <c r="L13" s="161">
        <f t="shared" ca="1" si="2"/>
        <v>31.774655963508316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>Erable champêtre</v>
      </c>
      <c r="B14" s="163">
        <f>'Données projet'!D17</f>
        <v>0.15021999999999999</v>
      </c>
      <c r="C14" s="156">
        <f ca="1">IF(OR('Données projet'!B17="",'Données projet'!C17="",'Données projet'!C17=0%),0,Calculateur!GE3)</f>
        <v>248.82613595888964</v>
      </c>
      <c r="D14" s="156">
        <f>IF(OR('Données projet'!B17="",'Données projet'!C17="",'Données projet'!C17=0%),0,Calculateur!GF3)</f>
        <v>255.8298580882084</v>
      </c>
      <c r="E14" s="156">
        <f t="shared" ca="1" si="0"/>
        <v>248.82613595888964</v>
      </c>
      <c r="F14" s="156">
        <f t="shared" ca="1" si="1"/>
        <v>37.3786621437444</v>
      </c>
      <c r="G14" s="156">
        <f ca="1">F14*(100%-'Données projet'!$C$24)*(100%-'Données projet'!$C$25)*(100%-'Données projet'!$C$26)*(100%-'Données projet'!$C$27)</f>
        <v>28.594676539964464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1.1642049999999999</v>
      </c>
      <c r="K14" s="160">
        <f>J14*(100%-'Données projet'!$C$24)*(100%-'Données projet'!$C$25)*(100%-'Données projet'!$C$26)*(100%-'Données projet'!$C$27)</f>
        <v>0.89061682499999983</v>
      </c>
      <c r="L14" s="161">
        <f t="shared" ca="1" si="2"/>
        <v>29.485293364964463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808.59330049428172</v>
      </c>
      <c r="G16" s="175">
        <f t="shared" ca="1" si="3"/>
        <v>618.57387487812548</v>
      </c>
      <c r="H16" s="176">
        <f t="shared" si="3"/>
        <v>0</v>
      </c>
      <c r="I16" s="176">
        <f t="shared" si="3"/>
        <v>0</v>
      </c>
      <c r="J16" s="177">
        <f t="shared" si="3"/>
        <v>9.3670088000000007</v>
      </c>
      <c r="K16" s="177">
        <f t="shared" si="3"/>
        <v>7.1657617320000009</v>
      </c>
      <c r="L16" s="178">
        <f t="shared" ca="1" si="3"/>
        <v>625.73963661012556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d'Alep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pignon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Cormier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Cyprès de Provence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Micocoulier de Provence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Cèdre de l'Atlas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Chêne pubescent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Chêne chevelu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>Erable champêtre</v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N7" zoomScale="80" zoomScaleNormal="8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d'Alep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409.87498050196842</v>
      </c>
      <c r="U10" s="190">
        <f>'Données projet'!D9</f>
        <v>0.81991999999999998</v>
      </c>
      <c r="V10" s="189">
        <f>U10*T10</f>
        <v>336.06469401317395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pignon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101.16400779146623</v>
      </c>
      <c r="U11" s="190">
        <f>'Données projet'!D10</f>
        <v>0.66008</v>
      </c>
      <c r="V11" s="189">
        <f t="shared" ref="V11" si="0">U11*T11</f>
        <v>66.776338262991032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Cormier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214.27078589243814</v>
      </c>
      <c r="U12" s="190">
        <f>'Données projet'!D11</f>
        <v>0.47989000000000004</v>
      </c>
      <c r="V12" s="189">
        <f t="shared" ref="V12:V19" si="1">U12*T12</f>
        <v>102.82640744192214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Cyprès de Provence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155.16889269924809</v>
      </c>
      <c r="U13" s="190">
        <f>'Données projet'!D12</f>
        <v>0.47989000000000004</v>
      </c>
      <c r="V13" s="189">
        <f t="shared" si="1"/>
        <v>74.463999917442166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d'Alep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Micocoulier de Provence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214.27078589243814</v>
      </c>
      <c r="U14" s="190">
        <f>'Données projet'!D13</f>
        <v>0.37000000000000005</v>
      </c>
      <c r="V14" s="189">
        <f t="shared" si="1"/>
        <v>79.280190780202119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Cèdre de l'Atlas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714.57295242642726</v>
      </c>
      <c r="U15" s="190">
        <f>'Données projet'!D14</f>
        <v>0.33004</v>
      </c>
      <c r="V15" s="189">
        <f t="shared" si="1"/>
        <v>235.83765721881807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>Chêne pubescent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214.27078589243814</v>
      </c>
      <c r="U16" s="190">
        <f>'Données projet'!D15</f>
        <v>0.14985000000000001</v>
      </c>
      <c r="V16" s="189">
        <f t="shared" si="1"/>
        <v>32.108477265981861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Chêne chevelu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214.27078589243814</v>
      </c>
      <c r="U17" s="190">
        <f>'Données projet'!D16</f>
        <v>0.14985000000000001</v>
      </c>
      <c r="V17" s="189">
        <f t="shared" si="1"/>
        <v>32.108477265981861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>Erable champêtre</v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447.90930366151179</v>
      </c>
      <c r="U18" s="190">
        <f>'Données projet'!D17</f>
        <v>0.15021999999999999</v>
      </c>
      <c r="V18" s="189">
        <f t="shared" si="1"/>
        <v>67.284935596032298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8526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15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-30519.448822237457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-30519.448822237457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36</v>
      </c>
      <c r="B27" s="193">
        <f>'Données projet'!D40</f>
        <v>34.892307692307689</v>
      </c>
      <c r="C27" s="206">
        <v>10</v>
      </c>
      <c r="D27" s="194">
        <f t="shared" si="2"/>
        <v>348.92307692307691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44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52</v>
      </c>
      <c r="B29" s="193">
        <f>'Données projet'!D42</f>
        <v>77.107692307692304</v>
      </c>
      <c r="C29" s="206">
        <v>15</v>
      </c>
      <c r="D29" s="194">
        <f t="shared" si="2"/>
        <v>1156.6153846153845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59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66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74</v>
      </c>
      <c r="B32" s="193">
        <f>'Données projet'!D45</f>
        <v>114.9153846153846</v>
      </c>
      <c r="C32" s="206">
        <v>20</v>
      </c>
      <c r="D32" s="194">
        <f t="shared" si="2"/>
        <v>2298.3076923076919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82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89</v>
      </c>
      <c r="B34" s="193">
        <f>'Données projet'!D47</f>
        <v>166.66923076923075</v>
      </c>
      <c r="C34" s="206">
        <v>40</v>
      </c>
      <c r="D34" s="194">
        <f t="shared" si="2"/>
        <v>6666.7692307692305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pignon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11.375</v>
      </c>
      <c r="C56" s="204">
        <v>10</v>
      </c>
      <c r="D56" s="191">
        <f t="shared" si="4"/>
        <v>113.75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7.0000000000000009</v>
      </c>
      <c r="C57" s="204">
        <v>10</v>
      </c>
      <c r="D57" s="191">
        <f t="shared" si="4"/>
        <v>70.000000000000014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50</v>
      </c>
      <c r="B58" s="193">
        <f>'Données projet'!D66</f>
        <v>7.7500000000000009</v>
      </c>
      <c r="C58" s="204">
        <v>15</v>
      </c>
      <c r="D58" s="191">
        <f t="shared" si="4"/>
        <v>116.25000000000001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60</v>
      </c>
      <c r="B59" s="193">
        <f>'Données projet'!D67</f>
        <v>8.25</v>
      </c>
      <c r="C59" s="204">
        <v>15</v>
      </c>
      <c r="D59" s="191">
        <f t="shared" si="4"/>
        <v>123.75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70</v>
      </c>
      <c r="B60" s="193">
        <f>'Données projet'!D68</f>
        <v>8.5</v>
      </c>
      <c r="C60" s="204">
        <v>20</v>
      </c>
      <c r="D60" s="191">
        <f t="shared" si="4"/>
        <v>170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80</v>
      </c>
      <c r="B61" s="193">
        <f>'Données projet'!D69</f>
        <v>9.1666666666666679</v>
      </c>
      <c r="C61" s="204">
        <v>25</v>
      </c>
      <c r="D61" s="191">
        <f t="shared" si="4"/>
        <v>229.16666666666669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90</v>
      </c>
      <c r="B62" s="193">
        <f>'Données projet'!D70</f>
        <v>9.1666666666666679</v>
      </c>
      <c r="C62" s="204">
        <v>25</v>
      </c>
      <c r="D62" s="191">
        <f t="shared" si="4"/>
        <v>229.16666666666669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100</v>
      </c>
      <c r="B63" s="193">
        <f>'Données projet'!D71</f>
        <v>9.125</v>
      </c>
      <c r="C63" s="204">
        <v>30</v>
      </c>
      <c r="D63" s="191">
        <f t="shared" si="4"/>
        <v>273.75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110</v>
      </c>
      <c r="B64" s="193">
        <f>'Données projet'!D72</f>
        <v>9.0416666666666661</v>
      </c>
      <c r="C64" s="204">
        <v>35</v>
      </c>
      <c r="D64" s="191">
        <f t="shared" si="4"/>
        <v>316.45833333333331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120</v>
      </c>
      <c r="B65" s="193">
        <f>'Données projet'!D73</f>
        <v>8.875</v>
      </c>
      <c r="C65" s="204">
        <v>35</v>
      </c>
      <c r="D65" s="191">
        <f t="shared" si="4"/>
        <v>310.625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130</v>
      </c>
      <c r="B66" s="193">
        <f>'Données projet'!D74</f>
        <v>8.7083333333333339</v>
      </c>
      <c r="C66" s="204">
        <v>40</v>
      </c>
      <c r="D66" s="191">
        <f t="shared" si="4"/>
        <v>348.33333333333337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140</v>
      </c>
      <c r="B67" s="193">
        <f>'Données projet'!D75</f>
        <v>8.5416666666666679</v>
      </c>
      <c r="C67" s="204">
        <v>40</v>
      </c>
      <c r="D67" s="191">
        <f t="shared" si="4"/>
        <v>341.66666666666674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150</v>
      </c>
      <c r="B68" s="193">
        <f>'Données projet'!D76</f>
        <v>130.21250000000001</v>
      </c>
      <c r="C68" s="204">
        <v>50</v>
      </c>
      <c r="D68" s="191">
        <f t="shared" si="4"/>
        <v>6510.625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Cormier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17.307692307692307</v>
      </c>
      <c r="C87" s="204">
        <v>10</v>
      </c>
      <c r="D87" s="191">
        <f t="shared" si="6"/>
        <v>173.07692307692307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17.307692307692307</v>
      </c>
      <c r="C89" s="204">
        <v>10</v>
      </c>
      <c r="D89" s="191">
        <f t="shared" si="6"/>
        <v>173.07692307692307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18.589743589743588</v>
      </c>
      <c r="C91" s="204">
        <v>10</v>
      </c>
      <c r="D91" s="191">
        <f t="shared" si="6"/>
        <v>185.89743589743588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19.23076923076923</v>
      </c>
      <c r="C93" s="204">
        <v>15</v>
      </c>
      <c r="D93" s="191">
        <f t="shared" si="6"/>
        <v>288.46153846153845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18.589743589743588</v>
      </c>
      <c r="C95" s="204">
        <v>20</v>
      </c>
      <c r="D95" s="191">
        <f t="shared" si="6"/>
        <v>371.79487179487177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17.948717948717949</v>
      </c>
      <c r="C97" s="204">
        <v>25</v>
      </c>
      <c r="D97" s="191">
        <f t="shared" si="6"/>
        <v>448.71794871794873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16.666666666666668</v>
      </c>
      <c r="C99" s="204">
        <v>30</v>
      </c>
      <c r="D99" s="191">
        <f t="shared" si="6"/>
        <v>500.00000000000006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95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100</v>
      </c>
      <c r="B101" s="193">
        <f>'Données projet'!D104</f>
        <v>16.025641025641026</v>
      </c>
      <c r="C101" s="204">
        <v>40</v>
      </c>
      <c r="D101" s="191">
        <f t="shared" si="6"/>
        <v>641.02564102564099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115</v>
      </c>
      <c r="B102" s="193">
        <f>'Données projet'!D105</f>
        <v>21.153846153846153</v>
      </c>
      <c r="C102" s="204">
        <v>45</v>
      </c>
      <c r="D102" s="191">
        <f t="shared" si="6"/>
        <v>951.92307692307691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130</v>
      </c>
      <c r="B103" s="193">
        <f>'Données projet'!D106</f>
        <v>265.38461538461536</v>
      </c>
      <c r="C103" s="204">
        <v>50</v>
      </c>
      <c r="D103" s="191">
        <f t="shared" si="6"/>
        <v>13269.230769230768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Cyprès de Provence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25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35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45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55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65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75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85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90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95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100</v>
      </c>
      <c r="B133" s="193">
        <f>'Données projet'!D131</f>
        <v>316.5</v>
      </c>
      <c r="C133" s="204">
        <v>40</v>
      </c>
      <c r="D133" s="191">
        <f t="shared" si="8"/>
        <v>12660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Micocoulier de Provence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7">
        <f>'Données projet'!D142</f>
        <v>17.307692307692307</v>
      </c>
      <c r="C149" s="204">
        <v>10</v>
      </c>
      <c r="D149" s="194">
        <f t="shared" si="10"/>
        <v>173.07692307692307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7">
        <f>'Données projet'!D144</f>
        <v>17.307692307692307</v>
      </c>
      <c r="C151" s="204">
        <v>10</v>
      </c>
      <c r="D151" s="194">
        <f t="shared" si="10"/>
        <v>173.07692307692307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7">
        <f>'Données projet'!D146</f>
        <v>18.589743589743588</v>
      </c>
      <c r="C153" s="204">
        <v>10</v>
      </c>
      <c r="D153" s="194">
        <f t="shared" si="10"/>
        <v>185.89743589743588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7">
        <f>'Données projet'!D148</f>
        <v>19.23076923076923</v>
      </c>
      <c r="C155" s="204">
        <v>15</v>
      </c>
      <c r="D155" s="194">
        <f t="shared" si="10"/>
        <v>288.46153846153845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7">
        <f>'Données projet'!D150</f>
        <v>18.589743589743588</v>
      </c>
      <c r="C157" s="204">
        <v>20</v>
      </c>
      <c r="D157" s="194">
        <f t="shared" si="10"/>
        <v>371.79487179487177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80</v>
      </c>
      <c r="B159" s="187">
        <f>'Données projet'!D152</f>
        <v>17.948717948717949</v>
      </c>
      <c r="C159" s="204">
        <v>25</v>
      </c>
      <c r="D159" s="194">
        <f t="shared" si="10"/>
        <v>448.71794871794873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85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90</v>
      </c>
      <c r="B161" s="187">
        <f>'Données projet'!D154</f>
        <v>16.666666666666668</v>
      </c>
      <c r="C161" s="204">
        <v>30</v>
      </c>
      <c r="D161" s="194">
        <f t="shared" si="10"/>
        <v>500.00000000000006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95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100</v>
      </c>
      <c r="B163" s="187">
        <f>'Données projet'!D156</f>
        <v>16.025641025641026</v>
      </c>
      <c r="C163" s="204">
        <v>40</v>
      </c>
      <c r="D163" s="194">
        <f t="shared" si="10"/>
        <v>641.02564102564099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115</v>
      </c>
      <c r="B164" s="187">
        <f>'Données projet'!D157</f>
        <v>21.153846153846153</v>
      </c>
      <c r="C164" s="204">
        <v>45</v>
      </c>
      <c r="D164" s="194">
        <f t="shared" si="10"/>
        <v>951.92307692307691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130</v>
      </c>
      <c r="B165" s="187">
        <f>'Données projet'!D158</f>
        <v>265.38461538461536</v>
      </c>
      <c r="C165" s="204">
        <v>50</v>
      </c>
      <c r="D165" s="194">
        <f t="shared" si="10"/>
        <v>13269.230769230768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Cèdre de l'Atlas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30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35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40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45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51</v>
      </c>
      <c r="B182" s="193">
        <f>'Données projet'!D170</f>
        <v>100.30769230769231</v>
      </c>
      <c r="C182" s="206">
        <v>15</v>
      </c>
      <c r="D182" s="191">
        <f t="shared" si="11"/>
        <v>1504.6153846153845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57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63</v>
      </c>
      <c r="B184" s="193">
        <f>'Données projet'!D172</f>
        <v>108.08461538461538</v>
      </c>
      <c r="C184" s="206">
        <v>20</v>
      </c>
      <c r="D184" s="191">
        <f t="shared" si="11"/>
        <v>2161.6923076923076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69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75</v>
      </c>
      <c r="B186" s="193">
        <f>'Données projet'!D174</f>
        <v>85.361538461538458</v>
      </c>
      <c r="C186" s="206">
        <v>30</v>
      </c>
      <c r="D186" s="191">
        <f t="shared" si="11"/>
        <v>2560.8461538461538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81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87</v>
      </c>
      <c r="B188" s="193">
        <f>'Données projet'!D176</f>
        <v>82.938461538461524</v>
      </c>
      <c r="C188" s="206">
        <v>40</v>
      </c>
      <c r="D188" s="191">
        <f t="shared" si="11"/>
        <v>3317.538461538461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93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99</v>
      </c>
      <c r="B190" s="193">
        <f>'Données projet'!D178</f>
        <v>198.32307692307691</v>
      </c>
      <c r="C190" s="206">
        <v>50</v>
      </c>
      <c r="D190" s="191">
        <f t="shared" si="11"/>
        <v>9916.1538461538457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104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109</v>
      </c>
      <c r="B192" s="193">
        <f>'Données projet'!D180</f>
        <v>256.09230769230771</v>
      </c>
      <c r="C192" s="206">
        <v>60</v>
      </c>
      <c r="D192" s="191">
        <f t="shared" si="11"/>
        <v>15365.538461538463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Chêne pubescent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20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25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30</v>
      </c>
      <c r="B211" s="193">
        <f>'Données projet'!D194</f>
        <v>17.307692307692307</v>
      </c>
      <c r="C211" s="204">
        <v>10</v>
      </c>
      <c r="D211" s="191">
        <f t="shared" si="12"/>
        <v>173.07692307692307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35</v>
      </c>
      <c r="B212" s="193">
        <f>'Données projet'!D195</f>
        <v>0</v>
      </c>
      <c r="C212" s="204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40</v>
      </c>
      <c r="B213" s="193">
        <f>'Données projet'!D196</f>
        <v>17.307692307692307</v>
      </c>
      <c r="C213" s="204">
        <v>10</v>
      </c>
      <c r="D213" s="191">
        <f t="shared" si="12"/>
        <v>173.07692307692307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45</v>
      </c>
      <c r="B214" s="193">
        <f>'Données projet'!D197</f>
        <v>0</v>
      </c>
      <c r="C214" s="204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50</v>
      </c>
      <c r="B215" s="193">
        <f>'Données projet'!D198</f>
        <v>18.589743589743588</v>
      </c>
      <c r="C215" s="204">
        <v>10</v>
      </c>
      <c r="D215" s="191">
        <f t="shared" si="12"/>
        <v>185.89743589743588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55</v>
      </c>
      <c r="B216" s="193">
        <f>'Données projet'!D199</f>
        <v>0</v>
      </c>
      <c r="C216" s="204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60</v>
      </c>
      <c r="B217" s="193">
        <f>'Données projet'!D200</f>
        <v>19.23076923076923</v>
      </c>
      <c r="C217" s="204">
        <v>15</v>
      </c>
      <c r="D217" s="191">
        <f t="shared" si="12"/>
        <v>288.46153846153845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65</v>
      </c>
      <c r="B218" s="193">
        <f>'Données projet'!D201</f>
        <v>0</v>
      </c>
      <c r="C218" s="204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70</v>
      </c>
      <c r="B219" s="193">
        <f>'Données projet'!D202</f>
        <v>18.589743589743588</v>
      </c>
      <c r="C219" s="204">
        <v>20</v>
      </c>
      <c r="D219" s="191">
        <f t="shared" si="12"/>
        <v>371.79487179487177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75</v>
      </c>
      <c r="B220" s="193">
        <f>'Données projet'!D203</f>
        <v>0</v>
      </c>
      <c r="C220" s="204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80</v>
      </c>
      <c r="B221" s="193">
        <f>'Données projet'!D204</f>
        <v>17.948717948717949</v>
      </c>
      <c r="C221" s="204">
        <v>25</v>
      </c>
      <c r="D221" s="191">
        <f t="shared" si="12"/>
        <v>448.71794871794873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85</v>
      </c>
      <c r="B222" s="193">
        <f>'Données projet'!D205</f>
        <v>0</v>
      </c>
      <c r="C222" s="204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90</v>
      </c>
      <c r="B223" s="193">
        <f>'Données projet'!D206</f>
        <v>16.666666666666668</v>
      </c>
      <c r="C223" s="204">
        <v>30</v>
      </c>
      <c r="D223" s="191">
        <f t="shared" si="12"/>
        <v>500.00000000000006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95</v>
      </c>
      <c r="B224" s="193">
        <f>'Données projet'!D207</f>
        <v>0</v>
      </c>
      <c r="C224" s="204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100</v>
      </c>
      <c r="B225" s="193">
        <f>'Données projet'!D208</f>
        <v>16.025641025641026</v>
      </c>
      <c r="C225" s="204">
        <v>40</v>
      </c>
      <c r="D225" s="191">
        <f t="shared" si="12"/>
        <v>641.02564102564099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115</v>
      </c>
      <c r="B226" s="193">
        <f>'Données projet'!D209</f>
        <v>21.153846153846153</v>
      </c>
      <c r="C226" s="204">
        <v>45</v>
      </c>
      <c r="D226" s="191">
        <f t="shared" si="12"/>
        <v>951.92307692307691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130</v>
      </c>
      <c r="B227" s="193">
        <f>'Données projet'!D210</f>
        <v>265.38461538461536</v>
      </c>
      <c r="C227" s="204">
        <v>50</v>
      </c>
      <c r="D227" s="191">
        <f t="shared" si="12"/>
        <v>13269.230769230768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Chêne chevelu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20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25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30</v>
      </c>
      <c r="B242" s="193">
        <f>'Données projet'!D220</f>
        <v>17.307692307692307</v>
      </c>
      <c r="C242" s="204">
        <v>10</v>
      </c>
      <c r="D242" s="191">
        <f t="shared" si="13"/>
        <v>173.07692307692307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35</v>
      </c>
      <c r="B243" s="193">
        <f>'Données projet'!D221</f>
        <v>0</v>
      </c>
      <c r="C243" s="204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40</v>
      </c>
      <c r="B244" s="193">
        <f>'Données projet'!D222</f>
        <v>17.307692307692307</v>
      </c>
      <c r="C244" s="204">
        <v>10</v>
      </c>
      <c r="D244" s="191">
        <f t="shared" si="13"/>
        <v>173.07692307692307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45</v>
      </c>
      <c r="B245" s="193">
        <f>'Données projet'!D223</f>
        <v>0</v>
      </c>
      <c r="C245" s="204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50</v>
      </c>
      <c r="B246" s="193">
        <f>'Données projet'!D224</f>
        <v>18.589743589743588</v>
      </c>
      <c r="C246" s="204">
        <v>10</v>
      </c>
      <c r="D246" s="191">
        <f t="shared" si="13"/>
        <v>185.89743589743588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55</v>
      </c>
      <c r="B247" s="193">
        <f>'Données projet'!D225</f>
        <v>0</v>
      </c>
      <c r="C247" s="204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60</v>
      </c>
      <c r="B248" s="193">
        <f>'Données projet'!D226</f>
        <v>19.23076923076923</v>
      </c>
      <c r="C248" s="204">
        <v>15</v>
      </c>
      <c r="D248" s="191">
        <f t="shared" si="13"/>
        <v>288.46153846153845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65</v>
      </c>
      <c r="B249" s="193">
        <f>'Données projet'!D227</f>
        <v>0</v>
      </c>
      <c r="C249" s="204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70</v>
      </c>
      <c r="B250" s="193">
        <f>'Données projet'!D228</f>
        <v>18.589743589743588</v>
      </c>
      <c r="C250" s="204">
        <v>20</v>
      </c>
      <c r="D250" s="191">
        <f t="shared" si="13"/>
        <v>371.79487179487177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75</v>
      </c>
      <c r="B251" s="193">
        <f>'Données projet'!D229</f>
        <v>0</v>
      </c>
      <c r="C251" s="204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80</v>
      </c>
      <c r="B252" s="193">
        <f>'Données projet'!D230</f>
        <v>17.948717948717949</v>
      </c>
      <c r="C252" s="204">
        <v>25</v>
      </c>
      <c r="D252" s="191">
        <f t="shared" si="13"/>
        <v>448.71794871794873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85</v>
      </c>
      <c r="B253" s="193">
        <f>'Données projet'!D231</f>
        <v>0</v>
      </c>
      <c r="C253" s="204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90</v>
      </c>
      <c r="B254" s="193">
        <f>'Données projet'!D232</f>
        <v>16.666666666666668</v>
      </c>
      <c r="C254" s="204">
        <v>30</v>
      </c>
      <c r="D254" s="191">
        <f t="shared" si="13"/>
        <v>500.00000000000006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95</v>
      </c>
      <c r="B255" s="193">
        <f>'Données projet'!D233</f>
        <v>0</v>
      </c>
      <c r="C255" s="204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100</v>
      </c>
      <c r="B256" s="193">
        <f>'Données projet'!D234</f>
        <v>16.025641025641026</v>
      </c>
      <c r="C256" s="204">
        <v>40</v>
      </c>
      <c r="D256" s="191">
        <f t="shared" si="13"/>
        <v>641.02564102564099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115</v>
      </c>
      <c r="B257" s="193">
        <f>'Données projet'!D235</f>
        <v>21.153846153846153</v>
      </c>
      <c r="C257" s="204">
        <v>45</v>
      </c>
      <c r="D257" s="191">
        <f t="shared" si="13"/>
        <v>951.92307692307691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130</v>
      </c>
      <c r="B258" s="193">
        <f>'Données projet'!D236</f>
        <v>265.38461538461536</v>
      </c>
      <c r="C258" s="204">
        <v>50</v>
      </c>
      <c r="D258" s="191">
        <f t="shared" si="13"/>
        <v>13269.230769230768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>Erable champêtre</v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20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25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30</v>
      </c>
      <c r="B273" s="193">
        <f>'Données projet'!D246</f>
        <v>31</v>
      </c>
      <c r="C273" s="206">
        <v>10</v>
      </c>
      <c r="D273" s="191">
        <f t="shared" si="14"/>
        <v>310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35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40</v>
      </c>
      <c r="B275" s="193">
        <f>'Données projet'!D248</f>
        <v>28</v>
      </c>
      <c r="C275" s="206">
        <v>15</v>
      </c>
      <c r="D275" s="191">
        <f t="shared" si="14"/>
        <v>420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45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50</v>
      </c>
      <c r="B277" s="193">
        <f>'Données projet'!D250</f>
        <v>25</v>
      </c>
      <c r="C277" s="206">
        <v>20</v>
      </c>
      <c r="D277" s="191">
        <f t="shared" si="14"/>
        <v>500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55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60</v>
      </c>
      <c r="B279" s="193">
        <f>'Données projet'!D252</f>
        <v>16</v>
      </c>
      <c r="C279" s="206">
        <v>25</v>
      </c>
      <c r="D279" s="191">
        <f t="shared" si="14"/>
        <v>400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65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70</v>
      </c>
      <c r="B281" s="193">
        <f>'Données projet'!D254</f>
        <v>11</v>
      </c>
      <c r="C281" s="206">
        <v>30</v>
      </c>
      <c r="D281" s="191">
        <f t="shared" si="14"/>
        <v>330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75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80</v>
      </c>
      <c r="B283" s="193">
        <f>'Données projet'!D256</f>
        <v>164</v>
      </c>
      <c r="C283" s="206">
        <v>40</v>
      </c>
      <c r="D283" s="191">
        <f t="shared" si="14"/>
        <v>6560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2024-08-07T14:07:54Z</dcterms:modified>
</cp:coreProperties>
</file>