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oulven Kersante\Downloads\"/>
    </mc:Choice>
  </mc:AlternateContent>
  <xr:revisionPtr revIDLastSave="0" documentId="13_ncr:1_{6094DD80-432C-408D-98FC-BC880BDA74A3}" xr6:coauthVersionLast="47" xr6:coauthVersionMax="47" xr10:uidLastSave="{00000000-0000-0000-0000-000000000000}"/>
  <bookViews>
    <workbookView xWindow="-110" yWindow="-110" windowWidth="19420" windowHeight="1042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FQ4" i="2"/>
  <c r="BR4" i="2"/>
  <c r="FR4" i="2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FR5" i="2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B7" i="2"/>
  <c r="EW7" i="2"/>
  <c r="EV7" i="2"/>
  <c r="HI7" i="2"/>
  <c r="EA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B10" i="2"/>
  <c r="HG10" i="2"/>
  <c r="FS10" i="2"/>
  <c r="EA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C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FS18" i="2"/>
  <c r="EA18" i="2"/>
  <c r="HG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EC20" i="2"/>
  <c r="FS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W21" i="2"/>
  <c r="EB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C22" i="2"/>
  <c r="HH22" i="2"/>
  <c r="EW22" i="2"/>
  <c r="HG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G24" i="2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FS28" i="2"/>
  <c r="EC28" i="2"/>
  <c r="HI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B33" i="2"/>
  <c r="EW33" i="2"/>
  <c r="HG33" i="2"/>
  <c r="HH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HH35" i="2"/>
  <c r="FQ35" i="2"/>
  <c r="EB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X38" i="2"/>
  <c r="EA38" i="2"/>
  <c r="HH38" i="2"/>
  <c r="HG38" i="2"/>
  <c r="FS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HG43" i="2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HH44" i="2"/>
  <c r="HG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W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C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HG57" i="2"/>
  <c r="EB57" i="2"/>
  <c r="HI57" i="2"/>
  <c r="FS57" i="2"/>
  <c r="EV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HH59" i="2"/>
  <c r="EB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H60" i="2"/>
  <c r="HG60" i="2"/>
  <c r="HI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C63" i="2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H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W70" i="2"/>
  <c r="HI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FS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HH75" i="2"/>
  <c r="HG75" i="2"/>
  <c r="FS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HI85" i="2"/>
  <c r="EW85" i="2"/>
  <c r="HG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B87" i="2"/>
  <c r="HG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B95" i="2"/>
  <c r="HG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FS98" i="2"/>
  <c r="HI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FS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HG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FQ112" i="2"/>
  <c r="HI112" i="2"/>
  <c r="EX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W113" i="2"/>
  <c r="EC113" i="2"/>
  <c r="FS113" i="2"/>
  <c r="EB113" i="2"/>
  <c r="HG113" i="2"/>
  <c r="EX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G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HG116" i="2"/>
  <c r="EC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FQ118" i="2"/>
  <c r="FS118" i="2"/>
  <c r="HH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HI120" i="2"/>
  <c r="EX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A121" i="2"/>
  <c r="FR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HI122" i="2"/>
  <c r="FS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FS124" i="2" l="1"/>
  <c r="EX124" i="2"/>
  <c r="HH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HI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HG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HH130" i="2"/>
  <c r="FS130" i="2"/>
  <c r="HG130" i="2"/>
  <c r="HI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B139" i="2"/>
  <c r="EW139" i="2"/>
  <c r="HH139" i="2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S140" i="2" l="1"/>
  <c r="EB140" i="2"/>
  <c r="FR140" i="2"/>
  <c r="HH140" i="2"/>
  <c r="EC140" i="2"/>
  <c r="HG140" i="2"/>
  <c r="EX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HG141" i="2"/>
  <c r="HH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HH144" i="2"/>
  <c r="HG144" i="2"/>
  <c r="EA144" i="2"/>
  <c r="EX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G145" i="2"/>
  <c r="HH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EA146" i="2"/>
  <c r="HH146" i="2"/>
  <c r="HG146" i="2"/>
  <c r="HI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I150" i="2"/>
  <c r="HH150" i="2"/>
  <c r="HG150" i="2"/>
  <c r="EV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AB154" i="2"/>
  <c r="EB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EY154" i="2" s="1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D154" i="2" l="1"/>
  <c r="DI154" i="2"/>
  <c r="EA155" i="2"/>
  <c r="EW155" i="2"/>
  <c r="HH155" i="2"/>
  <c r="HG155" i="2"/>
  <c r="AC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D155" i="2" l="1"/>
  <c r="EB156" i="2"/>
  <c r="DH156" i="2"/>
  <c r="HH156" i="2"/>
  <c r="HG156" i="2"/>
  <c r="EX156" i="2"/>
  <c r="AB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HG157" i="2"/>
  <c r="EX157" i="2"/>
  <c r="HH157" i="2"/>
  <c r="CN156" i="2"/>
  <c r="EB157" i="2"/>
  <c r="EA157" i="2"/>
  <c r="ED157" i="2" s="1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C158" i="2" l="1"/>
  <c r="HG158" i="2"/>
  <c r="HH158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HI159" i="2"/>
  <c r="EC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HG160" i="2"/>
  <c r="HH160" i="2"/>
  <c r="HI160" i="2"/>
  <c r="EY159" i="2"/>
  <c r="FS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AB161" i="2"/>
  <c r="HG161" i="2"/>
  <c r="FS161" i="2"/>
  <c r="EB161" i="2"/>
  <c r="EA161" i="2"/>
  <c r="HH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 l="1"/>
  <c r="EW162" i="2"/>
  <c r="EB162" i="2"/>
  <c r="EC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Y162" i="2" l="1"/>
  <c r="ED162" i="2"/>
  <c r="HH163" i="2"/>
  <c r="EV163" i="2"/>
  <c r="EB163" i="2"/>
  <c r="HG163" i="2"/>
  <c r="HI163" i="2"/>
  <c r="EA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/>
  <c r="FR164" i="2" l="1"/>
  <c r="DI163" i="2"/>
  <c r="ED163" i="2"/>
  <c r="HG164" i="2"/>
  <c r="EV164" i="2"/>
  <c r="EA164" i="2"/>
  <c r="FS164" i="2"/>
  <c r="EX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HH165" i="2"/>
  <c r="HG165" i="2"/>
  <c r="EA165" i="2"/>
  <c r="ED165" i="2" s="1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CN165" i="2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J166" i="2" l="1"/>
  <c r="EX167" i="2"/>
  <c r="FR167" i="2"/>
  <c r="HH167" i="2"/>
  <c r="EA167" i="2"/>
  <c r="EB167" i="2"/>
  <c r="HI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V168" i="2"/>
  <c r="HH168" i="2"/>
  <c r="DI167" i="2"/>
  <c r="EC168" i="2"/>
  <c r="EW168" i="2"/>
  <c r="HI168" i="2"/>
  <c r="EB168" i="2"/>
  <c r="FS168" i="2"/>
  <c r="EX168" i="2"/>
  <c r="EY168" i="2" s="1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FS169" i="2"/>
  <c r="EA169" i="2"/>
  <c r="EX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EA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D171" i="2" l="1"/>
  <c r="EY171" i="2"/>
  <c r="EV172" i="2"/>
  <c r="EW172" i="2"/>
  <c r="HG172" i="2"/>
  <c r="HI172" i="2"/>
  <c r="EA172" i="2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D172" i="2" l="1"/>
  <c r="EB173" i="2"/>
  <c r="EW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Y173" i="2" l="1"/>
  <c r="HH174" i="2"/>
  <c r="HG174" i="2"/>
  <c r="EC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W175" i="2"/>
  <c r="EB175" i="2"/>
  <c r="HI175" i="2"/>
  <c r="EA175" i="2"/>
  <c r="FS175" i="2"/>
  <c r="EX175" i="2"/>
  <c r="EY175" i="2" s="1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B176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FS177" i="2"/>
  <c r="HH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HH178" i="2"/>
  <c r="EB178" i="2"/>
  <c r="HG178" i="2"/>
  <c r="FS178" i="2"/>
  <c r="EA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 l="1"/>
  <c r="DF179" i="2"/>
  <c r="EB179" i="2"/>
  <c r="HI179" i="2"/>
  <c r="EV179" i="2"/>
  <c r="EA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Y179" i="2" l="1"/>
  <c r="ED179" i="2"/>
  <c r="HI180" i="2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HG181" i="2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X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 l="1"/>
  <c r="EY182" i="2"/>
  <c r="FS183" i="2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HI184" i="2"/>
  <c r="FS184" i="2"/>
  <c r="EX184" i="2"/>
  <c r="EC184" i="2"/>
  <c r="AW184" i="2"/>
  <c r="EB184" i="2"/>
  <c r="EV184" i="2"/>
  <c r="EY184" i="2" s="1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W185" i="2" l="1"/>
  <c r="HH185" i="2"/>
  <c r="HG185" i="2"/>
  <c r="HI185" i="2"/>
  <c r="EB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D185" i="2"/>
  <c r="FR186" i="2"/>
  <c r="EA186" i="2"/>
  <c r="HG186" i="2"/>
  <c r="HH186" i="2"/>
  <c r="EW186" i="2"/>
  <c r="EB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C187" i="2" l="1"/>
  <c r="HG187" i="2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H188" i="2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Y188" i="2" l="1"/>
  <c r="EB189" i="2"/>
  <c r="AA189" i="2"/>
  <c r="EV189" i="2"/>
  <c r="HH189" i="2"/>
  <c r="EC189" i="2"/>
  <c r="FS189" i="2"/>
  <c r="HI189" i="2"/>
  <c r="EX189" i="2"/>
  <c r="EA189" i="2"/>
  <c r="ED189" i="2" s="1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Y189" i="2" l="1"/>
  <c r="HH190" i="2"/>
  <c r="EV190" i="2"/>
  <c r="EW190" i="2"/>
  <c r="HG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HG191" i="2"/>
  <c r="HH191" i="2"/>
  <c r="EW191" i="2"/>
  <c r="EY191" i="2" s="1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HH192" i="2" l="1"/>
  <c r="HG192" i="2"/>
  <c r="EA192" i="2"/>
  <c r="EW192" i="2"/>
  <c r="EC192" i="2"/>
  <c r="HI192" i="2"/>
  <c r="EV192" i="2"/>
  <c r="EY192" i="2" s="1"/>
  <c r="EB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FQ193" i="2" l="1"/>
  <c r="ED192" i="2"/>
  <c r="HI193" i="2"/>
  <c r="DI192" i="2"/>
  <c r="EB193" i="2"/>
  <c r="EA193" i="2"/>
  <c r="ED193" i="2" s="1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A194" i="2" l="1"/>
  <c r="EB194" i="2"/>
  <c r="HG194" i="2"/>
  <c r="FQ194" i="2"/>
  <c r="HI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ED194" i="2" l="1"/>
  <c r="FQ195" i="2"/>
  <c r="AA195" i="2"/>
  <c r="EB195" i="2"/>
  <c r="HI195" i="2"/>
  <c r="EA195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Y195" i="2" l="1"/>
  <c r="HG196" i="2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HG197" i="2" l="1"/>
  <c r="EY196" i="2"/>
  <c r="EC197" i="2"/>
  <c r="EW197" i="2"/>
  <c r="EA197" i="2"/>
  <c r="FS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HI198" i="2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 l="1"/>
  <c r="EV199" i="2"/>
  <c r="EW199" i="2"/>
  <c r="HG199" i="2"/>
  <c r="EB199" i="2"/>
  <c r="EA199" i="2"/>
  <c r="HH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DI200" i="2"/>
  <c r="HG201" i="2" l="1"/>
  <c r="ED200" i="2"/>
  <c r="FS201" i="2"/>
  <c r="HH201" i="2"/>
  <c r="EA201" i="2"/>
  <c r="EB201" i="2"/>
  <c r="HI201" i="2"/>
  <c r="EX201" i="2"/>
  <c r="AI5" i="2"/>
  <c r="EW201" i="2"/>
  <c r="EC201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W202" i="2" l="1"/>
  <c r="HG202" i="2"/>
  <c r="FR202" i="2"/>
  <c r="HH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22" i="2" a="1"/>
  <c r="FY22" i="2" s="1"/>
  <c r="FY35" i="2" a="1"/>
  <c r="FY35" i="2" s="1"/>
  <c r="FY18" i="2" a="1"/>
  <c r="FY18" i="2" s="1"/>
  <c r="FY69" i="2" a="1"/>
  <c r="FY69" i="2" s="1"/>
  <c r="FY191" i="2" a="1"/>
  <c r="FY191" i="2" s="1"/>
  <c r="FY186" i="2" a="1"/>
  <c r="FY186" i="2" s="1"/>
  <c r="FY92" i="2" a="1"/>
  <c r="FY92" i="2" s="1"/>
  <c r="FY78" i="2" a="1"/>
  <c r="FY78" i="2" s="1"/>
  <c r="FY55" i="2" a="1"/>
  <c r="FY55" i="2" s="1"/>
  <c r="FY62" i="2" a="1"/>
  <c r="FY62" i="2" s="1"/>
  <c r="FY149" i="2" a="1"/>
  <c r="FY149" i="2" s="1"/>
  <c r="FY164" i="2" a="1"/>
  <c r="FY164" i="2" s="1"/>
  <c r="FY172" i="2" a="1"/>
  <c r="FY172" i="2" s="1"/>
  <c r="FD21" i="2" a="1"/>
  <c r="FD21" i="2" s="1"/>
  <c r="FD144" i="2" a="1"/>
  <c r="FD144" i="2" s="1"/>
  <c r="DN56" i="2" a="1"/>
  <c r="DN56" i="2" s="1"/>
  <c r="GT115" i="2" a="1"/>
  <c r="GT115" i="2" s="1"/>
  <c r="GT184" i="2" a="1"/>
  <c r="GT184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9" i="2" a="1"/>
  <c r="AH1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115" i="2" a="1"/>
  <c r="FY115" i="2" s="1"/>
  <c r="FY182" i="2" a="1"/>
  <c r="FY182" i="2" s="1"/>
  <c r="FY42" i="2" a="1"/>
  <c r="FY42" i="2" s="1"/>
  <c r="FY30" i="2" a="1"/>
  <c r="FY30" i="2" s="1"/>
  <c r="FY167" i="2" a="1"/>
  <c r="FY167" i="2" s="1"/>
  <c r="FY121" i="2" a="1"/>
  <c r="FY121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55" i="2" a="1"/>
  <c r="BC55" i="2" s="1"/>
  <c r="BC32" i="2" a="1"/>
  <c r="BC32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EY202" i="2"/>
  <c r="AX200" i="2"/>
  <c r="HJ202" i="2" l="1"/>
  <c r="GT181" i="2" a="1"/>
  <c r="GT181" i="2" s="1"/>
  <c r="FD60" i="2" a="1"/>
  <c r="FD60" i="2" s="1"/>
  <c r="FD59" i="2" a="1"/>
  <c r="FD59" i="2" s="1"/>
  <c r="FY142" i="2" a="1"/>
  <c r="FY142" i="2" s="1"/>
  <c r="FY196" i="2" a="1"/>
  <c r="FY196" i="2" s="1"/>
  <c r="FY86" i="2" a="1"/>
  <c r="FY86" i="2" s="1"/>
  <c r="FY104" i="2" a="1"/>
  <c r="FY104" i="2" s="1"/>
  <c r="FY24" i="2" a="1"/>
  <c r="FY24" i="2" s="1"/>
  <c r="FY190" i="2" a="1"/>
  <c r="FY190" i="2" s="1"/>
  <c r="FY126" i="2" a="1"/>
  <c r="FY126" i="2" s="1"/>
  <c r="FY174" i="2" a="1"/>
  <c r="FY174" i="2" s="1"/>
  <c r="FY111" i="2" a="1"/>
  <c r="FY111" i="2" s="1"/>
  <c r="FY173" i="2" a="1"/>
  <c r="FY173" i="2" s="1"/>
  <c r="FY110" i="2" a="1"/>
  <c r="FY110" i="2" s="1"/>
  <c r="FY66" i="2" a="1"/>
  <c r="FY66" i="2" s="1"/>
  <c r="FY133" i="2" a="1"/>
  <c r="FY133" i="2" s="1"/>
  <c r="FY165" i="2" a="1"/>
  <c r="FY165" i="2" s="1"/>
  <c r="FY90" i="2" a="1"/>
  <c r="FY90" i="2" s="1"/>
  <c r="FY109" i="2" a="1"/>
  <c r="FY109" i="2" s="1"/>
  <c r="FY80" i="2" a="1"/>
  <c r="FY80" i="2" s="1"/>
  <c r="FY82" i="2" a="1"/>
  <c r="FY82" i="2" s="1"/>
  <c r="FY58" i="2" a="1"/>
  <c r="FY58" i="2" s="1"/>
  <c r="FY34" i="2" a="1"/>
  <c r="FY34" i="2" s="1"/>
  <c r="FY124" i="2" a="1"/>
  <c r="FY124" i="2" s="1"/>
  <c r="FY72" i="2" a="1"/>
  <c r="FY72" i="2" s="1"/>
  <c r="FY188" i="2" a="1"/>
  <c r="FY188" i="2" s="1"/>
  <c r="FY99" i="2" a="1"/>
  <c r="FY99" i="2" s="1"/>
  <c r="FY73" i="2" a="1"/>
  <c r="FY73" i="2" s="1"/>
  <c r="FY159" i="2" a="1"/>
  <c r="FY159" i="2" s="1"/>
  <c r="FY153" i="2" a="1"/>
  <c r="FY153" i="2" s="1"/>
  <c r="FY120" i="2" a="1"/>
  <c r="FY120" i="2" s="1"/>
  <c r="FY140" i="2" a="1"/>
  <c r="FY140" i="2" s="1"/>
  <c r="FY146" i="2" a="1"/>
  <c r="FY146" i="2" s="1"/>
  <c r="FY57" i="2" a="1"/>
  <c r="FY57" i="2" s="1"/>
  <c r="FY79" i="2" a="1"/>
  <c r="FY79" i="2" s="1"/>
  <c r="FY169" i="2" a="1"/>
  <c r="FY169" i="2" s="1"/>
  <c r="FY178" i="2" a="1"/>
  <c r="FY178" i="2" s="1"/>
  <c r="FY28" i="2" a="1"/>
  <c r="FY28" i="2" s="1"/>
  <c r="FY116" i="2" a="1"/>
  <c r="FY116" i="2" s="1"/>
  <c r="FY152" i="2" a="1"/>
  <c r="FY152" i="2" s="1"/>
  <c r="FY143" i="2" a="1"/>
  <c r="FY143" i="2" s="1"/>
  <c r="FY102" i="2" a="1"/>
  <c r="FY102" i="2" s="1"/>
  <c r="FY71" i="2" a="1"/>
  <c r="FY71" i="2" s="1"/>
  <c r="FY29" i="2" a="1"/>
  <c r="FY29" i="2" s="1"/>
  <c r="FY32" i="2" a="1"/>
  <c r="FY32" i="2" s="1"/>
  <c r="FY54" i="2" a="1"/>
  <c r="FY54" i="2" s="1"/>
  <c r="FY47" i="2" a="1"/>
  <c r="FY47" i="2" s="1"/>
  <c r="FR203" i="2"/>
  <c r="BX107" i="2" a="1"/>
  <c r="BX107" i="2" s="1"/>
  <c r="HG203" i="2"/>
  <c r="BP203" i="2"/>
  <c r="BC130" i="2" a="1"/>
  <c r="BC130" i="2" s="1"/>
  <c r="BC192" i="2" a="1"/>
  <c r="BC192" i="2" s="1"/>
  <c r="BC38" i="2" a="1"/>
  <c r="BC38" i="2" s="1"/>
  <c r="BC18" i="2" a="1"/>
  <c r="BC18" i="2" s="1"/>
  <c r="BC83" i="2" a="1"/>
  <c r="BC83" i="2" s="1"/>
  <c r="BC151" i="2" a="1"/>
  <c r="BC151" i="2" s="1"/>
  <c r="BC143" i="2" a="1"/>
  <c r="BC143" i="2" s="1"/>
  <c r="BC31" i="2" a="1"/>
  <c r="BC31" i="2" s="1"/>
  <c r="BC84" i="2" a="1"/>
  <c r="BC84" i="2" s="1"/>
  <c r="BC47" i="2" a="1"/>
  <c r="BC47" i="2" s="1"/>
  <c r="BC164" i="2" a="1"/>
  <c r="BC164" i="2" s="1"/>
  <c r="AH166" i="2" a="1"/>
  <c r="AH166" i="2" s="1"/>
  <c r="AH92" i="2" a="1"/>
  <c r="AH92" i="2" s="1"/>
  <c r="BC117" i="2" a="1"/>
  <c r="BC117" i="2" s="1"/>
  <c r="BC181" i="2" a="1"/>
  <c r="BC181" i="2" s="1"/>
  <c r="BC65" i="2" a="1"/>
  <c r="BC65" i="2" s="1"/>
  <c r="BC114" i="2" a="1"/>
  <c r="BC114" i="2" s="1"/>
  <c r="BC126" i="2" a="1"/>
  <c r="BC126" i="2" s="1"/>
  <c r="BC82" i="2" a="1"/>
  <c r="BC82" i="2" s="1"/>
  <c r="BC68" i="2" a="1"/>
  <c r="BC68" i="2" s="1"/>
  <c r="BC58" i="2" a="1"/>
  <c r="BC58" i="2" s="1"/>
  <c r="BC34" i="2" a="1"/>
  <c r="BC34" i="2" s="1"/>
  <c r="BC7" i="2" a="1"/>
  <c r="BC7" i="2" s="1"/>
  <c r="BD7" i="2" s="1"/>
  <c r="BC185" i="2" a="1"/>
  <c r="BC185" i="2" s="1"/>
  <c r="AH199" i="2" a="1"/>
  <c r="AH199" i="2" s="1"/>
  <c r="AH90" i="2" a="1"/>
  <c r="AH90" i="2" s="1"/>
  <c r="AH151" i="2" a="1"/>
  <c r="AH151" i="2" s="1"/>
  <c r="FS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9" i="2" l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CN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GZ52" i="2" l="1"/>
  <c r="GZ31" i="2"/>
  <c r="GZ108" i="2"/>
  <c r="GZ161" i="2"/>
  <c r="GZ13" i="2"/>
  <c r="GZ25" i="2"/>
  <c r="GZ78" i="2"/>
  <c r="GZ117" i="2"/>
  <c r="GZ62" i="2"/>
  <c r="GZ179" i="2"/>
  <c r="GZ182" i="2"/>
  <c r="GZ44" i="2"/>
  <c r="GZ56" i="2"/>
  <c r="GZ166" i="2"/>
  <c r="GZ93" i="2"/>
  <c r="GZ152" i="2"/>
  <c r="GZ6" i="2"/>
  <c r="GZ83" i="2"/>
  <c r="GZ190" i="2"/>
  <c r="GZ144" i="2"/>
  <c r="GZ55" i="2"/>
  <c r="GZ122" i="2"/>
  <c r="GZ175" i="2"/>
  <c r="GZ37" i="2"/>
  <c r="GZ106" i="2"/>
  <c r="GZ24" i="2"/>
  <c r="GZ102" i="2"/>
  <c r="GZ59" i="2"/>
  <c r="GZ23" i="2"/>
  <c r="GZ141" i="2"/>
  <c r="GZ67" i="2"/>
  <c r="GZ118" i="2"/>
  <c r="GZ137" i="2"/>
  <c r="GZ133" i="2"/>
  <c r="GZ192" i="2"/>
  <c r="GZ111" i="2"/>
  <c r="GZ172" i="2"/>
  <c r="GZ42" i="2"/>
  <c r="GZ165" i="2"/>
  <c r="GZ162" i="2"/>
  <c r="GZ103" i="2"/>
  <c r="GZ164" i="2"/>
  <c r="GZ89" i="2"/>
  <c r="GZ142" i="2"/>
  <c r="GZ4" i="2"/>
  <c r="GZ73" i="2"/>
  <c r="GZ138" i="2"/>
  <c r="GZ134" i="2"/>
  <c r="GZ53" i="2"/>
  <c r="GZ120" i="2"/>
  <c r="GZ173" i="2"/>
  <c r="GZ75" i="2"/>
  <c r="GZ160" i="2"/>
  <c r="GZ81" i="2"/>
  <c r="GZ77" i="2"/>
  <c r="GZ61" i="2"/>
  <c r="GZ149" i="2"/>
  <c r="GZ47" i="2"/>
  <c r="GZ126" i="2"/>
  <c r="GZ203" i="2"/>
  <c r="GZ104" i="2"/>
  <c r="GZ169" i="2"/>
  <c r="GZ21" i="2"/>
  <c r="GZ35" i="2"/>
  <c r="GZ9" i="2"/>
  <c r="GZ181" i="2"/>
  <c r="GZ127" i="2"/>
  <c r="GZ171" i="2"/>
  <c r="GZ148" i="2"/>
  <c r="GZ109" i="2"/>
  <c r="GZ178" i="2"/>
  <c r="GZ40" i="2"/>
  <c r="GZ170" i="2"/>
  <c r="GZ18" i="2"/>
  <c r="GZ71" i="2"/>
  <c r="GZ147" i="2"/>
  <c r="GZ197" i="2"/>
  <c r="GZ19" i="2"/>
  <c r="GZ128" i="2"/>
  <c r="GZ107" i="2"/>
  <c r="GZ49" i="2"/>
  <c r="GZ45" i="2"/>
  <c r="GZ113" i="2"/>
  <c r="GZ114" i="2"/>
  <c r="GZ33" i="2"/>
  <c r="GZ86" i="2"/>
  <c r="GZ153" i="2"/>
  <c r="GZ7" i="2"/>
  <c r="GZ68" i="2"/>
  <c r="GZ116" i="2"/>
  <c r="GZ145" i="2"/>
  <c r="GZ64" i="2"/>
  <c r="GZ150" i="2"/>
  <c r="GZ184" i="2"/>
  <c r="GZ38" i="2"/>
  <c r="GZ155" i="2"/>
  <c r="GZ105" i="2"/>
  <c r="GZ85" i="2"/>
  <c r="GZ34" i="2"/>
  <c r="GZ87" i="2"/>
  <c r="GZ154" i="2"/>
  <c r="GZ16" i="2"/>
  <c r="GZ69" i="2"/>
  <c r="GZ201" i="2"/>
  <c r="GZ163" i="2"/>
  <c r="GZ65" i="2"/>
  <c r="GZ183" i="2"/>
  <c r="GZ185" i="2"/>
  <c r="GZ39" i="2"/>
  <c r="GZ100" i="2"/>
  <c r="GZ92" i="2"/>
  <c r="GZ159" i="2"/>
  <c r="GZ143" i="2"/>
  <c r="GZ5" i="2"/>
  <c r="GZ74" i="2"/>
  <c r="GZ90" i="2"/>
  <c r="GZ135" i="2"/>
  <c r="GZ54" i="2"/>
  <c r="GZ121" i="2"/>
  <c r="GZ174" i="2"/>
  <c r="GZ36" i="2"/>
  <c r="GZ112" i="2"/>
  <c r="GZ14" i="2"/>
  <c r="GZ26" i="2"/>
  <c r="GZ79" i="2"/>
  <c r="GZ193" i="2"/>
  <c r="GZ63" i="2"/>
  <c r="GZ124" i="2"/>
  <c r="GZ202" i="2"/>
  <c r="GZ8" i="2"/>
  <c r="GZ57" i="2"/>
  <c r="GZ167" i="2"/>
  <c r="GZ158" i="2"/>
  <c r="GZ29" i="2"/>
  <c r="GZ98" i="2"/>
  <c r="GZ151" i="2"/>
  <c r="GZ131" i="2"/>
  <c r="GZ80" i="2"/>
  <c r="GZ76" i="2"/>
  <c r="GZ84" i="2"/>
  <c r="GZ60" i="2"/>
  <c r="GZ129" i="2"/>
  <c r="GZ180" i="2"/>
  <c r="GZ50" i="2"/>
  <c r="GZ46" i="2"/>
  <c r="GZ51" i="2"/>
  <c r="GZ28" i="2"/>
  <c r="GZ30" i="2"/>
  <c r="GZ91" i="2"/>
  <c r="GZ12" i="2"/>
  <c r="GZ191" i="2"/>
  <c r="GZ130" i="2"/>
  <c r="GZ139" i="2"/>
  <c r="GZ189" i="2"/>
  <c r="GZ96" i="2"/>
  <c r="GZ187" i="2"/>
  <c r="GZ17" i="2"/>
  <c r="GZ70" i="2"/>
  <c r="GZ82" i="2"/>
  <c r="GZ196" i="2"/>
  <c r="GZ66" i="2"/>
  <c r="GZ119" i="2"/>
  <c r="GZ186" i="2"/>
  <c r="GZ48" i="2"/>
  <c r="GZ101" i="2"/>
  <c r="GZ157" i="2"/>
  <c r="GZ22" i="2"/>
  <c r="GZ140" i="2"/>
  <c r="GZ10" i="2"/>
  <c r="GZ200" i="2"/>
  <c r="GZ136" i="2"/>
  <c r="GZ132" i="2"/>
  <c r="GZ115" i="2"/>
  <c r="GZ110" i="2"/>
  <c r="GZ99" i="2"/>
  <c r="GZ41" i="2"/>
  <c r="GZ97" i="2"/>
  <c r="GZ94" i="2"/>
  <c r="GZ43" i="2"/>
  <c r="GZ15" i="2"/>
  <c r="GZ195" i="2"/>
  <c r="GZ88" i="2"/>
  <c r="GZ198" i="2"/>
  <c r="GZ72" i="2"/>
  <c r="GZ125" i="2"/>
  <c r="GZ194" i="2"/>
  <c r="GZ188" i="2"/>
  <c r="GZ58" i="2"/>
  <c r="GZ176" i="2"/>
  <c r="GZ11" i="2"/>
  <c r="GZ32" i="2"/>
  <c r="GZ95" i="2"/>
  <c r="GZ156" i="2"/>
  <c r="GZ168" i="2"/>
  <c r="GZ20" i="2"/>
  <c r="GZ146" i="2"/>
  <c r="GZ199" i="2"/>
  <c r="GZ27" i="2"/>
  <c r="GZ123" i="2"/>
  <c r="GZ177" i="2"/>
  <c r="GZ3" i="2"/>
  <c r="C15" i="4" s="1"/>
  <c r="E15" i="4" s="1"/>
  <c r="F15" i="4" s="1"/>
  <c r="G15" i="4" s="1"/>
  <c r="L15" i="4" s="1"/>
  <c r="FE74" i="2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FJ184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J7" i="2" l="1"/>
  <c r="FJ27" i="2"/>
  <c r="FJ19" i="2"/>
  <c r="FJ65" i="2"/>
  <c r="FJ67" i="2"/>
  <c r="FJ123" i="2"/>
  <c r="FJ16" i="2"/>
  <c r="FJ166" i="2"/>
  <c r="FJ25" i="2"/>
  <c r="FJ49" i="2"/>
  <c r="FJ148" i="2"/>
  <c r="FJ59" i="2"/>
  <c r="FJ178" i="2"/>
  <c r="FJ172" i="2"/>
  <c r="FJ106" i="2"/>
  <c r="FJ124" i="2"/>
  <c r="FJ32" i="2"/>
  <c r="FJ145" i="2"/>
  <c r="FJ5" i="2"/>
  <c r="FJ114" i="2"/>
  <c r="FJ97" i="2"/>
  <c r="FJ181" i="2"/>
  <c r="FJ48" i="2"/>
  <c r="FJ137" i="2"/>
  <c r="FJ136" i="2"/>
  <c r="FJ122" i="2"/>
  <c r="FJ201" i="2"/>
  <c r="FJ149" i="2"/>
  <c r="FJ151" i="2"/>
  <c r="FJ109" i="2"/>
  <c r="FJ147" i="2"/>
  <c r="FJ66" i="2"/>
  <c r="FJ95" i="2"/>
  <c r="FJ79" i="2"/>
  <c r="FJ33" i="2"/>
  <c r="FJ158" i="2"/>
  <c r="FJ83" i="2"/>
  <c r="FJ17" i="2"/>
  <c r="FJ69" i="2"/>
  <c r="FJ76" i="2"/>
  <c r="FJ64" i="2"/>
  <c r="FJ89" i="2"/>
  <c r="FJ94" i="2"/>
  <c r="FJ132" i="2"/>
  <c r="FJ4" i="2"/>
  <c r="FJ197" i="2"/>
  <c r="FJ135" i="2"/>
  <c r="FJ185" i="2"/>
  <c r="FJ107" i="2"/>
  <c r="FJ101" i="2"/>
  <c r="FJ98" i="2"/>
  <c r="FJ103" i="2"/>
  <c r="FJ86" i="2"/>
  <c r="FJ55" i="2"/>
  <c r="FJ26" i="2"/>
  <c r="FJ115" i="2"/>
  <c r="FJ195" i="2"/>
  <c r="FJ139" i="2"/>
  <c r="FJ171" i="2"/>
  <c r="FJ194" i="2"/>
  <c r="FJ127" i="2"/>
  <c r="FJ31" i="2"/>
  <c r="FJ6" i="2"/>
  <c r="FJ63" i="2"/>
  <c r="FJ176" i="2"/>
  <c r="FJ189" i="2"/>
  <c r="FJ191" i="2"/>
  <c r="FJ40" i="2"/>
  <c r="FJ177" i="2"/>
  <c r="FJ196" i="2"/>
  <c r="FJ74" i="2"/>
  <c r="FJ45" i="2"/>
  <c r="FJ164" i="2"/>
  <c r="FJ155" i="2"/>
  <c r="FJ92" i="2"/>
  <c r="FJ202" i="2"/>
  <c r="FJ144" i="2"/>
  <c r="FJ131" i="2"/>
  <c r="FJ198" i="2"/>
  <c r="FJ61" i="2"/>
  <c r="FJ72" i="2"/>
  <c r="FJ160" i="2"/>
  <c r="FJ77" i="2"/>
  <c r="FJ87" i="2"/>
  <c r="FJ173" i="2"/>
  <c r="FJ53" i="2"/>
  <c r="FJ161" i="2"/>
  <c r="FJ146" i="2"/>
  <c r="FJ143" i="2"/>
  <c r="FJ192" i="2"/>
  <c r="FJ30" i="2"/>
  <c r="FJ46" i="2"/>
  <c r="FJ162" i="2"/>
  <c r="FJ91" i="2"/>
  <c r="FJ54" i="2"/>
  <c r="FJ57" i="2"/>
  <c r="FJ133" i="2"/>
  <c r="FJ104" i="2"/>
  <c r="FJ175" i="2"/>
  <c r="FJ14" i="2"/>
  <c r="FJ24" i="2"/>
  <c r="FJ43" i="2"/>
  <c r="FJ10" i="2"/>
  <c r="FJ187" i="2"/>
  <c r="FJ119" i="2"/>
  <c r="FJ21" i="2"/>
  <c r="FJ180" i="2"/>
  <c r="FJ56" i="2"/>
  <c r="FJ15" i="2"/>
  <c r="FJ167" i="2"/>
  <c r="FJ140" i="2"/>
  <c r="FJ11" i="2"/>
  <c r="FJ112" i="2"/>
  <c r="FJ39" i="2"/>
  <c r="FJ165" i="2"/>
  <c r="FJ93" i="2"/>
  <c r="FJ186" i="2"/>
  <c r="FJ200" i="2"/>
  <c r="FJ35" i="2"/>
  <c r="FJ193" i="2"/>
  <c r="FJ58" i="2"/>
  <c r="FJ154" i="2"/>
  <c r="FJ82" i="2"/>
  <c r="FJ88" i="2"/>
  <c r="FJ3" i="2"/>
  <c r="C13" i="4" s="1"/>
  <c r="E13" i="4" s="1"/>
  <c r="F13" i="4" s="1"/>
  <c r="G13" i="4" s="1"/>
  <c r="L13" i="4" s="1"/>
  <c r="FJ20" i="2"/>
  <c r="FJ71" i="2"/>
  <c r="FJ34" i="2"/>
  <c r="FJ8" i="2"/>
  <c r="FJ142" i="2"/>
  <c r="FJ96" i="2"/>
  <c r="FJ153" i="2"/>
  <c r="FJ134" i="2"/>
  <c r="FJ62" i="2"/>
  <c r="FJ12" i="2"/>
  <c r="FJ68" i="2"/>
  <c r="FJ183" i="2"/>
  <c r="FJ170" i="2"/>
  <c r="FJ174" i="2"/>
  <c r="FJ156" i="2"/>
  <c r="FJ44" i="2"/>
  <c r="FJ168" i="2"/>
  <c r="FJ159" i="2"/>
  <c r="FJ152" i="2"/>
  <c r="FJ128" i="2"/>
  <c r="FJ120" i="2"/>
  <c r="FJ108" i="2"/>
  <c r="FJ99" i="2"/>
  <c r="FJ111" i="2"/>
  <c r="FJ38" i="2"/>
  <c r="FJ125" i="2"/>
  <c r="FJ78" i="2"/>
  <c r="FJ163" i="2"/>
  <c r="FJ113" i="2"/>
  <c r="FJ190" i="2"/>
  <c r="FJ73" i="2"/>
  <c r="FJ60" i="2"/>
  <c r="FJ47" i="2"/>
  <c r="FJ42" i="2"/>
  <c r="FJ51" i="2"/>
  <c r="FJ84" i="2"/>
  <c r="FJ110" i="2"/>
  <c r="FJ80" i="2"/>
  <c r="FJ157" i="2"/>
  <c r="FJ90" i="2"/>
  <c r="FJ182" i="2"/>
  <c r="FJ37" i="2"/>
  <c r="FJ141" i="2"/>
  <c r="FJ150" i="2"/>
  <c r="FJ70" i="2"/>
  <c r="FJ36" i="2"/>
  <c r="FJ85" i="2"/>
  <c r="FJ199" i="2"/>
  <c r="FJ41" i="2"/>
  <c r="FJ28" i="2"/>
  <c r="FJ81" i="2"/>
  <c r="FJ13" i="2"/>
  <c r="FJ118" i="2"/>
  <c r="FJ130" i="2"/>
  <c r="FJ129" i="2"/>
  <c r="FJ105" i="2"/>
  <c r="FJ100" i="2"/>
  <c r="FJ117" i="2"/>
  <c r="FJ126" i="2"/>
  <c r="FJ50" i="2"/>
  <c r="FJ23" i="2"/>
  <c r="FJ121" i="2"/>
  <c r="FJ102" i="2"/>
  <c r="FJ169" i="2"/>
  <c r="FJ203" i="2"/>
  <c r="FJ138" i="2"/>
  <c r="FJ179" i="2"/>
  <c r="FJ18" i="2"/>
  <c r="FJ75" i="2"/>
  <c r="FJ9" i="2"/>
  <c r="FJ29" i="2"/>
  <c r="FJ52" i="2"/>
  <c r="FJ188" i="2"/>
  <c r="FJ116" i="2"/>
  <c r="FJ22" i="2"/>
  <c r="FE85" i="2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CD60" i="2" l="1"/>
  <c r="CD122" i="2"/>
  <c r="CD156" i="2"/>
  <c r="CD95" i="2"/>
  <c r="CD166" i="2"/>
  <c r="CD146" i="2"/>
  <c r="CD68" i="2"/>
  <c r="CD182" i="2"/>
  <c r="CD151" i="2"/>
  <c r="CD96" i="2"/>
  <c r="CD115" i="2"/>
  <c r="CD77" i="2"/>
  <c r="CD101" i="2"/>
  <c r="CD183" i="2"/>
  <c r="CD47" i="2"/>
  <c r="CD7" i="2"/>
  <c r="CD168" i="2"/>
  <c r="CD86" i="2"/>
  <c r="CD172" i="2"/>
  <c r="CD14" i="2"/>
  <c r="CD150" i="2"/>
  <c r="CD51" i="2"/>
  <c r="CD66" i="2"/>
  <c r="CD179" i="2"/>
  <c r="CD25" i="2"/>
  <c r="CD112" i="2"/>
  <c r="CD202" i="2"/>
  <c r="CD184" i="2"/>
  <c r="CD110" i="2"/>
  <c r="CD188" i="2"/>
  <c r="CD126" i="2"/>
  <c r="CD161" i="2"/>
  <c r="CD154" i="2"/>
  <c r="CD75" i="2"/>
  <c r="CD33" i="2"/>
  <c r="CD70" i="2"/>
  <c r="CD79" i="2"/>
  <c r="CD119" i="2"/>
  <c r="CD64" i="2"/>
  <c r="CD67" i="2"/>
  <c r="CD194" i="2"/>
  <c r="CD132" i="2"/>
  <c r="CD93" i="2"/>
  <c r="CD20" i="2"/>
  <c r="CD16" i="2"/>
  <c r="CD170" i="2"/>
  <c r="CD12" i="2"/>
  <c r="CD19" i="2"/>
  <c r="CD152" i="2"/>
  <c r="CD37" i="2"/>
  <c r="CD35" i="2"/>
  <c r="CD88" i="2"/>
  <c r="CD174" i="2"/>
  <c r="CD26" i="2"/>
  <c r="CD45" i="2"/>
  <c r="CD180" i="2"/>
  <c r="CD55" i="2"/>
  <c r="CD54" i="2"/>
  <c r="CD189" i="2"/>
  <c r="CD50" i="2"/>
  <c r="CD23" i="2"/>
  <c r="CD105" i="2"/>
  <c r="CD131" i="2"/>
  <c r="CD106" i="2"/>
  <c r="CD42" i="2"/>
  <c r="CD98" i="2"/>
  <c r="CD142" i="2"/>
  <c r="CD91" i="2"/>
  <c r="CD125" i="2"/>
  <c r="CD144" i="2"/>
  <c r="CD69" i="2"/>
  <c r="CD24" i="2"/>
  <c r="CD52" i="2"/>
  <c r="CD65" i="2"/>
  <c r="CD71" i="2"/>
  <c r="CD145" i="2"/>
  <c r="CD44" i="2"/>
  <c r="CD27" i="2"/>
  <c r="CD63" i="2"/>
  <c r="CD163" i="2"/>
  <c r="CD128" i="2"/>
  <c r="CD30" i="2"/>
  <c r="CD56" i="2"/>
  <c r="CD81" i="2"/>
  <c r="CD10" i="2"/>
  <c r="CD153" i="2"/>
  <c r="CD185" i="2"/>
  <c r="CD46" i="2"/>
  <c r="CD13" i="2"/>
  <c r="CD100" i="2"/>
  <c r="CD186" i="2"/>
  <c r="CD197" i="2"/>
  <c r="CD190" i="2"/>
  <c r="CD195" i="2"/>
  <c r="CD196" i="2"/>
  <c r="CD21" i="2"/>
  <c r="CD87" i="2"/>
  <c r="CD109" i="2"/>
  <c r="CD171" i="2"/>
  <c r="CD203" i="2"/>
  <c r="CD201" i="2"/>
  <c r="CD57" i="2"/>
  <c r="CD140" i="2"/>
  <c r="CD155" i="2"/>
  <c r="CD137" i="2"/>
  <c r="CD159" i="2"/>
  <c r="CD141" i="2"/>
  <c r="CD162" i="2"/>
  <c r="CD135" i="2"/>
  <c r="CD127" i="2"/>
  <c r="CD5" i="2"/>
  <c r="CD102" i="2"/>
  <c r="CD176" i="2"/>
  <c r="CD82" i="2"/>
  <c r="CD121" i="2"/>
  <c r="CD177" i="2"/>
  <c r="CD80" i="2"/>
  <c r="CD157" i="2"/>
  <c r="CD48" i="2"/>
  <c r="CD4" i="2"/>
  <c r="CD107" i="2"/>
  <c r="CD187" i="2"/>
  <c r="CD84" i="2"/>
  <c r="CD104" i="2"/>
  <c r="CD39" i="2"/>
  <c r="CD58" i="2"/>
  <c r="CD169" i="2"/>
  <c r="CD28" i="2"/>
  <c r="CD133" i="2"/>
  <c r="CD17" i="2"/>
  <c r="CD199" i="2"/>
  <c r="CD22" i="2"/>
  <c r="CD108" i="2"/>
  <c r="CD32" i="2"/>
  <c r="CD62" i="2"/>
  <c r="CD99" i="2"/>
  <c r="CD73" i="2"/>
  <c r="CD34" i="2"/>
  <c r="CD192" i="2"/>
  <c r="CD43" i="2"/>
  <c r="CD76" i="2"/>
  <c r="CD120" i="2"/>
  <c r="CD143" i="2"/>
  <c r="CD164" i="2"/>
  <c r="CD114" i="2"/>
  <c r="CD85" i="2"/>
  <c r="CD78" i="2"/>
  <c r="CD200" i="2"/>
  <c r="CD193" i="2"/>
  <c r="CD97" i="2"/>
  <c r="CD11" i="2"/>
  <c r="CD8" i="2"/>
  <c r="CD111" i="2"/>
  <c r="CD123" i="2"/>
  <c r="CD83" i="2"/>
  <c r="CD31" i="2"/>
  <c r="CD117" i="2"/>
  <c r="CD41" i="2"/>
  <c r="CD181" i="2"/>
  <c r="CD147" i="2"/>
  <c r="CD89" i="2"/>
  <c r="CD165" i="2"/>
  <c r="CD6" i="2"/>
  <c r="CD149" i="2"/>
  <c r="CD173" i="2"/>
  <c r="CD129" i="2"/>
  <c r="CD130" i="2"/>
  <c r="CD175" i="2"/>
  <c r="CD103" i="2"/>
  <c r="CD138" i="2"/>
  <c r="CD38" i="2"/>
  <c r="CD15" i="2"/>
  <c r="CD61" i="2"/>
  <c r="CD92" i="2"/>
  <c r="CD18" i="2"/>
  <c r="CD36" i="2"/>
  <c r="CD94" i="2"/>
  <c r="CD139" i="2"/>
  <c r="CD167" i="2"/>
  <c r="CD3" i="2"/>
  <c r="C9" i="4" s="1"/>
  <c r="E9" i="4" s="1"/>
  <c r="F9" i="4" s="1"/>
  <c r="G9" i="4" s="1"/>
  <c r="L9" i="4" s="1"/>
  <c r="CD178" i="2"/>
  <c r="CD90" i="2"/>
  <c r="CD59" i="2"/>
  <c r="CD72" i="2"/>
  <c r="CD118" i="2"/>
  <c r="CD74" i="2"/>
  <c r="CD124" i="2"/>
  <c r="CD116" i="2"/>
  <c r="CD191" i="2"/>
  <c r="CD113" i="2"/>
  <c r="CD29" i="2"/>
  <c r="CD134" i="2"/>
  <c r="CD158" i="2"/>
  <c r="CD198" i="2"/>
  <c r="CD40" i="2"/>
  <c r="CD148" i="2"/>
  <c r="CD160" i="2"/>
  <c r="CD136" i="2"/>
  <c r="CD9" i="2"/>
  <c r="CD49" i="2"/>
  <c r="CD53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GE11" i="2" l="1"/>
  <c r="GE88" i="2"/>
  <c r="GE109" i="2"/>
  <c r="GE122" i="2"/>
  <c r="GE139" i="2"/>
  <c r="GE120" i="2"/>
  <c r="GE47" i="2"/>
  <c r="GE105" i="2"/>
  <c r="GE16" i="2"/>
  <c r="GE54" i="2"/>
  <c r="GE43" i="2"/>
  <c r="GE46" i="2"/>
  <c r="GE124" i="2"/>
  <c r="GE162" i="2"/>
  <c r="GE175" i="2"/>
  <c r="GE110" i="2"/>
  <c r="GE102" i="2"/>
  <c r="GE147" i="2"/>
  <c r="GE52" i="2"/>
  <c r="GE136" i="2"/>
  <c r="GE186" i="2"/>
  <c r="GE12" i="2"/>
  <c r="GE113" i="2"/>
  <c r="GE118" i="2"/>
  <c r="GE184" i="2"/>
  <c r="GE50" i="2"/>
  <c r="GE161" i="2"/>
  <c r="GE182" i="2"/>
  <c r="GE35" i="2"/>
  <c r="GE68" i="2"/>
  <c r="GE160" i="2"/>
  <c r="GE63" i="2"/>
  <c r="GE32" i="2"/>
  <c r="GE200" i="2"/>
  <c r="GE144" i="2"/>
  <c r="GE27" i="2"/>
  <c r="GE178" i="2"/>
  <c r="GE126" i="2"/>
  <c r="GE62" i="2"/>
  <c r="GE90" i="2"/>
  <c r="GE159" i="2"/>
  <c r="GE167" i="2"/>
  <c r="GE103" i="2"/>
  <c r="GE3" i="2"/>
  <c r="C14" i="4" s="1"/>
  <c r="E14" i="4" s="1"/>
  <c r="F14" i="4" s="1"/>
  <c r="G14" i="4" s="1"/>
  <c r="L14" i="4" s="1"/>
  <c r="GE166" i="2"/>
  <c r="GE145" i="2"/>
  <c r="GE112" i="2"/>
  <c r="GE137" i="2"/>
  <c r="GE42" i="2"/>
  <c r="GE183" i="2"/>
  <c r="GE87" i="2"/>
  <c r="GE196" i="2"/>
  <c r="GE64" i="2"/>
  <c r="GE153" i="2"/>
  <c r="GE9" i="2"/>
  <c r="GE85" i="2"/>
  <c r="GE121" i="2"/>
  <c r="GE66" i="2"/>
  <c r="GE179" i="2"/>
  <c r="GE19" i="2"/>
  <c r="GE125" i="2"/>
  <c r="GE130" i="2"/>
  <c r="GE86" i="2"/>
  <c r="GE26" i="2"/>
  <c r="GE127" i="2"/>
  <c r="GE194" i="2"/>
  <c r="GE169" i="2"/>
  <c r="GE185" i="2"/>
  <c r="GE148" i="2"/>
  <c r="GE17" i="2"/>
  <c r="GE58" i="2"/>
  <c r="GE133" i="2"/>
  <c r="GE119" i="2"/>
  <c r="GE104" i="2"/>
  <c r="GE56" i="2"/>
  <c r="GE129" i="2"/>
  <c r="GE150" i="2"/>
  <c r="GE164" i="2"/>
  <c r="GE51" i="2"/>
  <c r="GE76" i="2"/>
  <c r="GE111" i="2"/>
  <c r="GE156" i="2"/>
  <c r="GE4" i="2"/>
  <c r="GE20" i="2"/>
  <c r="GE158" i="2"/>
  <c r="GE57" i="2"/>
  <c r="GE55" i="2"/>
  <c r="GE117" i="2"/>
  <c r="GE106" i="2"/>
  <c r="GE131" i="2"/>
  <c r="GE155" i="2"/>
  <c r="GE198" i="2"/>
  <c r="GE165" i="2"/>
  <c r="GE108" i="2"/>
  <c r="GE22" i="2"/>
  <c r="GE191" i="2"/>
  <c r="GE152" i="2"/>
  <c r="GE48" i="2"/>
  <c r="GE172" i="2"/>
  <c r="GE138" i="2"/>
  <c r="GE80" i="2"/>
  <c r="GE33" i="2"/>
  <c r="GE77" i="2"/>
  <c r="GE31" i="2"/>
  <c r="GE93" i="2"/>
  <c r="GE157" i="2"/>
  <c r="GE71" i="2"/>
  <c r="GE24" i="2"/>
  <c r="GE149" i="2"/>
  <c r="GE97" i="2"/>
  <c r="GE135" i="2"/>
  <c r="GE99" i="2"/>
  <c r="GE151" i="2"/>
  <c r="GE188" i="2"/>
  <c r="GE21" i="2"/>
  <c r="GE168" i="2"/>
  <c r="GE7" i="2"/>
  <c r="GE192" i="2"/>
  <c r="GE173" i="2"/>
  <c r="GE142" i="2"/>
  <c r="GE195" i="2"/>
  <c r="GE180" i="2"/>
  <c r="GE73" i="2"/>
  <c r="GE100" i="2"/>
  <c r="GE29" i="2"/>
  <c r="GE203" i="2"/>
  <c r="GE59" i="2"/>
  <c r="GE84" i="2"/>
  <c r="GE53" i="2"/>
  <c r="GE38" i="2"/>
  <c r="GE95" i="2"/>
  <c r="GE40" i="2"/>
  <c r="GE65" i="2"/>
  <c r="GE202" i="2"/>
  <c r="GE82" i="2"/>
  <c r="GE123" i="2"/>
  <c r="GE10" i="2"/>
  <c r="GE116" i="2"/>
  <c r="GE197" i="2"/>
  <c r="GE101" i="2"/>
  <c r="GE60" i="2"/>
  <c r="GE190" i="2"/>
  <c r="GE114" i="2"/>
  <c r="GE170" i="2"/>
  <c r="GE30" i="2"/>
  <c r="GE45" i="2"/>
  <c r="GE98" i="2"/>
  <c r="GE41" i="2"/>
  <c r="GE36" i="2"/>
  <c r="GE34" i="2"/>
  <c r="GE28" i="2"/>
  <c r="GE70" i="2"/>
  <c r="GE18" i="2"/>
  <c r="GE44" i="2"/>
  <c r="GE154" i="2"/>
  <c r="GE176" i="2"/>
  <c r="GE181" i="2"/>
  <c r="GE39" i="2"/>
  <c r="GE141" i="2"/>
  <c r="GE140" i="2"/>
  <c r="GE25" i="2"/>
  <c r="GE132" i="2"/>
  <c r="GE193" i="2"/>
  <c r="GE92" i="2"/>
  <c r="GE5" i="2"/>
  <c r="GE6" i="2"/>
  <c r="GE107" i="2"/>
  <c r="GE199" i="2"/>
  <c r="GE75" i="2"/>
  <c r="GE115" i="2"/>
  <c r="GE74" i="2"/>
  <c r="GE171" i="2"/>
  <c r="GE163" i="2"/>
  <c r="GE134" i="2"/>
  <c r="GE89" i="2"/>
  <c r="GE13" i="2"/>
  <c r="GE96" i="2"/>
  <c r="GE37" i="2"/>
  <c r="GE67" i="2"/>
  <c r="GE91" i="2"/>
  <c r="GE15" i="2"/>
  <c r="GE189" i="2"/>
  <c r="GE49" i="2"/>
  <c r="GE187" i="2"/>
  <c r="GE146" i="2"/>
  <c r="GE94" i="2"/>
  <c r="GE83" i="2"/>
  <c r="GE177" i="2"/>
  <c r="GE174" i="2"/>
  <c r="GE72" i="2"/>
  <c r="GE201" i="2"/>
  <c r="GE8" i="2"/>
  <c r="GE128" i="2"/>
  <c r="GE79" i="2"/>
  <c r="GE23" i="2"/>
  <c r="GE14" i="2"/>
  <c r="GE69" i="2"/>
  <c r="GE78" i="2"/>
  <c r="GE81" i="2"/>
  <c r="GE143" i="2"/>
  <c r="GE61" i="2"/>
  <c r="FE136" i="2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I47" i="2" l="1"/>
  <c r="BI25" i="2"/>
  <c r="BI190" i="2"/>
  <c r="BI171" i="2"/>
  <c r="BI43" i="2"/>
  <c r="BI46" i="2"/>
  <c r="BI79" i="2"/>
  <c r="BI192" i="2"/>
  <c r="BI151" i="2"/>
  <c r="BI53" i="2"/>
  <c r="BI78" i="2"/>
  <c r="BI38" i="2"/>
  <c r="BI20" i="2"/>
  <c r="BI82" i="2"/>
  <c r="BI177" i="2"/>
  <c r="BI99" i="2"/>
  <c r="BI19" i="2"/>
  <c r="BI164" i="2"/>
  <c r="BI153" i="2"/>
  <c r="BI141" i="2"/>
  <c r="BI160" i="2"/>
  <c r="BI54" i="2"/>
  <c r="BI112" i="2"/>
  <c r="BI110" i="2"/>
  <c r="BI132" i="2"/>
  <c r="BI159" i="2"/>
  <c r="BI37" i="2"/>
  <c r="BI35" i="2"/>
  <c r="BI111" i="2"/>
  <c r="BI9" i="2"/>
  <c r="BI75" i="2"/>
  <c r="BI5" i="2"/>
  <c r="BI191" i="2"/>
  <c r="BI170" i="2"/>
  <c r="BI152" i="2"/>
  <c r="BI162" i="2"/>
  <c r="BI39" i="2"/>
  <c r="BI139" i="2"/>
  <c r="BI154" i="2"/>
  <c r="BI83" i="2"/>
  <c r="BI40" i="2"/>
  <c r="BI122" i="2"/>
  <c r="BI59" i="2"/>
  <c r="BI178" i="2"/>
  <c r="BI26" i="2"/>
  <c r="BI52" i="2"/>
  <c r="BI57" i="2"/>
  <c r="BI73" i="2"/>
  <c r="BI156" i="2"/>
  <c r="BI147" i="2"/>
  <c r="BI16" i="2"/>
  <c r="BI100" i="2"/>
  <c r="BI109" i="2"/>
  <c r="BI62" i="2"/>
  <c r="BI103" i="2"/>
  <c r="BI13" i="2"/>
  <c r="BI44" i="2"/>
  <c r="BI113" i="2"/>
  <c r="BI143" i="2"/>
  <c r="BI50" i="2"/>
  <c r="BI183" i="2"/>
  <c r="BI60" i="2"/>
  <c r="BI184" i="2"/>
  <c r="BI71" i="2"/>
  <c r="BI155" i="2"/>
  <c r="BI193" i="2"/>
  <c r="BI15" i="2"/>
  <c r="BI168" i="2"/>
  <c r="BI55" i="2"/>
  <c r="BI27" i="2"/>
  <c r="BI94" i="2"/>
  <c r="BI128" i="2"/>
  <c r="BI125" i="2"/>
  <c r="BI91" i="2"/>
  <c r="BI48" i="2"/>
  <c r="BI23" i="2"/>
  <c r="BI180" i="2"/>
  <c r="BI102" i="2"/>
  <c r="BI10" i="2"/>
  <c r="BI129" i="2"/>
  <c r="BI45" i="2"/>
  <c r="BI136" i="2"/>
  <c r="BI49" i="2"/>
  <c r="BI93" i="2"/>
  <c r="BI117" i="2"/>
  <c r="BI116" i="2"/>
  <c r="BI97" i="2"/>
  <c r="BI133" i="2"/>
  <c r="BI12" i="2"/>
  <c r="BI202" i="2"/>
  <c r="BI176" i="2"/>
  <c r="BI96" i="2"/>
  <c r="BI201" i="2"/>
  <c r="BI149" i="2"/>
  <c r="BI114" i="2"/>
  <c r="BI22" i="2"/>
  <c r="BI137" i="2"/>
  <c r="BI169" i="2"/>
  <c r="BI84" i="2"/>
  <c r="BI198" i="2"/>
  <c r="BI66" i="2"/>
  <c r="BI92" i="2"/>
  <c r="BI182" i="2"/>
  <c r="BI138" i="2"/>
  <c r="BI199" i="2"/>
  <c r="BI166" i="2"/>
  <c r="BI172" i="2"/>
  <c r="BI119" i="2"/>
  <c r="BI64" i="2"/>
  <c r="BI163" i="2"/>
  <c r="BI140" i="2"/>
  <c r="BI68" i="2"/>
  <c r="BI115" i="2"/>
  <c r="BI186" i="2"/>
  <c r="BI142" i="2"/>
  <c r="BI107" i="2"/>
  <c r="BI58" i="2"/>
  <c r="BI24" i="2"/>
  <c r="BI3" i="2"/>
  <c r="C8" i="4" s="1"/>
  <c r="E8" i="4" s="1"/>
  <c r="F8" i="4" s="1"/>
  <c r="G8" i="4" s="1"/>
  <c r="L8" i="4" s="1"/>
  <c r="BI181" i="2"/>
  <c r="BI189" i="2"/>
  <c r="BI14" i="2"/>
  <c r="BI95" i="2"/>
  <c r="BI88" i="2"/>
  <c r="BI120" i="2"/>
  <c r="BI6" i="2"/>
  <c r="BI61" i="2"/>
  <c r="BI8" i="2"/>
  <c r="BI173" i="2"/>
  <c r="BI87" i="2"/>
  <c r="BI80" i="2"/>
  <c r="BI167" i="2"/>
  <c r="BI106" i="2"/>
  <c r="BI81" i="2"/>
  <c r="BI144" i="2"/>
  <c r="BI69" i="2"/>
  <c r="BI29" i="2"/>
  <c r="BI196" i="2"/>
  <c r="BI65" i="2"/>
  <c r="BI41" i="2"/>
  <c r="BI90" i="2"/>
  <c r="BI158" i="2"/>
  <c r="BI130" i="2"/>
  <c r="BI77" i="2"/>
  <c r="BI18" i="2"/>
  <c r="BI126" i="2"/>
  <c r="BI118" i="2"/>
  <c r="BI195" i="2"/>
  <c r="BI32" i="2"/>
  <c r="BI89" i="2"/>
  <c r="BI36" i="2"/>
  <c r="BI146" i="2"/>
  <c r="BI7" i="2"/>
  <c r="BI148" i="2"/>
  <c r="BI145" i="2"/>
  <c r="BI185" i="2"/>
  <c r="BI104" i="2"/>
  <c r="BI165" i="2"/>
  <c r="BI174" i="2"/>
  <c r="BI131" i="2"/>
  <c r="BI56" i="2"/>
  <c r="BI76" i="2"/>
  <c r="BI101" i="2"/>
  <c r="BI51" i="2"/>
  <c r="BI42" i="2"/>
  <c r="BI28" i="2"/>
  <c r="BI187" i="2"/>
  <c r="BI11" i="2"/>
  <c r="BI121" i="2"/>
  <c r="BI34" i="2"/>
  <c r="BI150" i="2"/>
  <c r="BI127" i="2"/>
  <c r="BI200" i="2"/>
  <c r="BI123" i="2"/>
  <c r="BI63" i="2"/>
  <c r="BI108" i="2"/>
  <c r="BI31" i="2"/>
  <c r="BI30" i="2"/>
  <c r="BI74" i="2"/>
  <c r="BI98" i="2"/>
  <c r="BI72" i="2"/>
  <c r="BI194" i="2"/>
  <c r="BI86" i="2"/>
  <c r="BI4" i="2"/>
  <c r="BI135" i="2"/>
  <c r="BI70" i="2"/>
  <c r="BI179" i="2"/>
  <c r="BI33" i="2"/>
  <c r="BI134" i="2"/>
  <c r="BI157" i="2"/>
  <c r="BI175" i="2"/>
  <c r="BI203" i="2"/>
  <c r="BI124" i="2"/>
  <c r="BI197" i="2"/>
  <c r="BI21" i="2"/>
  <c r="BI85" i="2"/>
  <c r="BI17" i="2"/>
  <c r="BI161" i="2"/>
  <c r="BI188" i="2"/>
  <c r="BI105" i="2"/>
  <c r="BI67" i="2"/>
  <c r="BF119" i="2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<sst xmlns="http://schemas.openxmlformats.org/spreadsheetml/2006/main" count="1181" uniqueCount="326">
  <si>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</si>
  <si>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</si>
  <si>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</si>
  <si>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</si>
  <si>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</si>
  <si>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</si>
  <si>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</si>
  <si>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</si>
  <si>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</si>
  <si>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</si>
  <si>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</si>
  <si>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</si>
  <si>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</si>
  <si>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</si>
  <si>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</si>
  <si>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</si>
  <si>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</si>
  <si>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</si>
  <si>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</si>
  <si>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</si>
  <si>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</si>
  <si>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</si>
  <si>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</si>
  <si>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</si>
  <si>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</si>
  <si>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</si>
  <si>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</si>
  <si>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</si>
  <si>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</si>
  <si>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</si>
  <si>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</si>
  <si>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</si>
  <si>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</si>
  <si>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</si>
  <si>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</si>
  <si>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</si>
  <si>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</si>
  <si>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</si>
  <si>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</si>
  <si>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</si>
  <si>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</si>
  <si>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</si>
  <si>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</si>
  <si>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</si>
  <si>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</si>
  <si>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</si>
  <si>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</si>
  <si>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</si>
  <si>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</si>
  <si>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</si>
  <si>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</si>
  <si>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</si>
  <si>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</si>
  <si>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</si>
  <si>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</si>
  <si>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</si>
  <si>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</si>
  <si>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</si>
  <si>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</si>
  <si>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</si>
  <si>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</si>
  <si>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</si>
  <si>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</si>
  <si>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</si>
  <si>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</si>
  <si>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</si>
  <si>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</si>
  <si>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</si>
  <si>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</si>
  <si>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</si>
  <si>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</si>
  <si>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</si>
  <si>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</si>
  <si>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</si>
  <si>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</si>
  <si>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</si>
  <si>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</si>
  <si>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</si>
  <si>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</si>
  <si>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</si>
  <si>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</si>
  <si>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</si>
  <si>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</si>
  <si>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</si>
  <si>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</si>
  <si>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</si>
  <si>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</si>
  <si>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</si>
  <si>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</si>
  <si>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</si>
  <si>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</si>
  <si>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</si>
  <si>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</si>
  <si>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</si>
  <si>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</si>
  <si>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</si>
  <si>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</si>
  <si>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</si>
  <si>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</si>
  <si>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</si>
  <si>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</si>
  <si>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</si>
  <si>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</si>
  <si>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</si>
  <si>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</si>
  <si>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</si>
  <si>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</si>
  <si>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</si>
  <si>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</si>
  <si>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</si>
  <si>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</si>
  <si>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</si>
  <si>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</si>
  <si>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</si>
  <si>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</si>
  <si>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</si>
  <si>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</si>
  <si>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</si>
  <si>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</si>
  <si>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</si>
  <si>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</si>
  <si>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</si>
  <si>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</si>
  <si>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</si>
  <si>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</si>
  <si>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</si>
  <si>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</si>
  <si>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</si>
  <si>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</si>
  <si>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</si>
  <si>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</si>
  <si>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</si>
  <si>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</si>
  <si>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</si>
  <si>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</si>
  <si>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</si>
  <si>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</si>
  <si>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</si>
  <si>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</si>
  <si>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</si>
  <si>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</si>
  <si>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</si>
  <si>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</si>
  <si>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</si>
  <si>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</si>
  <si>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</si>
  <si>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</si>
  <si>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</si>
  <si>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</si>
  <si>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</si>
  <si>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</si>
  <si>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</si>
  <si>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</si>
  <si>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</si>
  <si>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</si>
  <si>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</si>
  <si>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</si>
  <si>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</si>
  <si>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</si>
  <si>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</si>
  <si>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</si>
  <si>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</si>
  <si>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</si>
  <si>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</si>
  <si>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</si>
  <si>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</si>
  <si>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</si>
  <si>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</si>
  <si>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</si>
  <si>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</si>
  <si>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</si>
  <si>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</si>
  <si>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</si>
  <si>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</si>
  <si>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</si>
  <si>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</si>
  <si>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</si>
  <si>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</si>
  <si>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</si>
  <si>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</si>
  <si>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</si>
  <si>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</si>
  <si>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</si>
  <si>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</si>
  <si>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</si>
  <si>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</si>
  <si>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</si>
  <si>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</si>
  <si>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</si>
  <si>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</si>
  <si>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</si>
  <si>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</si>
  <si>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</si>
  <si>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</si>
  <si>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</si>
  <si>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</si>
  <si>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</si>
  <si>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</si>
  <si>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</si>
  <si>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</si>
  <si>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</si>
  <si>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</si>
  <si>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</si>
  <si>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</si>
  <si>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</si>
  <si>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</si>
  <si>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</si>
  <si>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</si>
  <si>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</si>
  <si>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</si>
  <si>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</si>
  <si>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</si>
  <si>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</si>
  <si>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</si>
  <si>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</si>
  <si>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</si>
  <si>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</si>
  <si>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</si>
  <si>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</si>
  <si>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</si>
  <si>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</si>
  <si>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</si>
  <si>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</si>
  <si>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</si>
  <si>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</si>
  <si>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</si>
  <si>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</si>
  <si>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</si>
  <si>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</si>
  <si>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</si>
  <si>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</si>
  <si>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</si>
  <si>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</si>
  <si>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</si>
  <si>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</si>
  <si>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</si>
  <si>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</si>
  <si>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</si>
  <si>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</si>
  <si>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</si>
  <si>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</si>
  <si>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</si>
  <si>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</si>
  <si>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</si>
  <si>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</si>
  <si>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</si>
  <si>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</si>
  <si>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</si>
  <si>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</si>
  <si>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</si>
  <si>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</si>
  <si>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</si>
  <si>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</si>
  <si>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</si>
  <si>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</si>
  <si>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</si>
  <si>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</si>
  <si>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</si>
  <si>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</si>
  <si>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</si>
  <si>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</si>
  <si>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</si>
  <si>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</si>
  <si>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</si>
  <si>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</si>
  <si>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</si>
  <si>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</si>
  <si>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</si>
  <si>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</si>
  <si>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</si>
  <si>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</si>
  <si>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</si>
  <si>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</si>
  <si>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</si>
  <si>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</si>
  <si>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</si>
  <si>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</si>
  <si>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</si>
  <si>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</si>
  <si>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</si>
  <si>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</si>
  <si>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</si>
  <si>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</si>
  <si>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</si>
  <si>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</si>
  <si>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</si>
  <si>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</si>
  <si>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</si>
  <si>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</si>
  <si>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</si>
  <si>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</si>
  <si>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</si>
  <si>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</si>
  <si>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</si>
  <si>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</si>
  <si>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</si>
  <si>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</si>
  <si>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</si>
  <si>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</si>
  <si>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</si>
  <si>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</si>
  <si>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</si>
  <si>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</si>
  <si>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</si>
  <si>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</si>
  <si>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</si>
  <si>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</si>
  <si>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</si>
  <si>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</si>
  <si>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</si>
  <si>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</si>
  <si>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</si>
  <si>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</si>
  <si>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</si>
  <si>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</si>
  <si>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</si>
  <si>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</si>
  <si>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</si>
  <si>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</si>
  <si>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</si>
  <si>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</si>
  <si>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</si>
  <si>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</si>
  <si>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</si>
  <si>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érable sycomore + érable plane</t>
  </si>
  <si>
    <t>noyer commun + noisetier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</si>
</sst>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rgb="FFFF0000"/>
      <name val="Calibri"/>
    </font>
    <font>
      <b/>
      <sz val="11"/>
      <color rgb="FFFF0000"/>
      <name val="Calibri"/>
      <family val="2"/>
    </font>
    <font>
      <sz val="11"/>
      <color theme="1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FFFF99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32" fillId="21" borderId="54" xfId="0" applyNumberFormat="1" applyFont="1" applyFill="1" applyBorder="1" applyAlignment="1" applyProtection="1">
      <alignment horizontal="center"/>
      <protection locked="0"/>
    </xf>
    <xf numFmtId="0" fontId="32" fillId="21" borderId="54" xfId="0" applyFont="1" applyFill="1" applyBorder="1" applyAlignment="1" applyProtection="1">
      <alignment horizontal="center"/>
      <protection locked="0"/>
    </xf>
    <xf numFmtId="1" fontId="32" fillId="21" borderId="54" xfId="0" applyNumberFormat="1" applyFont="1" applyFill="1" applyBorder="1" applyAlignment="1" applyProtection="1">
      <alignment horizontal="center" vertical="center"/>
      <protection locked="0"/>
    </xf>
    <xf numFmtId="1" fontId="32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 wrapText="1"/>
      <protection locked="0"/>
    </xf>
    <xf numFmtId="9" fontId="33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/>
      <protection locked="0"/>
    </xf>
    <xf numFmtId="0" fontId="33" fillId="21" borderId="55" xfId="0" applyFont="1" applyFill="1" applyBorder="1" applyAlignment="1" applyProtection="1">
      <alignment horizontal="center"/>
      <protection locked="0"/>
    </xf>
    <xf numFmtId="0" fontId="34" fillId="21" borderId="54" xfId="0" applyFont="1" applyFill="1" applyBorder="1" applyAlignment="1" applyProtection="1">
      <alignment horizontal="center" vertical="center"/>
      <protection locked="0"/>
    </xf>
    <xf numFmtId="9" fontId="34" fillId="21" borderId="54" xfId="0" applyNumberFormat="1" applyFont="1" applyFill="1" applyBorder="1" applyAlignment="1" applyProtection="1">
      <alignment horizontal="center" vertical="center"/>
      <protection locked="0"/>
    </xf>
    <xf numFmtId="1" fontId="34" fillId="21" borderId="54" xfId="0" applyNumberFormat="1" applyFont="1" applyFill="1" applyBorder="1" applyAlignment="1" applyProtection="1">
      <alignment horizontal="center" vertical="center"/>
      <protection locked="0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2.6958578672637423</c:v>
                </c:pt>
                <c:pt idx="2">
                  <c:v>3.1456024429549463</c:v>
                </c:pt>
                <c:pt idx="3">
                  <c:v>3.670649654357323</c:v>
                </c:pt>
                <c:pt idx="4">
                  <c:v>4.2836508617976925</c:v>
                </c:pt>
                <c:pt idx="5">
                  <c:v>4.999389736468971</c:v>
                </c:pt>
                <c:pt idx="6">
                  <c:v>5.8351427158403695</c:v>
                </c:pt>
                <c:pt idx="7">
                  <c:v>6.8111005591399456</c:v>
                </c:pt>
                <c:pt idx="8">
                  <c:v>7.9508613859372161</c:v>
                </c:pt>
                <c:pt idx="9">
                  <c:v>9.2820073493501472</c:v>
                </c:pt>
                <c:pt idx="10">
                  <c:v>10.836779165748409</c:v>
                </c:pt>
                <c:pt idx="11">
                  <c:v>12.652865146640936</c:v>
                </c:pt>
                <c:pt idx="12">
                  <c:v>14.774324216181517</c:v>
                </c:pt>
                <c:pt idx="13">
                  <c:v>17.252665720219614</c:v>
                </c:pt>
                <c:pt idx="14">
                  <c:v>20.148112723022138</c:v>
                </c:pt>
                <c:pt idx="15">
                  <c:v>23.531080042869331</c:v>
                </c:pt>
                <c:pt idx="16">
                  <c:v>27.483903611522063</c:v>
                </c:pt>
                <c:pt idx="17">
                  <c:v>32.10286398842473</c:v>
                </c:pt>
                <c:pt idx="18">
                  <c:v>37.500554174678697</c:v>
                </c:pt>
                <c:pt idx="19">
                  <c:v>43.808650437329739</c:v>
                </c:pt>
                <c:pt idx="20">
                  <c:v>51.181154885798492</c:v>
                </c:pt>
                <c:pt idx="21">
                  <c:v>59.79819029058779</c:v>
                </c:pt>
                <c:pt idx="22">
                  <c:v>69.870441394099274</c:v>
                </c:pt>
                <c:pt idx="23">
                  <c:v>81.644353079392104</c:v>
                </c:pt>
                <c:pt idx="24">
                  <c:v>95.408214639163745</c:v>
                </c:pt>
                <c:pt idx="25">
                  <c:v>111.49928149768296</c:v>
                </c:pt>
                <c:pt idx="26">
                  <c:v>130.31211163776413</c:v>
                </c:pt>
                <c:pt idx="27">
                  <c:v>152.30832432339238</c:v>
                </c:pt>
                <c:pt idx="28">
                  <c:v>178.02802424828835</c:v>
                </c:pt>
                <c:pt idx="29">
                  <c:v>208.10317587450882</c:v>
                </c:pt>
                <c:pt idx="30">
                  <c:v>243.27326149959291</c:v>
                </c:pt>
                <c:pt idx="31">
                  <c:v>274.15159616012278</c:v>
                </c:pt>
                <c:pt idx="32">
                  <c:v>304.95175008027468</c:v>
                </c:pt>
                <c:pt idx="33">
                  <c:v>335.68272447411181</c:v>
                </c:pt>
                <c:pt idx="34">
                  <c:v>366.35173715058863</c:v>
                </c:pt>
                <c:pt idx="35">
                  <c:v>396.96469882146312</c:v>
                </c:pt>
                <c:pt idx="36">
                  <c:v>287.3602716796571</c:v>
                </c:pt>
                <c:pt idx="37">
                  <c:v>312.28499675107327</c:v>
                </c:pt>
                <c:pt idx="38">
                  <c:v>337.16559898912192</c:v>
                </c:pt>
                <c:pt idx="39">
                  <c:v>362.00578971990848</c:v>
                </c:pt>
                <c:pt idx="40">
                  <c:v>386.80872951220834</c:v>
                </c:pt>
                <c:pt idx="41">
                  <c:v>411.5771407175705</c:v>
                </c:pt>
                <c:pt idx="42">
                  <c:v>345.34910174995275</c:v>
                </c:pt>
                <c:pt idx="43">
                  <c:v>370.55926373756279</c:v>
                </c:pt>
                <c:pt idx="44">
                  <c:v>395.73202966467733</c:v>
                </c:pt>
                <c:pt idx="45">
                  <c:v>420.87011059114269</c:v>
                </c:pt>
                <c:pt idx="46">
                  <c:v>445.97586750283375</c:v>
                </c:pt>
                <c:pt idx="47">
                  <c:v>471.05137407996989</c:v>
                </c:pt>
                <c:pt idx="48">
                  <c:v>496.09846540196457</c:v>
                </c:pt>
                <c:pt idx="49">
                  <c:v>402.26313463210437</c:v>
                </c:pt>
                <c:pt idx="50">
                  <c:v>425.87619549343549</c:v>
                </c:pt>
                <c:pt idx="51">
                  <c:v>449.46110395093586</c:v>
                </c:pt>
                <c:pt idx="52">
                  <c:v>473.01954367137131</c:v>
                </c:pt>
                <c:pt idx="53">
                  <c:v>496.55301706749259</c:v>
                </c:pt>
                <c:pt idx="54">
                  <c:v>520.06287264987634</c:v>
                </c:pt>
                <c:pt idx="55">
                  <c:v>543.55032717690437</c:v>
                </c:pt>
                <c:pt idx="56">
                  <c:v>454.24481650463144</c:v>
                </c:pt>
                <c:pt idx="57">
                  <c:v>476.59634202129263</c:v>
                </c:pt>
                <c:pt idx="58">
                  <c:v>498.9255790926793</c:v>
                </c:pt>
                <c:pt idx="59">
                  <c:v>521.23366465282788</c:v>
                </c:pt>
                <c:pt idx="60">
                  <c:v>543.52163046495309</c:v>
                </c:pt>
                <c:pt idx="61">
                  <c:v>565.79041685083439</c:v>
                </c:pt>
                <c:pt idx="62">
                  <c:v>588.04088414741079</c:v>
                </c:pt>
                <c:pt idx="63">
                  <c:v>610.2738223402506</c:v>
                </c:pt>
                <c:pt idx="64">
                  <c:v>528.23845645617007</c:v>
                </c:pt>
                <c:pt idx="65">
                  <c:v>549.83892575965604</c:v>
                </c:pt>
                <c:pt idx="66">
                  <c:v>571.42160804713797</c:v>
                </c:pt>
                <c:pt idx="67">
                  <c:v>592.98726902778117</c:v>
                </c:pt>
                <c:pt idx="68">
                  <c:v>614.53661422900689</c:v>
                </c:pt>
                <c:pt idx="69">
                  <c:v>636.07029571344879</c:v>
                </c:pt>
                <c:pt idx="70">
                  <c:v>657.58891783971956</c:v>
                </c:pt>
                <c:pt idx="71">
                  <c:v>679.09304223054414</c:v>
                </c:pt>
                <c:pt idx="72">
                  <c:v>600.80615581089216</c:v>
                </c:pt>
                <c:pt idx="73">
                  <c:v>621.81796471134874</c:v>
                </c:pt>
                <c:pt idx="74">
                  <c:v>642.81507325128052</c:v>
                </c:pt>
                <c:pt idx="75">
                  <c:v>663.79802870135336</c:v>
                </c:pt>
                <c:pt idx="76">
                  <c:v>684.76734094880146</c:v>
                </c:pt>
                <c:pt idx="77">
                  <c:v>705.72348614062139</c:v>
                </c:pt>
                <c:pt idx="78">
                  <c:v>726.66690987194761</c:v>
                </c:pt>
                <c:pt idx="79">
                  <c:v>747.59802998811335</c:v>
                </c:pt>
                <c:pt idx="80">
                  <c:v>768.51723905691904</c:v>
                </c:pt>
                <c:pt idx="81">
                  <c:v>675.01761016261355</c:v>
                </c:pt>
                <c:pt idx="82">
                  <c:v>694.83780343012586</c:v>
                </c:pt>
                <c:pt idx="83">
                  <c:v>714.64642051425437</c:v>
                </c:pt>
                <c:pt idx="84">
                  <c:v>734.44382712262211</c:v>
                </c:pt>
                <c:pt idx="85">
                  <c:v>754.23036766119492</c:v>
                </c:pt>
                <c:pt idx="86">
                  <c:v>774.006367012586</c:v>
                </c:pt>
                <c:pt idx="87">
                  <c:v>793.77213212336176</c:v>
                </c:pt>
                <c:pt idx="88">
                  <c:v>813.52795342520028</c:v>
                </c:pt>
                <c:pt idx="89">
                  <c:v>833.27410611098742</c:v>
                </c:pt>
                <c:pt idx="90">
                  <c:v>729.68470630285447</c:v>
                </c:pt>
                <c:pt idx="91">
                  <c:v>748.59390688021483</c:v>
                </c:pt>
                <c:pt idx="92">
                  <c:v>767.49340042346296</c:v>
                </c:pt>
                <c:pt idx="93">
                  <c:v>786.38345937215036</c:v>
                </c:pt>
                <c:pt idx="94">
                  <c:v>805.26434202452174</c:v>
                </c:pt>
                <c:pt idx="95">
                  <c:v>824.13629359258357</c:v>
                </c:pt>
                <c:pt idx="96">
                  <c:v>842.99954715561819</c:v>
                </c:pt>
                <c:pt idx="97">
                  <c:v>861.85432452401562</c:v>
                </c:pt>
                <c:pt idx="98">
                  <c:v>880.70083702367663</c:v>
                </c:pt>
                <c:pt idx="99">
                  <c:v>899.53928620986301</c:v>
                </c:pt>
                <c:pt idx="100">
                  <c:v>798.63324124570397</c:v>
                </c:pt>
                <c:pt idx="101">
                  <c:v>817.06058045885231</c:v>
                </c:pt>
                <c:pt idx="102">
                  <c:v>835.47954754465491</c:v>
                </c:pt>
                <c:pt idx="103">
                  <c:v>853.89035285880254</c:v>
                </c:pt>
                <c:pt idx="104">
                  <c:v>872.29319695717265</c:v>
                </c:pt>
                <c:pt idx="105">
                  <c:v>890.68827125365715</c:v>
                </c:pt>
                <c:pt idx="106">
                  <c:v>909.07575862089118</c:v>
                </c:pt>
                <c:pt idx="107">
                  <c:v>927.45583393990785</c:v>
                </c:pt>
                <c:pt idx="108">
                  <c:v>945.82866460402113</c:v>
                </c:pt>
                <c:pt idx="109">
                  <c:v>964.19441098156688</c:v>
                </c:pt>
                <c:pt idx="110">
                  <c:v>855.23421133508009</c:v>
                </c:pt>
                <c:pt idx="111">
                  <c:v>873.05294423725991</c:v>
                </c:pt>
                <c:pt idx="112">
                  <c:v>890.86439966147793</c:v>
                </c:pt>
                <c:pt idx="113">
                  <c:v>908.66874343169832</c:v>
                </c:pt>
                <c:pt idx="114">
                  <c:v>926.46613435177221</c:v>
                </c:pt>
                <c:pt idx="115">
                  <c:v>944.25672463450144</c:v>
                </c:pt>
                <c:pt idx="116">
                  <c:v>962.04066029672424</c:v>
                </c:pt>
                <c:pt idx="117">
                  <c:v>979.81808152371411</c:v>
                </c:pt>
                <c:pt idx="118">
                  <c:v>997.5891230057872</c:v>
                </c:pt>
                <c:pt idx="119">
                  <c:v>1015.3539142497146</c:v>
                </c:pt>
                <c:pt idx="120">
                  <c:v>641.97146052468145</c:v>
                </c:pt>
                <c:pt idx="121">
                  <c:v>641.26128291476209</c:v>
                </c:pt>
                <c:pt idx="122">
                  <c:v>640.55108906304713</c:v>
                </c:pt>
                <c:pt idx="123">
                  <c:v>639.84087894897141</c:v>
                </c:pt>
                <c:pt idx="124">
                  <c:v>447.73845435276593</c:v>
                </c:pt>
                <c:pt idx="125">
                  <c:v>448.11784733066253</c:v>
                </c:pt>
                <c:pt idx="126">
                  <c:v>448.49723343287286</c:v>
                </c:pt>
                <c:pt idx="127">
                  <c:v>448.8766126660426</c:v>
                </c:pt>
                <c:pt idx="128">
                  <c:v>323.75040495820258</c:v>
                </c:pt>
                <c:pt idx="129">
                  <c:v>323.93902671918772</c:v>
                </c:pt>
                <c:pt idx="130">
                  <c:v>324.127646051846</c:v>
                </c:pt>
                <c:pt idx="131">
                  <c:v>324.3162629577933</c:v>
                </c:pt>
                <c:pt idx="132">
                  <c:v>41.499230205854936</c:v>
                </c:pt>
                <c:pt idx="133">
                  <c:v>41.499230205854936</c:v>
                </c:pt>
                <c:pt idx="134">
                  <c:v>41.499230205854936</c:v>
                </c:pt>
                <c:pt idx="135">
                  <c:v>41.499230205854936</c:v>
                </c:pt>
                <c:pt idx="136">
                  <c:v>41.499230205854936</c:v>
                </c:pt>
                <c:pt idx="137">
                  <c:v>41.499230205854936</c:v>
                </c:pt>
                <c:pt idx="138">
                  <c:v>41.499230205854936</c:v>
                </c:pt>
                <c:pt idx="139">
                  <c:v>41.499230205854936</c:v>
                </c:pt>
                <c:pt idx="140">
                  <c:v>41.499230205854936</c:v>
                </c:pt>
                <c:pt idx="141">
                  <c:v>41.499230205854936</c:v>
                </c:pt>
                <c:pt idx="142">
                  <c:v>41.499230205854936</c:v>
                </c:pt>
                <c:pt idx="143">
                  <c:v>41.499230205854936</c:v>
                </c:pt>
                <c:pt idx="144">
                  <c:v>41.499230205854936</c:v>
                </c:pt>
                <c:pt idx="145">
                  <c:v>41.499230205854936</c:v>
                </c:pt>
                <c:pt idx="146">
                  <c:v>41.499230205854936</c:v>
                </c:pt>
                <c:pt idx="147">
                  <c:v>41.499230205854936</c:v>
                </c:pt>
                <c:pt idx="148">
                  <c:v>41.499230205854936</c:v>
                </c:pt>
                <c:pt idx="149">
                  <c:v>41.499230205854936</c:v>
                </c:pt>
                <c:pt idx="150">
                  <c:v>41.499230205854936</c:v>
                </c:pt>
                <c:pt idx="151">
                  <c:v>41.499230205854936</c:v>
                </c:pt>
                <c:pt idx="152">
                  <c:v>41.499230205854936</c:v>
                </c:pt>
                <c:pt idx="153">
                  <c:v>41.499230205854936</c:v>
                </c:pt>
                <c:pt idx="154">
                  <c:v>41.499230205854936</c:v>
                </c:pt>
                <c:pt idx="155">
                  <c:v>41.499230205854936</c:v>
                </c:pt>
                <c:pt idx="156">
                  <c:v>41.499230205854936</c:v>
                </c:pt>
                <c:pt idx="157">
                  <c:v>41.499230205854936</c:v>
                </c:pt>
                <c:pt idx="158">
                  <c:v>41.499230205854936</c:v>
                </c:pt>
                <c:pt idx="159">
                  <c:v>41.499230205854936</c:v>
                </c:pt>
                <c:pt idx="160">
                  <c:v>41.499230205854936</c:v>
                </c:pt>
                <c:pt idx="161">
                  <c:v>41.499230205854936</c:v>
                </c:pt>
                <c:pt idx="162">
                  <c:v>41.499230205854936</c:v>
                </c:pt>
                <c:pt idx="163">
                  <c:v>41.499230205854936</c:v>
                </c:pt>
                <c:pt idx="164">
                  <c:v>41.499230205854936</c:v>
                </c:pt>
                <c:pt idx="165">
                  <c:v>41.499230205854936</c:v>
                </c:pt>
                <c:pt idx="166">
                  <c:v>41.499230205854936</c:v>
                </c:pt>
                <c:pt idx="167">
                  <c:v>41.499230205854936</c:v>
                </c:pt>
                <c:pt idx="168">
                  <c:v>41.499230205854936</c:v>
                </c:pt>
                <c:pt idx="169">
                  <c:v>41.499230205854936</c:v>
                </c:pt>
                <c:pt idx="170">
                  <c:v>41.499230205854936</c:v>
                </c:pt>
                <c:pt idx="171">
                  <c:v>41.499230205854936</c:v>
                </c:pt>
                <c:pt idx="172">
                  <c:v>41.499230205854936</c:v>
                </c:pt>
                <c:pt idx="173">
                  <c:v>41.499230205854936</c:v>
                </c:pt>
                <c:pt idx="174">
                  <c:v>41.499230205854936</c:v>
                </c:pt>
                <c:pt idx="175">
                  <c:v>41.499230205854936</c:v>
                </c:pt>
                <c:pt idx="176">
                  <c:v>41.499230205854936</c:v>
                </c:pt>
                <c:pt idx="177">
                  <c:v>41.499230205854936</c:v>
                </c:pt>
                <c:pt idx="178">
                  <c:v>41.499230205854936</c:v>
                </c:pt>
                <c:pt idx="179">
                  <c:v>41.499230205854936</c:v>
                </c:pt>
                <c:pt idx="180">
                  <c:v>41.499230205854936</c:v>
                </c:pt>
                <c:pt idx="181">
                  <c:v>41.499230205854936</c:v>
                </c:pt>
                <c:pt idx="182">
                  <c:v>41.499230205854936</c:v>
                </c:pt>
                <c:pt idx="183">
                  <c:v>41.499230205854936</c:v>
                </c:pt>
                <c:pt idx="184">
                  <c:v>41.499230205854936</c:v>
                </c:pt>
                <c:pt idx="185">
                  <c:v>41.499230205854936</c:v>
                </c:pt>
                <c:pt idx="186">
                  <c:v>41.499230205854936</c:v>
                </c:pt>
                <c:pt idx="187">
                  <c:v>41.499230205854936</c:v>
                </c:pt>
                <c:pt idx="188">
                  <c:v>41.499230205854936</c:v>
                </c:pt>
                <c:pt idx="189">
                  <c:v>41.499230205854936</c:v>
                </c:pt>
                <c:pt idx="190">
                  <c:v>41.499230205854936</c:v>
                </c:pt>
                <c:pt idx="191">
                  <c:v>41.499230205854936</c:v>
                </c:pt>
                <c:pt idx="192">
                  <c:v>41.499230205854936</c:v>
                </c:pt>
                <c:pt idx="193">
                  <c:v>41.499230205854936</c:v>
                </c:pt>
                <c:pt idx="194">
                  <c:v>41.499230205854936</c:v>
                </c:pt>
                <c:pt idx="195">
                  <c:v>41.499230205854936</c:v>
                </c:pt>
                <c:pt idx="196">
                  <c:v>41.499230205854936</c:v>
                </c:pt>
                <c:pt idx="197">
                  <c:v>41.499230205854936</c:v>
                </c:pt>
                <c:pt idx="198">
                  <c:v>41.499230205854936</c:v>
                </c:pt>
                <c:pt idx="199">
                  <c:v>41.499230205854936</c:v>
                </c:pt>
                <c:pt idx="200">
                  <c:v>41.499230205854936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2.5380918812887914</c:v>
                </c:pt>
                <c:pt idx="2">
                  <c:v>3.2168218116837237</c:v>
                </c:pt>
                <c:pt idx="3">
                  <c:v>4.0777698035291934</c:v>
                </c:pt>
                <c:pt idx="4">
                  <c:v>5.1700364339554419</c:v>
                </c:pt>
                <c:pt idx="5">
                  <c:v>6.5559984815227494</c:v>
                </c:pt>
                <c:pt idx="6">
                  <c:v>8.3149100852329703</c:v>
                </c:pt>
                <c:pt idx="7">
                  <c:v>10.54748357687275</c:v>
                </c:pt>
                <c:pt idx="8">
                  <c:v>13.381717214799407</c:v>
                </c:pt>
                <c:pt idx="9">
                  <c:v>16.980310117401761</c:v>
                </c:pt>
                <c:pt idx="10">
                  <c:v>21.550097788741649</c:v>
                </c:pt>
                <c:pt idx="11">
                  <c:v>27.354060245633761</c:v>
                </c:pt>
                <c:pt idx="12">
                  <c:v>34.726605905427995</c:v>
                </c:pt>
                <c:pt idx="13">
                  <c:v>44.093027016943331</c:v>
                </c:pt>
                <c:pt idx="14">
                  <c:v>55.994267914108548</c:v>
                </c:pt>
                <c:pt idx="15">
                  <c:v>71.118460282851473</c:v>
                </c:pt>
                <c:pt idx="16">
                  <c:v>82.508596377636763</c:v>
                </c:pt>
                <c:pt idx="17">
                  <c:v>99.006604254682017</c:v>
                </c:pt>
                <c:pt idx="18">
                  <c:v>115.43621516079588</c:v>
                </c:pt>
                <c:pt idx="19">
                  <c:v>131.8085611384661</c:v>
                </c:pt>
                <c:pt idx="20">
                  <c:v>148.13176890752257</c:v>
                </c:pt>
                <c:pt idx="21">
                  <c:v>123.62898327972762</c:v>
                </c:pt>
                <c:pt idx="22">
                  <c:v>141.67594470663133</c:v>
                </c:pt>
                <c:pt idx="23">
                  <c:v>159.66774547880371</c:v>
                </c:pt>
                <c:pt idx="24">
                  <c:v>177.61148225294485</c:v>
                </c:pt>
                <c:pt idx="25">
                  <c:v>195.51269709583855</c:v>
                </c:pt>
                <c:pt idx="26">
                  <c:v>169.32232688472158</c:v>
                </c:pt>
                <c:pt idx="27">
                  <c:v>188.76221470729038</c:v>
                </c:pt>
                <c:pt idx="28">
                  <c:v>208.15542061438944</c:v>
                </c:pt>
                <c:pt idx="29">
                  <c:v>227.50690659831903</c:v>
                </c:pt>
                <c:pt idx="30">
                  <c:v>246.82072062447358</c:v>
                </c:pt>
                <c:pt idx="31">
                  <c:v>266.10022493300397</c:v>
                </c:pt>
                <c:pt idx="32">
                  <c:v>224.98501498915437</c:v>
                </c:pt>
                <c:pt idx="33">
                  <c:v>244.30353923844871</c:v>
                </c:pt>
                <c:pt idx="34">
                  <c:v>263.58734797276003</c:v>
                </c:pt>
                <c:pt idx="35">
                  <c:v>282.83933776674911</c:v>
                </c:pt>
                <c:pt idx="36">
                  <c:v>302.06197856553007</c:v>
                </c:pt>
                <c:pt idx="37">
                  <c:v>321.25740024962437</c:v>
                </c:pt>
                <c:pt idx="38">
                  <c:v>279.73236813579501</c:v>
                </c:pt>
                <c:pt idx="39">
                  <c:v>298.36290228402567</c:v>
                </c:pt>
                <c:pt idx="40">
                  <c:v>316.96751977104657</c:v>
                </c:pt>
                <c:pt idx="41">
                  <c:v>335.5479553564636</c:v>
                </c:pt>
                <c:pt idx="42">
                  <c:v>354.10573601815037</c:v>
                </c:pt>
                <c:pt idx="43">
                  <c:v>372.64221565134466</c:v>
                </c:pt>
                <c:pt idx="44">
                  <c:v>391.15860250001066</c:v>
                </c:pt>
                <c:pt idx="45">
                  <c:v>336.88699770814992</c:v>
                </c:pt>
                <c:pt idx="46">
                  <c:v>354.16518115704025</c:v>
                </c:pt>
                <c:pt idx="47">
                  <c:v>371.42490308727588</c:v>
                </c:pt>
                <c:pt idx="48">
                  <c:v>388.66714186934951</c:v>
                </c:pt>
                <c:pt idx="49">
                  <c:v>405.8927820061424</c:v>
                </c:pt>
                <c:pt idx="50">
                  <c:v>423.10262682279273</c:v>
                </c:pt>
                <c:pt idx="51">
                  <c:v>440.29740898417253</c:v>
                </c:pt>
                <c:pt idx="52">
                  <c:v>457.47779928386586</c:v>
                </c:pt>
                <c:pt idx="53">
                  <c:v>393.44213889474241</c:v>
                </c:pt>
                <c:pt idx="54">
                  <c:v>409.0041420403515</c:v>
                </c:pt>
                <c:pt idx="55">
                  <c:v>424.55336102424553</c:v>
                </c:pt>
                <c:pt idx="56">
                  <c:v>440.09032987714414</c:v>
                </c:pt>
                <c:pt idx="57">
                  <c:v>455.61554185670792</c:v>
                </c:pt>
                <c:pt idx="58">
                  <c:v>471.12945387267996</c:v>
                </c:pt>
                <c:pt idx="59">
                  <c:v>486.63249029889329</c:v>
                </c:pt>
                <c:pt idx="60">
                  <c:v>502.125046274314</c:v>
                </c:pt>
                <c:pt idx="61">
                  <c:v>438.70974904240529</c:v>
                </c:pt>
                <c:pt idx="62">
                  <c:v>453.06329508642119</c:v>
                </c:pt>
                <c:pt idx="63">
                  <c:v>467.40712233198587</c:v>
                </c:pt>
                <c:pt idx="64">
                  <c:v>481.74157097323285</c:v>
                </c:pt>
                <c:pt idx="65">
                  <c:v>496.06695931286293</c:v>
                </c:pt>
                <c:pt idx="66">
                  <c:v>510.38358577553481</c:v>
                </c:pt>
                <c:pt idx="67">
                  <c:v>524.69173068364398</c:v>
                </c:pt>
                <c:pt idx="68">
                  <c:v>538.99165782937473</c:v>
                </c:pt>
                <c:pt idx="69">
                  <c:v>553.28361587129041</c:v>
                </c:pt>
                <c:pt idx="70">
                  <c:v>553.28361587129041</c:v>
                </c:pt>
                <c:pt idx="71">
                  <c:v>553.28361587129041</c:v>
                </c:pt>
                <c:pt idx="72">
                  <c:v>553.28361587129041</c:v>
                </c:pt>
                <c:pt idx="73">
                  <c:v>553.28361587129041</c:v>
                </c:pt>
                <c:pt idx="74">
                  <c:v>553.28361587129041</c:v>
                </c:pt>
                <c:pt idx="75">
                  <c:v>553.28361587129041</c:v>
                </c:pt>
                <c:pt idx="76">
                  <c:v>553.28361587129041</c:v>
                </c:pt>
                <c:pt idx="77">
                  <c:v>553.28361587129041</c:v>
                </c:pt>
                <c:pt idx="78">
                  <c:v>553.28361587129041</c:v>
                </c:pt>
                <c:pt idx="79">
                  <c:v>553.28361587129041</c:v>
                </c:pt>
                <c:pt idx="80">
                  <c:v>553.28361587129041</c:v>
                </c:pt>
                <c:pt idx="81">
                  <c:v>553.28361587129041</c:v>
                </c:pt>
                <c:pt idx="82">
                  <c:v>553.28361587129041</c:v>
                </c:pt>
                <c:pt idx="83">
                  <c:v>553.28361587129041</c:v>
                </c:pt>
                <c:pt idx="84">
                  <c:v>553.28361587129041</c:v>
                </c:pt>
                <c:pt idx="85">
                  <c:v>553.28361587129041</c:v>
                </c:pt>
                <c:pt idx="86">
                  <c:v>553.28361587129041</c:v>
                </c:pt>
                <c:pt idx="87">
                  <c:v>553.28361587129041</c:v>
                </c:pt>
                <c:pt idx="88">
                  <c:v>553.28361587129041</c:v>
                </c:pt>
                <c:pt idx="89">
                  <c:v>553.28361587129041</c:v>
                </c:pt>
                <c:pt idx="90">
                  <c:v>553.28361587129041</c:v>
                </c:pt>
                <c:pt idx="91">
                  <c:v>553.28361587129041</c:v>
                </c:pt>
                <c:pt idx="92">
                  <c:v>553.28361587129041</c:v>
                </c:pt>
                <c:pt idx="93">
                  <c:v>553.28361587129041</c:v>
                </c:pt>
                <c:pt idx="94">
                  <c:v>553.28361587129041</c:v>
                </c:pt>
                <c:pt idx="95">
                  <c:v>553.28361587129041</c:v>
                </c:pt>
                <c:pt idx="96">
                  <c:v>553.28361587129041</c:v>
                </c:pt>
                <c:pt idx="97">
                  <c:v>553.28361587129041</c:v>
                </c:pt>
                <c:pt idx="98">
                  <c:v>553.28361587129041</c:v>
                </c:pt>
                <c:pt idx="99">
                  <c:v>553.28361587129041</c:v>
                </c:pt>
                <c:pt idx="100">
                  <c:v>553.28361587129041</c:v>
                </c:pt>
                <c:pt idx="101">
                  <c:v>553.28361587129041</c:v>
                </c:pt>
                <c:pt idx="102">
                  <c:v>553.28361587129041</c:v>
                </c:pt>
                <c:pt idx="103">
                  <c:v>553.28361587129041</c:v>
                </c:pt>
                <c:pt idx="104">
                  <c:v>553.28361587129041</c:v>
                </c:pt>
                <c:pt idx="105">
                  <c:v>553.28361587129041</c:v>
                </c:pt>
                <c:pt idx="106">
                  <c:v>553.28361587129041</c:v>
                </c:pt>
                <c:pt idx="107">
                  <c:v>553.28361587129041</c:v>
                </c:pt>
                <c:pt idx="108">
                  <c:v>553.28361587129041</c:v>
                </c:pt>
                <c:pt idx="109">
                  <c:v>553.28361587129041</c:v>
                </c:pt>
                <c:pt idx="110">
                  <c:v>553.28361587129041</c:v>
                </c:pt>
                <c:pt idx="111">
                  <c:v>553.28361587129041</c:v>
                </c:pt>
                <c:pt idx="112">
                  <c:v>553.28361587129041</c:v>
                </c:pt>
                <c:pt idx="113">
                  <c:v>553.28361587129041</c:v>
                </c:pt>
                <c:pt idx="114">
                  <c:v>553.28361587129041</c:v>
                </c:pt>
                <c:pt idx="115">
                  <c:v>553.28361587129041</c:v>
                </c:pt>
                <c:pt idx="116">
                  <c:v>553.28361587129041</c:v>
                </c:pt>
                <c:pt idx="117">
                  <c:v>553.28361587129041</c:v>
                </c:pt>
                <c:pt idx="118">
                  <c:v>553.28361587129041</c:v>
                </c:pt>
                <c:pt idx="119">
                  <c:v>553.28361587129041</c:v>
                </c:pt>
                <c:pt idx="120">
                  <c:v>553.28361587129041</c:v>
                </c:pt>
                <c:pt idx="121">
                  <c:v>553.28361587129041</c:v>
                </c:pt>
                <c:pt idx="122">
                  <c:v>553.28361587129041</c:v>
                </c:pt>
                <c:pt idx="123">
                  <c:v>553.28361587129041</c:v>
                </c:pt>
                <c:pt idx="124">
                  <c:v>553.28361587129041</c:v>
                </c:pt>
                <c:pt idx="125">
                  <c:v>553.28361587129041</c:v>
                </c:pt>
                <c:pt idx="126">
                  <c:v>553.28361587129041</c:v>
                </c:pt>
                <c:pt idx="127">
                  <c:v>553.28361587129041</c:v>
                </c:pt>
                <c:pt idx="128">
                  <c:v>553.28361587129041</c:v>
                </c:pt>
                <c:pt idx="129">
                  <c:v>553.28361587129041</c:v>
                </c:pt>
                <c:pt idx="130">
                  <c:v>553.28361587129041</c:v>
                </c:pt>
                <c:pt idx="131">
                  <c:v>553.28361587129041</c:v>
                </c:pt>
                <c:pt idx="132">
                  <c:v>553.28361587129041</c:v>
                </c:pt>
                <c:pt idx="133">
                  <c:v>553.28361587129041</c:v>
                </c:pt>
                <c:pt idx="134">
                  <c:v>553.28361587129041</c:v>
                </c:pt>
                <c:pt idx="135">
                  <c:v>553.28361587129041</c:v>
                </c:pt>
                <c:pt idx="136">
                  <c:v>553.28361587129041</c:v>
                </c:pt>
                <c:pt idx="137">
                  <c:v>553.28361587129041</c:v>
                </c:pt>
                <c:pt idx="138">
                  <c:v>553.28361587129041</c:v>
                </c:pt>
                <c:pt idx="139">
                  <c:v>553.28361587129041</c:v>
                </c:pt>
                <c:pt idx="140">
                  <c:v>553.28361587129041</c:v>
                </c:pt>
                <c:pt idx="141">
                  <c:v>553.28361587129041</c:v>
                </c:pt>
                <c:pt idx="142">
                  <c:v>553.28361587129041</c:v>
                </c:pt>
                <c:pt idx="143">
                  <c:v>553.28361587129041</c:v>
                </c:pt>
                <c:pt idx="144">
                  <c:v>553.28361587129041</c:v>
                </c:pt>
                <c:pt idx="145">
                  <c:v>553.28361587129041</c:v>
                </c:pt>
                <c:pt idx="146">
                  <c:v>553.28361587129041</c:v>
                </c:pt>
                <c:pt idx="147">
                  <c:v>553.28361587129041</c:v>
                </c:pt>
                <c:pt idx="148">
                  <c:v>553.28361587129041</c:v>
                </c:pt>
                <c:pt idx="149">
                  <c:v>553.28361587129041</c:v>
                </c:pt>
                <c:pt idx="150">
                  <c:v>553.28361587129041</c:v>
                </c:pt>
                <c:pt idx="151">
                  <c:v>553.28361587129041</c:v>
                </c:pt>
                <c:pt idx="152">
                  <c:v>553.28361587129041</c:v>
                </c:pt>
                <c:pt idx="153">
                  <c:v>553.28361587129041</c:v>
                </c:pt>
                <c:pt idx="154">
                  <c:v>553.28361587129041</c:v>
                </c:pt>
                <c:pt idx="155">
                  <c:v>553.28361587129041</c:v>
                </c:pt>
                <c:pt idx="156">
                  <c:v>553.28361587129041</c:v>
                </c:pt>
                <c:pt idx="157">
                  <c:v>553.28361587129041</c:v>
                </c:pt>
                <c:pt idx="158">
                  <c:v>553.28361587129041</c:v>
                </c:pt>
                <c:pt idx="159">
                  <c:v>553.28361587129041</c:v>
                </c:pt>
                <c:pt idx="160">
                  <c:v>553.28361587129041</c:v>
                </c:pt>
                <c:pt idx="161">
                  <c:v>553.28361587129041</c:v>
                </c:pt>
                <c:pt idx="162">
                  <c:v>553.28361587129041</c:v>
                </c:pt>
                <c:pt idx="163">
                  <c:v>553.28361587129041</c:v>
                </c:pt>
                <c:pt idx="164">
                  <c:v>553.28361587129041</c:v>
                </c:pt>
                <c:pt idx="165">
                  <c:v>553.28361587129041</c:v>
                </c:pt>
                <c:pt idx="166">
                  <c:v>553.28361587129041</c:v>
                </c:pt>
                <c:pt idx="167">
                  <c:v>553.28361587129041</c:v>
                </c:pt>
                <c:pt idx="168">
                  <c:v>553.28361587129041</c:v>
                </c:pt>
                <c:pt idx="169">
                  <c:v>553.28361587129041</c:v>
                </c:pt>
                <c:pt idx="170">
                  <c:v>553.28361587129041</c:v>
                </c:pt>
                <c:pt idx="171">
                  <c:v>553.28361587129041</c:v>
                </c:pt>
                <c:pt idx="172">
                  <c:v>553.28361587129041</c:v>
                </c:pt>
                <c:pt idx="173">
                  <c:v>553.28361587129041</c:v>
                </c:pt>
                <c:pt idx="174">
                  <c:v>553.28361587129041</c:v>
                </c:pt>
                <c:pt idx="175">
                  <c:v>553.28361587129041</c:v>
                </c:pt>
                <c:pt idx="176">
                  <c:v>553.28361587129041</c:v>
                </c:pt>
                <c:pt idx="177">
                  <c:v>553.28361587129041</c:v>
                </c:pt>
                <c:pt idx="178">
                  <c:v>553.28361587129041</c:v>
                </c:pt>
                <c:pt idx="179">
                  <c:v>553.28361587129041</c:v>
                </c:pt>
                <c:pt idx="180">
                  <c:v>553.28361587129041</c:v>
                </c:pt>
                <c:pt idx="181">
                  <c:v>553.28361587129041</c:v>
                </c:pt>
                <c:pt idx="182">
                  <c:v>553.28361587129041</c:v>
                </c:pt>
                <c:pt idx="183">
                  <c:v>553.28361587129041</c:v>
                </c:pt>
                <c:pt idx="184">
                  <c:v>553.28361587129041</c:v>
                </c:pt>
                <c:pt idx="185">
                  <c:v>553.28361587129041</c:v>
                </c:pt>
                <c:pt idx="186">
                  <c:v>553.28361587129041</c:v>
                </c:pt>
                <c:pt idx="187">
                  <c:v>553.28361587129041</c:v>
                </c:pt>
                <c:pt idx="188">
                  <c:v>553.28361587129041</c:v>
                </c:pt>
                <c:pt idx="189">
                  <c:v>553.28361587129041</c:v>
                </c:pt>
                <c:pt idx="190">
                  <c:v>553.28361587129041</c:v>
                </c:pt>
                <c:pt idx="191">
                  <c:v>553.28361587129041</c:v>
                </c:pt>
                <c:pt idx="192">
                  <c:v>553.28361587129041</c:v>
                </c:pt>
                <c:pt idx="193">
                  <c:v>553.28361587129041</c:v>
                </c:pt>
                <c:pt idx="194">
                  <c:v>553.28361587129041</c:v>
                </c:pt>
                <c:pt idx="195">
                  <c:v>553.28361587129041</c:v>
                </c:pt>
                <c:pt idx="196">
                  <c:v>553.28361587129041</c:v>
                </c:pt>
                <c:pt idx="197">
                  <c:v>553.28361587129041</c:v>
                </c:pt>
                <c:pt idx="198">
                  <c:v>553.28361587129041</c:v>
                </c:pt>
                <c:pt idx="199">
                  <c:v>553.28361587129041</c:v>
                </c:pt>
                <c:pt idx="200">
                  <c:v>553.28361587129041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3.0087226414689678</c:v>
                </c:pt>
                <c:pt idx="2">
                  <c:v>3.5108476078946986</c:v>
                </c:pt>
                <c:pt idx="3">
                  <c:v>4.0970748640547061</c:v>
                </c:pt>
                <c:pt idx="4">
                  <c:v>4.7815388031042829</c:v>
                </c:pt>
                <c:pt idx="5">
                  <c:v>5.58075681256107</c:v>
                </c:pt>
                <c:pt idx="6">
                  <c:v>6.5140322202239958</c:v>
                </c:pt>
                <c:pt idx="7">
                  <c:v>7.6039255604146936</c:v>
                </c:pt>
                <c:pt idx="8">
                  <c:v>8.8768057733067263</c:v>
                </c:pt>
                <c:pt idx="9">
                  <c:v>10.363494928489947</c:v>
                </c:pt>
                <c:pt idx="10">
                  <c:v>12.100022380040526</c:v>
                </c:pt>
                <c:pt idx="11">
                  <c:v>14.128506971996892</c:v>
                </c:pt>
                <c:pt idx="12">
                  <c:v>16.498189087941249</c:v>
                </c:pt>
                <c:pt idx="13">
                  <c:v>19.266638055612479</c:v>
                </c:pt>
                <c:pt idx="14">
                  <c:v>22.501164769971794</c:v>
                </c:pt>
                <c:pt idx="15">
                  <c:v>26.280474494666397</c:v>
                </c:pt>
                <c:pt idx="16">
                  <c:v>30.696600769797168</c:v>
                </c:pt>
                <c:pt idx="17">
                  <c:v>35.857168342554253</c:v>
                </c:pt>
                <c:pt idx="18">
                  <c:v>41.888041221504999</c:v>
                </c:pt>
                <c:pt idx="19">
                  <c:v>48.936421539970695</c:v>
                </c:pt>
                <c:pt idx="20">
                  <c:v>57.174476139039477</c:v>
                </c:pt>
                <c:pt idx="21">
                  <c:v>66.803580927560347</c:v>
                </c:pt>
                <c:pt idx="22">
                  <c:v>78.059288474458086</c:v>
                </c:pt>
                <c:pt idx="23">
                  <c:v>91.217142323990871</c:v>
                </c:pt>
                <c:pt idx="24">
                  <c:v>106.59948264954546</c:v>
                </c:pt>
                <c:pt idx="25">
                  <c:v>124.58341260634063</c:v>
                </c:pt>
                <c:pt idx="26">
                  <c:v>145.61012372918682</c:v>
                </c:pt>
                <c:pt idx="27">
                  <c:v>170.19581267616408</c:v>
                </c:pt>
                <c:pt idx="28">
                  <c:v>198.94446139578906</c:v>
                </c:pt>
                <c:pt idx="29">
                  <c:v>232.56279939363762</c:v>
                </c:pt>
                <c:pt idx="30">
                  <c:v>271.87782136604341</c:v>
                </c:pt>
                <c:pt idx="31">
                  <c:v>306.396443018696</c:v>
                </c:pt>
                <c:pt idx="32">
                  <c:v>340.82860271743323</c:v>
                </c:pt>
                <c:pt idx="33">
                  <c:v>375.18425512054756</c:v>
                </c:pt>
                <c:pt idx="34">
                  <c:v>409.47138257589313</c:v>
                </c:pt>
                <c:pt idx="35">
                  <c:v>443.69652188121762</c:v>
                </c:pt>
                <c:pt idx="36">
                  <c:v>321.16259971327423</c:v>
                </c:pt>
                <c:pt idx="37">
                  <c:v>349.02672421811872</c:v>
                </c:pt>
                <c:pt idx="38">
                  <c:v>376.84205222440369</c:v>
                </c:pt>
                <c:pt idx="39">
                  <c:v>404.61268817658879</c:v>
                </c:pt>
                <c:pt idx="40">
                  <c:v>432.34212742340668</c:v>
                </c:pt>
                <c:pt idx="41">
                  <c:v>460.03338067866019</c:v>
                </c:pt>
                <c:pt idx="42">
                  <c:v>385.99092681345502</c:v>
                </c:pt>
                <c:pt idx="43">
                  <c:v>414.17533779557908</c:v>
                </c:pt>
                <c:pt idx="44">
                  <c:v>442.31839157842973</c:v>
                </c:pt>
                <c:pt idx="45">
                  <c:v>470.42308638804462</c:v>
                </c:pt>
                <c:pt idx="46">
                  <c:v>498.49203329527023</c:v>
                </c:pt>
                <c:pt idx="47">
                  <c:v>526.52752563274419</c:v>
                </c:pt>
                <c:pt idx="48">
                  <c:v>554.5315928587562</c:v>
                </c:pt>
                <c:pt idx="49">
                  <c:v>449.62021107279298</c:v>
                </c:pt>
                <c:pt idx="50">
                  <c:v>476.02000064610456</c:v>
                </c:pt>
                <c:pt idx="51">
                  <c:v>502.38865580151611</c:v>
                </c:pt>
                <c:pt idx="52">
                  <c:v>528.72803854644371</c:v>
                </c:pt>
                <c:pt idx="53">
                  <c:v>555.03981043514455</c:v>
                </c:pt>
                <c:pt idx="54">
                  <c:v>581.32546281777411</c:v>
                </c:pt>
                <c:pt idx="55">
                  <c:v>607.58634133657904</c:v>
                </c:pt>
                <c:pt idx="56">
                  <c:v>507.73703373631133</c:v>
                </c:pt>
                <c:pt idx="57">
                  <c:v>532.72708498714167</c:v>
                </c:pt>
                <c:pt idx="58">
                  <c:v>557.6924869123344</c:v>
                </c:pt>
                <c:pt idx="59">
                  <c:v>582.63449687448031</c:v>
                </c:pt>
                <c:pt idx="60">
                  <c:v>607.55425592523807</c:v>
                </c:pt>
                <c:pt idx="61">
                  <c:v>632.45280398899331</c:v>
                </c:pt>
                <c:pt idx="62">
                  <c:v>657.33109253297937</c:v>
                </c:pt>
                <c:pt idx="63">
                  <c:v>682.18999522116337</c:v>
                </c:pt>
                <c:pt idx="64">
                  <c:v>590.46639820384166</c:v>
                </c:pt>
                <c:pt idx="65">
                  <c:v>614.61754893029149</c:v>
                </c:pt>
                <c:pt idx="66">
                  <c:v>638.74902856958317</c:v>
                </c:pt>
                <c:pt idx="67">
                  <c:v>662.86168393782873</c:v>
                </c:pt>
                <c:pt idx="68">
                  <c:v>686.95629529470671</c:v>
                </c:pt>
                <c:pt idx="69">
                  <c:v>711.03358377190716</c:v>
                </c:pt>
                <c:pt idx="70">
                  <c:v>735.09421774409839</c:v>
                </c:pt>
                <c:pt idx="71">
                  <c:v>759.13881832330935</c:v>
                </c:pt>
                <c:pt idx="72">
                  <c:v>671.60406336749122</c:v>
                </c:pt>
                <c:pt idx="73">
                  <c:v>695.09771430876344</c:v>
                </c:pt>
                <c:pt idx="74">
                  <c:v>718.57510776912568</c:v>
                </c:pt>
                <c:pt idx="75">
                  <c:v>742.03684898831909</c:v>
                </c:pt>
                <c:pt idx="76">
                  <c:v>765.48350186285279</c:v>
                </c:pt>
                <c:pt idx="77">
                  <c:v>788.91559297509764</c:v>
                </c:pt>
                <c:pt idx="78">
                  <c:v>812.33361511938926</c:v>
                </c:pt>
                <c:pt idx="79">
                  <c:v>835.73803040089308</c:v>
                </c:pt>
                <c:pt idx="80">
                  <c:v>859.12927296974419</c:v>
                </c:pt>
                <c:pt idx="81">
                  <c:v>754.58190540238013</c:v>
                </c:pt>
                <c:pt idx="82">
                  <c:v>776.74375886328153</c:v>
                </c:pt>
                <c:pt idx="83">
                  <c:v>798.89280994562489</c:v>
                </c:pt>
                <c:pt idx="84">
                  <c:v>821.02946309423294</c:v>
                </c:pt>
                <c:pt idx="85">
                  <c:v>843.15409919591423</c:v>
                </c:pt>
                <c:pt idx="86">
                  <c:v>865.26707754613597</c:v>
                </c:pt>
                <c:pt idx="87">
                  <c:v>887.36873760445849</c:v>
                </c:pt>
                <c:pt idx="88">
                  <c:v>909.45940056623385</c:v>
                </c:pt>
                <c:pt idx="89">
                  <c:v>931.53937077386763</c:v>
                </c:pt>
                <c:pt idx="90">
                  <c:v>815.70799587495048</c:v>
                </c:pt>
                <c:pt idx="91">
                  <c:v>836.85158729914474</c:v>
                </c:pt>
                <c:pt idx="92">
                  <c:v>857.9844434817436</c:v>
                </c:pt>
                <c:pt idx="93">
                  <c:v>879.10686572017414</c:v>
                </c:pt>
                <c:pt idx="94">
                  <c:v>900.21913967265436</c:v>
                </c:pt>
                <c:pt idx="95">
                  <c:v>921.321536525017</c:v>
                </c:pt>
                <c:pt idx="96">
                  <c:v>942.41431404522439</c:v>
                </c:pt>
                <c:pt idx="97">
                  <c:v>963.49771753870164</c:v>
                </c:pt>
                <c:pt idx="98">
                  <c:v>984.57198071582513</c:v>
                </c:pt>
                <c:pt idx="99">
                  <c:v>1005.6373264813883</c:v>
                </c:pt>
                <c:pt idx="100">
                  <c:v>892.80434571395415</c:v>
                </c:pt>
                <c:pt idx="101">
                  <c:v>913.40954370443831</c:v>
                </c:pt>
                <c:pt idx="102">
                  <c:v>934.00548275870278</c:v>
                </c:pt>
                <c:pt idx="103">
                  <c:v>954.59239551414646</c:v>
                </c:pt>
                <c:pt idx="104">
                  <c:v>975.1705037703191</c:v>
                </c:pt>
                <c:pt idx="105">
                  <c:v>995.74001921643037</c:v>
                </c:pt>
                <c:pt idx="106">
                  <c:v>1016.3011440957075</c:v>
                </c:pt>
                <c:pt idx="107">
                  <c:v>1036.8540718132763</c:v>
                </c:pt>
                <c:pt idx="108">
                  <c:v>1057.3989874934132</c:v>
                </c:pt>
                <c:pt idx="109">
                  <c:v>1077.9360684913026</c:v>
                </c:pt>
                <c:pt idx="110">
                  <c:v>956.09509828757302</c:v>
                </c:pt>
                <c:pt idx="111">
                  <c:v>976.02005722680917</c:v>
                </c:pt>
                <c:pt idx="112">
                  <c:v>995.93696782880636</c:v>
                </c:pt>
                <c:pt idx="113">
                  <c:v>1015.8460134822595</c:v>
                </c:pt>
                <c:pt idx="114">
                  <c:v>1035.7473698121528</c:v>
                </c:pt>
                <c:pt idx="115">
                  <c:v>1055.6412051542693</c:v>
                </c:pt>
                <c:pt idx="116">
                  <c:v>1075.5276809921299</c:v>
                </c:pt>
                <c:pt idx="117">
                  <c:v>1095.4069523599876</c:v>
                </c:pt>
                <c:pt idx="118">
                  <c:v>1115.2791682150898</c:v>
                </c:pt>
                <c:pt idx="119">
                  <c:v>1135.1444717820771</c:v>
                </c:pt>
                <c:pt idx="120">
                  <c:v>717.63183985620242</c:v>
                </c:pt>
                <c:pt idx="121">
                  <c:v>716.83776984268491</c:v>
                </c:pt>
                <c:pt idx="122">
                  <c:v>716.04368186697639</c:v>
                </c:pt>
                <c:pt idx="123">
                  <c:v>715.24957590633358</c:v>
                </c:pt>
                <c:pt idx="124">
                  <c:v>500.46266932712228</c:v>
                </c:pt>
                <c:pt idx="125">
                  <c:v>500.88684467357308</c:v>
                </c:pt>
                <c:pt idx="126">
                  <c:v>501.31101241603716</c:v>
                </c:pt>
                <c:pt idx="127">
                  <c:v>501.73517256186511</c:v>
                </c:pt>
                <c:pt idx="128">
                  <c:v>361.8444413330879</c:v>
                </c:pt>
                <c:pt idx="129">
                  <c:v>362.05531135307177</c:v>
                </c:pt>
                <c:pt idx="130">
                  <c:v>362.26617868751083</c:v>
                </c:pt>
                <c:pt idx="131">
                  <c:v>362.47704333819223</c:v>
                </c:pt>
                <c:pt idx="132">
                  <c:v>46.355945316697152</c:v>
                </c:pt>
                <c:pt idx="133">
                  <c:v>46.355945316697152</c:v>
                </c:pt>
                <c:pt idx="134">
                  <c:v>46.355945316697152</c:v>
                </c:pt>
                <c:pt idx="135">
                  <c:v>46.355945316697152</c:v>
                </c:pt>
                <c:pt idx="136">
                  <c:v>46.355945316697152</c:v>
                </c:pt>
                <c:pt idx="137">
                  <c:v>46.355945316697152</c:v>
                </c:pt>
                <c:pt idx="138">
                  <c:v>46.355945316697152</c:v>
                </c:pt>
                <c:pt idx="139">
                  <c:v>46.355945316697152</c:v>
                </c:pt>
                <c:pt idx="140">
                  <c:v>46.355945316697152</c:v>
                </c:pt>
                <c:pt idx="141">
                  <c:v>46.355945316697152</c:v>
                </c:pt>
                <c:pt idx="142">
                  <c:v>46.355945316697152</c:v>
                </c:pt>
                <c:pt idx="143">
                  <c:v>46.355945316697152</c:v>
                </c:pt>
                <c:pt idx="144">
                  <c:v>46.355945316697152</c:v>
                </c:pt>
                <c:pt idx="145">
                  <c:v>46.355945316697152</c:v>
                </c:pt>
                <c:pt idx="146">
                  <c:v>46.355945316697152</c:v>
                </c:pt>
                <c:pt idx="147">
                  <c:v>46.355945316697152</c:v>
                </c:pt>
                <c:pt idx="148">
                  <c:v>46.355945316697152</c:v>
                </c:pt>
                <c:pt idx="149">
                  <c:v>46.355945316697152</c:v>
                </c:pt>
                <c:pt idx="150">
                  <c:v>46.355945316697152</c:v>
                </c:pt>
                <c:pt idx="151">
                  <c:v>46.355945316697152</c:v>
                </c:pt>
                <c:pt idx="152">
                  <c:v>46.355945316697152</c:v>
                </c:pt>
                <c:pt idx="153">
                  <c:v>46.355945316697152</c:v>
                </c:pt>
                <c:pt idx="154">
                  <c:v>46.355945316697152</c:v>
                </c:pt>
                <c:pt idx="155">
                  <c:v>46.355945316697152</c:v>
                </c:pt>
                <c:pt idx="156">
                  <c:v>46.355945316697152</c:v>
                </c:pt>
                <c:pt idx="157">
                  <c:v>46.355945316697152</c:v>
                </c:pt>
                <c:pt idx="158">
                  <c:v>46.355945316697152</c:v>
                </c:pt>
                <c:pt idx="159">
                  <c:v>46.355945316697152</c:v>
                </c:pt>
                <c:pt idx="160">
                  <c:v>46.355945316697152</c:v>
                </c:pt>
                <c:pt idx="161">
                  <c:v>46.355945316697152</c:v>
                </c:pt>
                <c:pt idx="162">
                  <c:v>46.355945316697152</c:v>
                </c:pt>
                <c:pt idx="163">
                  <c:v>46.355945316697152</c:v>
                </c:pt>
                <c:pt idx="164">
                  <c:v>46.355945316697152</c:v>
                </c:pt>
                <c:pt idx="165">
                  <c:v>46.355945316697152</c:v>
                </c:pt>
                <c:pt idx="166">
                  <c:v>46.355945316697152</c:v>
                </c:pt>
                <c:pt idx="167">
                  <c:v>46.355945316697152</c:v>
                </c:pt>
                <c:pt idx="168">
                  <c:v>46.355945316697152</c:v>
                </c:pt>
                <c:pt idx="169">
                  <c:v>46.355945316697152</c:v>
                </c:pt>
                <c:pt idx="170">
                  <c:v>46.355945316697152</c:v>
                </c:pt>
                <c:pt idx="171">
                  <c:v>46.355945316697152</c:v>
                </c:pt>
                <c:pt idx="172">
                  <c:v>46.355945316697152</c:v>
                </c:pt>
                <c:pt idx="173">
                  <c:v>46.355945316697152</c:v>
                </c:pt>
                <c:pt idx="174">
                  <c:v>46.355945316697152</c:v>
                </c:pt>
                <c:pt idx="175">
                  <c:v>46.355945316697152</c:v>
                </c:pt>
                <c:pt idx="176">
                  <c:v>46.355945316697152</c:v>
                </c:pt>
                <c:pt idx="177">
                  <c:v>46.355945316697152</c:v>
                </c:pt>
                <c:pt idx="178">
                  <c:v>46.355945316697152</c:v>
                </c:pt>
                <c:pt idx="179">
                  <c:v>46.355945316697152</c:v>
                </c:pt>
                <c:pt idx="180">
                  <c:v>46.355945316697152</c:v>
                </c:pt>
                <c:pt idx="181">
                  <c:v>46.355945316697152</c:v>
                </c:pt>
                <c:pt idx="182">
                  <c:v>46.355945316697152</c:v>
                </c:pt>
                <c:pt idx="183">
                  <c:v>46.355945316697152</c:v>
                </c:pt>
                <c:pt idx="184">
                  <c:v>46.355945316697152</c:v>
                </c:pt>
                <c:pt idx="185">
                  <c:v>46.355945316697152</c:v>
                </c:pt>
                <c:pt idx="186">
                  <c:v>46.355945316697152</c:v>
                </c:pt>
                <c:pt idx="187">
                  <c:v>46.355945316697152</c:v>
                </c:pt>
                <c:pt idx="188">
                  <c:v>46.355945316697152</c:v>
                </c:pt>
                <c:pt idx="189">
                  <c:v>46.355945316697152</c:v>
                </c:pt>
                <c:pt idx="190">
                  <c:v>46.355945316697152</c:v>
                </c:pt>
                <c:pt idx="191">
                  <c:v>46.355945316697152</c:v>
                </c:pt>
                <c:pt idx="192">
                  <c:v>46.355945316697152</c:v>
                </c:pt>
                <c:pt idx="193">
                  <c:v>46.355945316697152</c:v>
                </c:pt>
                <c:pt idx="194">
                  <c:v>46.355945316697152</c:v>
                </c:pt>
                <c:pt idx="195">
                  <c:v>46.355945316697152</c:v>
                </c:pt>
                <c:pt idx="196">
                  <c:v>46.355945316697152</c:v>
                </c:pt>
                <c:pt idx="197">
                  <c:v>46.355945316697152</c:v>
                </c:pt>
                <c:pt idx="198">
                  <c:v>46.355945316697152</c:v>
                </c:pt>
                <c:pt idx="199">
                  <c:v>46.355945316697152</c:v>
                </c:pt>
                <c:pt idx="200">
                  <c:v>46.355945316697152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2.594132930874625</c:v>
                </c:pt>
                <c:pt idx="2">
                  <c:v>3.0655593018918794</c:v>
                </c:pt>
                <c:pt idx="3">
                  <c:v>3.6229726275127558</c:v>
                </c:pt>
                <c:pt idx="4">
                  <c:v>4.2821110789162296</c:v>
                </c:pt>
                <c:pt idx="5">
                  <c:v>5.061602713236562</c:v>
                </c:pt>
                <c:pt idx="6">
                  <c:v>5.9834977185614555</c:v>
                </c:pt>
                <c:pt idx="7">
                  <c:v>7.073898957347752</c:v>
                </c:pt>
                <c:pt idx="8">
                  <c:v>8.3637090088965884</c:v>
                </c:pt>
                <c:pt idx="9">
                  <c:v>9.8895152893480418</c:v>
                </c:pt>
                <c:pt idx="10">
                  <c:v>11.694638833681379</c:v>
                </c:pt>
                <c:pt idx="11">
                  <c:v>13.830377075498925</c:v>
                </c:pt>
                <c:pt idx="12">
                  <c:v>16.357476595837191</c:v>
                </c:pt>
                <c:pt idx="13">
                  <c:v>19.347878496730672</c:v>
                </c:pt>
                <c:pt idx="14">
                  <c:v>22.886786984377736</c:v>
                </c:pt>
                <c:pt idx="15">
                  <c:v>27.075121152693075</c:v>
                </c:pt>
                <c:pt idx="16">
                  <c:v>32.032421116321139</c:v>
                </c:pt>
                <c:pt idx="17">
                  <c:v>37.90029287987057</c:v>
                </c:pt>
                <c:pt idx="18">
                  <c:v>44.846492035377821</c:v>
                </c:pt>
                <c:pt idx="19">
                  <c:v>53.069765013562751</c:v>
                </c:pt>
                <c:pt idx="20">
                  <c:v>62.805588723200408</c:v>
                </c:pt>
                <c:pt idx="21">
                  <c:v>79.544350412184983</c:v>
                </c:pt>
                <c:pt idx="22">
                  <c:v>96.193406428466844</c:v>
                </c:pt>
                <c:pt idx="23">
                  <c:v>112.77054987950528</c:v>
                </c:pt>
                <c:pt idx="24">
                  <c:v>129.28787235572034</c:v>
                </c:pt>
                <c:pt idx="25">
                  <c:v>145.75410668135339</c:v>
                </c:pt>
                <c:pt idx="26">
                  <c:v>150.23693675874819</c:v>
                </c:pt>
                <c:pt idx="27">
                  <c:v>167.76494354361137</c:v>
                </c:pt>
                <c:pt idx="28">
                  <c:v>185.24975095506522</c:v>
                </c:pt>
                <c:pt idx="29">
                  <c:v>202.69601208813614</c:v>
                </c:pt>
                <c:pt idx="30">
                  <c:v>220.10751245497332</c:v>
                </c:pt>
                <c:pt idx="31">
                  <c:v>187.10749574697891</c:v>
                </c:pt>
                <c:pt idx="32">
                  <c:v>206.03271564587536</c:v>
                </c:pt>
                <c:pt idx="33">
                  <c:v>224.91775571009896</c:v>
                </c:pt>
                <c:pt idx="34">
                  <c:v>243.76646443655662</c:v>
                </c:pt>
                <c:pt idx="35">
                  <c:v>262.58204610854824</c:v>
                </c:pt>
                <c:pt idx="36">
                  <c:v>230.09538291979393</c:v>
                </c:pt>
                <c:pt idx="37">
                  <c:v>249.3037681780522</c:v>
                </c:pt>
                <c:pt idx="38">
                  <c:v>268.47858881189217</c:v>
                </c:pt>
                <c:pt idx="39">
                  <c:v>287.62257877818189</c:v>
                </c:pt>
                <c:pt idx="40">
                  <c:v>306.73807829258823</c:v>
                </c:pt>
                <c:pt idx="41">
                  <c:v>275.47695163372049</c:v>
                </c:pt>
                <c:pt idx="42">
                  <c:v>295.71325882522711</c:v>
                </c:pt>
                <c:pt idx="43">
                  <c:v>315.9186873454837</c:v>
                </c:pt>
                <c:pt idx="44">
                  <c:v>336.09548909483647</c:v>
                </c:pt>
                <c:pt idx="45">
                  <c:v>356.24562356348298</c:v>
                </c:pt>
                <c:pt idx="46">
                  <c:v>325.0933857428227</c:v>
                </c:pt>
                <c:pt idx="47">
                  <c:v>345.25783856692902</c:v>
                </c:pt>
                <c:pt idx="48">
                  <c:v>365.39643285792204</c:v>
                </c:pt>
                <c:pt idx="49">
                  <c:v>385.51079352962591</c:v>
                </c:pt>
                <c:pt idx="50">
                  <c:v>405.60236216041108</c:v>
                </c:pt>
                <c:pt idx="51">
                  <c:v>374.54223769767958</c:v>
                </c:pt>
                <c:pt idx="52">
                  <c:v>394.64606952207765</c:v>
                </c:pt>
                <c:pt idx="53">
                  <c:v>414.7277120155033</c:v>
                </c:pt>
                <c:pt idx="54">
                  <c:v>434.78839012126599</c:v>
                </c:pt>
                <c:pt idx="55">
                  <c:v>454.82920658695599</c:v>
                </c:pt>
                <c:pt idx="56">
                  <c:v>423.48397302905897</c:v>
                </c:pt>
                <c:pt idx="57">
                  <c:v>443.17145181723475</c:v>
                </c:pt>
                <c:pt idx="58">
                  <c:v>462.8401985900677</c:v>
                </c:pt>
                <c:pt idx="59">
                  <c:v>482.49112087009513</c:v>
                </c:pt>
                <c:pt idx="60">
                  <c:v>502.1250462743144</c:v>
                </c:pt>
                <c:pt idx="61">
                  <c:v>470.12035055146049</c:v>
                </c:pt>
                <c:pt idx="62">
                  <c:v>489.03761244496349</c:v>
                </c:pt>
                <c:pt idx="63">
                  <c:v>507.93935454019061</c:v>
                </c:pt>
                <c:pt idx="64">
                  <c:v>526.82623526820396</c:v>
                </c:pt>
                <c:pt idx="65">
                  <c:v>545.69886203239594</c:v>
                </c:pt>
                <c:pt idx="66">
                  <c:v>513.02571977154435</c:v>
                </c:pt>
                <c:pt idx="67">
                  <c:v>531.18270081556818</c:v>
                </c:pt>
                <c:pt idx="68">
                  <c:v>549.32662698500246</c:v>
                </c:pt>
                <c:pt idx="69">
                  <c:v>567.45798988344666</c:v>
                </c:pt>
                <c:pt idx="70">
                  <c:v>585.57724715974553</c:v>
                </c:pt>
                <c:pt idx="71">
                  <c:v>551.86576328556498</c:v>
                </c:pt>
                <c:pt idx="72">
                  <c:v>568.90797010861979</c:v>
                </c:pt>
                <c:pt idx="73">
                  <c:v>585.93951180923568</c:v>
                </c:pt>
                <c:pt idx="74">
                  <c:v>602.96074183921121</c:v>
                </c:pt>
                <c:pt idx="75">
                  <c:v>619.97199208161771</c:v>
                </c:pt>
                <c:pt idx="76">
                  <c:v>585.21497783974257</c:v>
                </c:pt>
                <c:pt idx="77">
                  <c:v>601.15045270282633</c:v>
                </c:pt>
                <c:pt idx="78">
                  <c:v>617.07715121692206</c:v>
                </c:pt>
                <c:pt idx="79">
                  <c:v>632.99533165913169</c:v>
                </c:pt>
                <c:pt idx="80">
                  <c:v>648.90523826610968</c:v>
                </c:pt>
                <c:pt idx="81">
                  <c:v>613.4582040265019</c:v>
                </c:pt>
                <c:pt idx="82">
                  <c:v>628.65484029812262</c:v>
                </c:pt>
                <c:pt idx="83">
                  <c:v>643.84387841344744</c:v>
                </c:pt>
                <c:pt idx="84">
                  <c:v>659.02552275988899</c:v>
                </c:pt>
                <c:pt idx="85">
                  <c:v>674.19996754655335</c:v>
                </c:pt>
                <c:pt idx="86">
                  <c:v>639.50491644472538</c:v>
                </c:pt>
                <c:pt idx="87">
                  <c:v>653.60434327896314</c:v>
                </c:pt>
                <c:pt idx="88">
                  <c:v>667.69750358645092</c:v>
                </c:pt>
                <c:pt idx="89">
                  <c:v>681.78454819307149</c:v>
                </c:pt>
                <c:pt idx="90">
                  <c:v>695.86562118765903</c:v>
                </c:pt>
                <c:pt idx="91">
                  <c:v>662.63913175881328</c:v>
                </c:pt>
                <c:pt idx="92">
                  <c:v>676.36716853994983</c:v>
                </c:pt>
                <c:pt idx="93">
                  <c:v>690.0894841619787</c:v>
                </c:pt>
                <c:pt idx="94">
                  <c:v>703.80620835021955</c:v>
                </c:pt>
                <c:pt idx="95">
                  <c:v>717.51746536438895</c:v>
                </c:pt>
                <c:pt idx="96">
                  <c:v>685.39564340837808</c:v>
                </c:pt>
                <c:pt idx="97">
                  <c:v>698.39237185117838</c:v>
                </c:pt>
                <c:pt idx="98">
                  <c:v>711.38415005145782</c:v>
                </c:pt>
                <c:pt idx="99">
                  <c:v>724.37108110022928</c:v>
                </c:pt>
                <c:pt idx="100">
                  <c:v>737.35326409283982</c:v>
                </c:pt>
                <c:pt idx="101">
                  <c:v>705.97150402109219</c:v>
                </c:pt>
                <c:pt idx="102">
                  <c:v>717.87821518538203</c:v>
                </c:pt>
                <c:pt idx="103">
                  <c:v>729.7808954807623</c:v>
                </c:pt>
                <c:pt idx="104">
                  <c:v>741.67961988038894</c:v>
                </c:pt>
                <c:pt idx="105">
                  <c:v>753.57446075706082</c:v>
                </c:pt>
                <c:pt idx="106">
                  <c:v>724.37108110022939</c:v>
                </c:pt>
                <c:pt idx="107">
                  <c:v>736.63215463032975</c:v>
                </c:pt>
                <c:pt idx="108">
                  <c:v>748.88907342795665</c:v>
                </c:pt>
                <c:pt idx="109">
                  <c:v>761.14191503494703</c:v>
                </c:pt>
                <c:pt idx="110">
                  <c:v>773.3907542946223</c:v>
                </c:pt>
                <c:pt idx="111">
                  <c:v>743.8426049982703</c:v>
                </c:pt>
                <c:pt idx="112">
                  <c:v>753.93485060091416</c:v>
                </c:pt>
                <c:pt idx="113">
                  <c:v>764.02435221498718</c:v>
                </c:pt>
                <c:pt idx="114">
                  <c:v>774.11115116776352</c:v>
                </c:pt>
                <c:pt idx="115">
                  <c:v>784.19528762222581</c:v>
                </c:pt>
                <c:pt idx="116">
                  <c:v>744.56357158364528</c:v>
                </c:pt>
                <c:pt idx="117">
                  <c:v>744.56357158364528</c:v>
                </c:pt>
                <c:pt idx="118">
                  <c:v>744.56357158364528</c:v>
                </c:pt>
                <c:pt idx="119">
                  <c:v>744.56357158364528</c:v>
                </c:pt>
                <c:pt idx="120">
                  <c:v>744.56357158364528</c:v>
                </c:pt>
                <c:pt idx="121">
                  <c:v>744.56357158364528</c:v>
                </c:pt>
                <c:pt idx="122">
                  <c:v>744.56357158364528</c:v>
                </c:pt>
                <c:pt idx="123">
                  <c:v>744.56357158364528</c:v>
                </c:pt>
                <c:pt idx="124">
                  <c:v>744.56357158364528</c:v>
                </c:pt>
                <c:pt idx="125">
                  <c:v>744.56357158364528</c:v>
                </c:pt>
                <c:pt idx="126">
                  <c:v>744.56357158364528</c:v>
                </c:pt>
                <c:pt idx="127">
                  <c:v>744.56357158364528</c:v>
                </c:pt>
                <c:pt idx="128">
                  <c:v>744.56357158364528</c:v>
                </c:pt>
                <c:pt idx="129">
                  <c:v>744.56357158364528</c:v>
                </c:pt>
                <c:pt idx="130">
                  <c:v>744.56357158364528</c:v>
                </c:pt>
                <c:pt idx="131">
                  <c:v>744.56357158364528</c:v>
                </c:pt>
                <c:pt idx="132">
                  <c:v>744.56357158364528</c:v>
                </c:pt>
                <c:pt idx="133">
                  <c:v>744.56357158364528</c:v>
                </c:pt>
                <c:pt idx="134">
                  <c:v>744.56357158364528</c:v>
                </c:pt>
                <c:pt idx="135">
                  <c:v>744.56357158364528</c:v>
                </c:pt>
                <c:pt idx="136">
                  <c:v>744.56357158364528</c:v>
                </c:pt>
                <c:pt idx="137">
                  <c:v>744.56357158364528</c:v>
                </c:pt>
                <c:pt idx="138">
                  <c:v>744.56357158364528</c:v>
                </c:pt>
                <c:pt idx="139">
                  <c:v>744.56357158364528</c:v>
                </c:pt>
                <c:pt idx="140">
                  <c:v>744.56357158364528</c:v>
                </c:pt>
                <c:pt idx="141">
                  <c:v>744.56357158364528</c:v>
                </c:pt>
                <c:pt idx="142">
                  <c:v>744.56357158364528</c:v>
                </c:pt>
                <c:pt idx="143">
                  <c:v>744.56357158364528</c:v>
                </c:pt>
                <c:pt idx="144">
                  <c:v>744.56357158364528</c:v>
                </c:pt>
                <c:pt idx="145">
                  <c:v>744.56357158364528</c:v>
                </c:pt>
                <c:pt idx="146">
                  <c:v>744.56357158364528</c:v>
                </c:pt>
                <c:pt idx="147">
                  <c:v>744.56357158364528</c:v>
                </c:pt>
                <c:pt idx="148">
                  <c:v>744.56357158364528</c:v>
                </c:pt>
                <c:pt idx="149">
                  <c:v>744.56357158364528</c:v>
                </c:pt>
                <c:pt idx="150">
                  <c:v>744.56357158364528</c:v>
                </c:pt>
                <c:pt idx="151">
                  <c:v>744.56357158364528</c:v>
                </c:pt>
                <c:pt idx="152">
                  <c:v>744.56357158364528</c:v>
                </c:pt>
                <c:pt idx="153">
                  <c:v>744.56357158364528</c:v>
                </c:pt>
                <c:pt idx="154">
                  <c:v>744.56357158364528</c:v>
                </c:pt>
                <c:pt idx="155">
                  <c:v>744.56357158364528</c:v>
                </c:pt>
                <c:pt idx="156">
                  <c:v>744.56357158364528</c:v>
                </c:pt>
                <c:pt idx="157">
                  <c:v>744.56357158364528</c:v>
                </c:pt>
                <c:pt idx="158">
                  <c:v>744.56357158364528</c:v>
                </c:pt>
                <c:pt idx="159">
                  <c:v>744.56357158364528</c:v>
                </c:pt>
                <c:pt idx="160">
                  <c:v>744.56357158364528</c:v>
                </c:pt>
                <c:pt idx="161">
                  <c:v>744.56357158364528</c:v>
                </c:pt>
                <c:pt idx="162">
                  <c:v>744.56357158364528</c:v>
                </c:pt>
                <c:pt idx="163">
                  <c:v>744.56357158364528</c:v>
                </c:pt>
                <c:pt idx="164">
                  <c:v>744.56357158364528</c:v>
                </c:pt>
                <c:pt idx="165">
                  <c:v>744.56357158364528</c:v>
                </c:pt>
                <c:pt idx="166">
                  <c:v>744.56357158364528</c:v>
                </c:pt>
                <c:pt idx="167">
                  <c:v>744.56357158364528</c:v>
                </c:pt>
                <c:pt idx="168">
                  <c:v>744.56357158364528</c:v>
                </c:pt>
                <c:pt idx="169">
                  <c:v>744.56357158364528</c:v>
                </c:pt>
                <c:pt idx="170">
                  <c:v>744.56357158364528</c:v>
                </c:pt>
                <c:pt idx="171">
                  <c:v>744.56357158364528</c:v>
                </c:pt>
                <c:pt idx="172">
                  <c:v>744.56357158364528</c:v>
                </c:pt>
                <c:pt idx="173">
                  <c:v>744.56357158364528</c:v>
                </c:pt>
                <c:pt idx="174">
                  <c:v>744.56357158364528</c:v>
                </c:pt>
                <c:pt idx="175">
                  <c:v>744.56357158364528</c:v>
                </c:pt>
                <c:pt idx="176">
                  <c:v>744.56357158364528</c:v>
                </c:pt>
                <c:pt idx="177">
                  <c:v>744.56357158364528</c:v>
                </c:pt>
                <c:pt idx="178">
                  <c:v>744.56357158364528</c:v>
                </c:pt>
                <c:pt idx="179">
                  <c:v>744.56357158364528</c:v>
                </c:pt>
                <c:pt idx="180">
                  <c:v>744.56357158364528</c:v>
                </c:pt>
                <c:pt idx="181">
                  <c:v>744.56357158364528</c:v>
                </c:pt>
                <c:pt idx="182">
                  <c:v>744.56357158364528</c:v>
                </c:pt>
                <c:pt idx="183">
                  <c:v>744.56357158364528</c:v>
                </c:pt>
                <c:pt idx="184">
                  <c:v>744.56357158364528</c:v>
                </c:pt>
                <c:pt idx="185">
                  <c:v>744.56357158364528</c:v>
                </c:pt>
                <c:pt idx="186">
                  <c:v>744.56357158364528</c:v>
                </c:pt>
                <c:pt idx="187">
                  <c:v>744.56357158364528</c:v>
                </c:pt>
                <c:pt idx="188">
                  <c:v>744.56357158364528</c:v>
                </c:pt>
                <c:pt idx="189">
                  <c:v>744.56357158364528</c:v>
                </c:pt>
                <c:pt idx="190">
                  <c:v>744.56357158364528</c:v>
                </c:pt>
                <c:pt idx="191">
                  <c:v>744.56357158364528</c:v>
                </c:pt>
                <c:pt idx="192">
                  <c:v>744.56357158364528</c:v>
                </c:pt>
                <c:pt idx="193">
                  <c:v>744.56357158364528</c:v>
                </c:pt>
                <c:pt idx="194">
                  <c:v>744.56357158364528</c:v>
                </c:pt>
                <c:pt idx="195">
                  <c:v>744.56357158364528</c:v>
                </c:pt>
                <c:pt idx="196">
                  <c:v>744.56357158364528</c:v>
                </c:pt>
                <c:pt idx="197">
                  <c:v>744.56357158364528</c:v>
                </c:pt>
                <c:pt idx="198">
                  <c:v>744.56357158364528</c:v>
                </c:pt>
                <c:pt idx="199">
                  <c:v>744.56357158364528</c:v>
                </c:pt>
                <c:pt idx="200">
                  <c:v>744.56357158364528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1.4377206581747635</c:v>
                </c:pt>
                <c:pt idx="2">
                  <c:v>1.6869107492739737</c:v>
                </c:pt>
                <c:pt idx="3">
                  <c:v>1.9794540498472124</c:v>
                </c:pt>
                <c:pt idx="4">
                  <c:v>2.32291986509308</c:v>
                </c:pt>
                <c:pt idx="5">
                  <c:v>2.726203488604082</c:v>
                </c:pt>
                <c:pt idx="6">
                  <c:v>3.199759212006402</c:v>
                </c:pt>
                <c:pt idx="7">
                  <c:v>3.7558743983793579</c:v>
                </c:pt>
                <c:pt idx="8">
                  <c:v>4.4089918754319024</c:v>
                </c:pt>
                <c:pt idx="9">
                  <c:v>5.1760891896651691</c:v>
                </c:pt>
                <c:pt idx="10">
                  <c:v>6.0771247761632603</c:v>
                </c:pt>
                <c:pt idx="11">
                  <c:v>7.1355628808147005</c:v>
                </c:pt>
                <c:pt idx="12">
                  <c:v>8.378991170491787</c:v>
                </c:pt>
                <c:pt idx="13">
                  <c:v>9.83984743834616</c:v>
                </c:pt>
                <c:pt idx="14">
                  <c:v>11.556274722302414</c:v>
                </c:pt>
                <c:pt idx="15">
                  <c:v>13.573127583273013</c:v>
                </c:pt>
                <c:pt idx="16">
                  <c:v>15.943156327756114</c:v>
                </c:pt>
                <c:pt idx="17">
                  <c:v>18.728400715938637</c:v>
                </c:pt>
                <c:pt idx="18">
                  <c:v>22.001830299220078</c:v>
                </c:pt>
                <c:pt idx="19">
                  <c:v>25.849275131059283</c:v>
                </c:pt>
                <c:pt idx="20">
                  <c:v>30.371698370020116</c:v>
                </c:pt>
                <c:pt idx="21">
                  <c:v>35.687871453399147</c:v>
                </c:pt>
                <c:pt idx="22">
                  <c:v>41.937523310830301</c:v>
                </c:pt>
                <c:pt idx="23">
                  <c:v>49.285047800875581</c:v>
                </c:pt>
                <c:pt idx="24">
                  <c:v>57.923868532938087</c:v>
                </c:pt>
                <c:pt idx="25">
                  <c:v>68.081577886310939</c:v>
                </c:pt>
                <c:pt idx="26">
                  <c:v>80.025987834536735</c:v>
                </c:pt>
                <c:pt idx="27">
                  <c:v>94.072254688474018</c:v>
                </c:pt>
                <c:pt idx="28">
                  <c:v>110.59126874802261</c:v>
                </c:pt>
                <c:pt idx="29">
                  <c:v>130.01953388132486</c:v>
                </c:pt>
                <c:pt idx="30">
                  <c:v>152.87080215212242</c:v>
                </c:pt>
                <c:pt idx="31">
                  <c:v>169.65915113688018</c:v>
                </c:pt>
                <c:pt idx="32">
                  <c:v>186.40835894763052</c:v>
                </c:pt>
                <c:pt idx="33">
                  <c:v>203.12243907508991</c:v>
                </c:pt>
                <c:pt idx="34">
                  <c:v>219.80468967561649</c:v>
                </c:pt>
                <c:pt idx="35">
                  <c:v>236.45786689034392</c:v>
                </c:pt>
                <c:pt idx="36">
                  <c:v>253.08430665513359</c:v>
                </c:pt>
                <c:pt idx="37">
                  <c:v>269.68601275966461</c:v>
                </c:pt>
                <c:pt idx="38">
                  <c:v>286.26472205280169</c:v>
                </c:pt>
                <c:pt idx="39">
                  <c:v>302.82195373285214</c:v>
                </c:pt>
                <c:pt idx="40">
                  <c:v>319.359047282863</c:v>
                </c:pt>
                <c:pt idx="41">
                  <c:v>335.87719213129731</c:v>
                </c:pt>
                <c:pt idx="42">
                  <c:v>352.37745116940761</c:v>
                </c:pt>
                <c:pt idx="43">
                  <c:v>263.88557086776916</c:v>
                </c:pt>
                <c:pt idx="44">
                  <c:v>281.04264718908837</c:v>
                </c:pt>
                <c:pt idx="45">
                  <c:v>298.17625094301241</c:v>
                </c:pt>
                <c:pt idx="46">
                  <c:v>315.28792051721973</c:v>
                </c:pt>
                <c:pt idx="47">
                  <c:v>332.37901367223782</c:v>
                </c:pt>
                <c:pt idx="48">
                  <c:v>349.45073714165352</c:v>
                </c:pt>
                <c:pt idx="49">
                  <c:v>366.50417014279401</c:v>
                </c:pt>
                <c:pt idx="50">
                  <c:v>383.5402832813997</c:v>
                </c:pt>
                <c:pt idx="51">
                  <c:v>293.4198752951807</c:v>
                </c:pt>
                <c:pt idx="52">
                  <c:v>309.82259987136587</c:v>
                </c:pt>
                <c:pt idx="53">
                  <c:v>326.20605072251124</c:v>
                </c:pt>
                <c:pt idx="54">
                  <c:v>342.5713319791501</c:v>
                </c:pt>
                <c:pt idx="55">
                  <c:v>358.91943367247535</c:v>
                </c:pt>
                <c:pt idx="56">
                  <c:v>375.25124829375051</c:v>
                </c:pt>
                <c:pt idx="57">
                  <c:v>391.56758431956655</c:v>
                </c:pt>
                <c:pt idx="58">
                  <c:v>407.86917736468848</c:v>
                </c:pt>
                <c:pt idx="59">
                  <c:v>336.62747071784582</c:v>
                </c:pt>
                <c:pt idx="60">
                  <c:v>352.54474716882811</c:v>
                </c:pt>
                <c:pt idx="61">
                  <c:v>368.44627640452944</c:v>
                </c:pt>
                <c:pt idx="62">
                  <c:v>384.33283360873367</c:v>
                </c:pt>
                <c:pt idx="63">
                  <c:v>400.20512466008404</c:v>
                </c:pt>
                <c:pt idx="64">
                  <c:v>416.06379488845647</c:v>
                </c:pt>
                <c:pt idx="65">
                  <c:v>431.90943642660909</c:v>
                </c:pt>
                <c:pt idx="66">
                  <c:v>447.74259442675412</c:v>
                </c:pt>
                <c:pt idx="67">
                  <c:v>375.55407197802145</c:v>
                </c:pt>
                <c:pt idx="68">
                  <c:v>390.71902319988516</c:v>
                </c:pt>
                <c:pt idx="69">
                  <c:v>405.87120811496544</c:v>
                </c:pt>
                <c:pt idx="70">
                  <c:v>421.01117034902131</c:v>
                </c:pt>
                <c:pt idx="71">
                  <c:v>436.13941124658749</c:v>
                </c:pt>
                <c:pt idx="72">
                  <c:v>451.25639454253911</c:v>
                </c:pt>
                <c:pt idx="73">
                  <c:v>466.36255037510381</c:v>
                </c:pt>
                <c:pt idx="74">
                  <c:v>481.45827875190781</c:v>
                </c:pt>
                <c:pt idx="75">
                  <c:v>496.54395255876375</c:v>
                </c:pt>
                <c:pt idx="76">
                  <c:v>423.40314483123649</c:v>
                </c:pt>
                <c:pt idx="77">
                  <c:v>437.66237826853438</c:v>
                </c:pt>
                <c:pt idx="78">
                  <c:v>451.91164839468348</c:v>
                </c:pt>
                <c:pt idx="79">
                  <c:v>466.15131355533964</c:v>
                </c:pt>
                <c:pt idx="80">
                  <c:v>480.38170842202425</c:v>
                </c:pt>
                <c:pt idx="81">
                  <c:v>494.6031462257688</c:v>
                </c:pt>
                <c:pt idx="82">
                  <c:v>508.81592072053917</c:v>
                </c:pt>
                <c:pt idx="83">
                  <c:v>523.02030791590926</c:v>
                </c:pt>
                <c:pt idx="84">
                  <c:v>446.63343927814032</c:v>
                </c:pt>
                <c:pt idx="85">
                  <c:v>459.77932579042158</c:v>
                </c:pt>
                <c:pt idx="86">
                  <c:v>472.91719077481588</c:v>
                </c:pt>
                <c:pt idx="87">
                  <c:v>486.04728844130017</c:v>
                </c:pt>
                <c:pt idx="88">
                  <c:v>499.16985814728554</c:v>
                </c:pt>
                <c:pt idx="89">
                  <c:v>512.28512564123855</c:v>
                </c:pt>
                <c:pt idx="90">
                  <c:v>525.39330417234487</c:v>
                </c:pt>
                <c:pt idx="91">
                  <c:v>538.49459548369055</c:v>
                </c:pt>
                <c:pt idx="92">
                  <c:v>287.47041232900375</c:v>
                </c:pt>
                <c:pt idx="93">
                  <c:v>296.03076645817242</c:v>
                </c:pt>
                <c:pt idx="94">
                  <c:v>304.58560084390916</c:v>
                </c:pt>
                <c:pt idx="95">
                  <c:v>313.13509251387984</c:v>
                </c:pt>
                <c:pt idx="96">
                  <c:v>321.67940803184018</c:v>
                </c:pt>
                <c:pt idx="97">
                  <c:v>330.2187043837497</c:v>
                </c:pt>
                <c:pt idx="98">
                  <c:v>338.75312976737865</c:v>
                </c:pt>
                <c:pt idx="99">
                  <c:v>347.28282429814044</c:v>
                </c:pt>
                <c:pt idx="100">
                  <c:v>355.80792064191445</c:v>
                </c:pt>
                <c:pt idx="101">
                  <c:v>364.3285445840225</c:v>
                </c:pt>
                <c:pt idx="102">
                  <c:v>6.0554227957464972</c:v>
                </c:pt>
                <c:pt idx="103">
                  <c:v>6.0554227957464972</c:v>
                </c:pt>
                <c:pt idx="104">
                  <c:v>6.0554227957464972</c:v>
                </c:pt>
                <c:pt idx="105">
                  <c:v>6.0554227957464972</c:v>
                </c:pt>
                <c:pt idx="106">
                  <c:v>6.0554227957464972</c:v>
                </c:pt>
                <c:pt idx="107">
                  <c:v>6.0554227957464972</c:v>
                </c:pt>
                <c:pt idx="108">
                  <c:v>6.0554227957464972</c:v>
                </c:pt>
                <c:pt idx="109">
                  <c:v>6.0554227957464972</c:v>
                </c:pt>
                <c:pt idx="110">
                  <c:v>6.0554227957464972</c:v>
                </c:pt>
                <c:pt idx="111">
                  <c:v>6.0554227957464972</c:v>
                </c:pt>
                <c:pt idx="112">
                  <c:v>6.0554227957464972</c:v>
                </c:pt>
                <c:pt idx="113">
                  <c:v>6.0554227957464972</c:v>
                </c:pt>
                <c:pt idx="114">
                  <c:v>6.0554227957464972</c:v>
                </c:pt>
                <c:pt idx="115">
                  <c:v>6.0554227957464972</c:v>
                </c:pt>
                <c:pt idx="116">
                  <c:v>6.0554227957464972</c:v>
                </c:pt>
                <c:pt idx="117">
                  <c:v>6.0554227957464972</c:v>
                </c:pt>
                <c:pt idx="118">
                  <c:v>6.0554227957464972</c:v>
                </c:pt>
                <c:pt idx="119">
                  <c:v>6.0554227957464972</c:v>
                </c:pt>
                <c:pt idx="120">
                  <c:v>6.0554227957464972</c:v>
                </c:pt>
                <c:pt idx="121">
                  <c:v>6.0554227957464972</c:v>
                </c:pt>
                <c:pt idx="122">
                  <c:v>6.0554227957464972</c:v>
                </c:pt>
                <c:pt idx="123">
                  <c:v>6.0554227957464972</c:v>
                </c:pt>
                <c:pt idx="124">
                  <c:v>6.0554227957464972</c:v>
                </c:pt>
                <c:pt idx="125">
                  <c:v>6.0554227957464972</c:v>
                </c:pt>
                <c:pt idx="126">
                  <c:v>6.0554227957464972</c:v>
                </c:pt>
                <c:pt idx="127">
                  <c:v>6.0554227957464972</c:v>
                </c:pt>
                <c:pt idx="128">
                  <c:v>6.0554227957464972</c:v>
                </c:pt>
                <c:pt idx="129">
                  <c:v>6.0554227957464972</c:v>
                </c:pt>
                <c:pt idx="130">
                  <c:v>6.0554227957464972</c:v>
                </c:pt>
                <c:pt idx="131">
                  <c:v>6.0554227957464972</c:v>
                </c:pt>
                <c:pt idx="132">
                  <c:v>6.0554227957464972</c:v>
                </c:pt>
                <c:pt idx="133">
                  <c:v>6.0554227957464972</c:v>
                </c:pt>
                <c:pt idx="134">
                  <c:v>6.0554227957464972</c:v>
                </c:pt>
                <c:pt idx="135">
                  <c:v>6.0554227957464972</c:v>
                </c:pt>
                <c:pt idx="136">
                  <c:v>6.0554227957464972</c:v>
                </c:pt>
                <c:pt idx="137">
                  <c:v>6.0554227957464972</c:v>
                </c:pt>
                <c:pt idx="138">
                  <c:v>6.0554227957464972</c:v>
                </c:pt>
                <c:pt idx="139">
                  <c:v>6.0554227957464972</c:v>
                </c:pt>
                <c:pt idx="140">
                  <c:v>6.0554227957464972</c:v>
                </c:pt>
                <c:pt idx="141">
                  <c:v>6.0554227957464972</c:v>
                </c:pt>
                <c:pt idx="142">
                  <c:v>6.0554227957464972</c:v>
                </c:pt>
                <c:pt idx="143">
                  <c:v>6.0554227957464972</c:v>
                </c:pt>
                <c:pt idx="144">
                  <c:v>6.0554227957464972</c:v>
                </c:pt>
                <c:pt idx="145">
                  <c:v>6.0554227957464972</c:v>
                </c:pt>
                <c:pt idx="146">
                  <c:v>6.0554227957464972</c:v>
                </c:pt>
                <c:pt idx="147">
                  <c:v>6.0554227957464972</c:v>
                </c:pt>
                <c:pt idx="148">
                  <c:v>6.0554227957464972</c:v>
                </c:pt>
                <c:pt idx="149">
                  <c:v>6.0554227957464972</c:v>
                </c:pt>
                <c:pt idx="150">
                  <c:v>6.0554227957464972</c:v>
                </c:pt>
                <c:pt idx="151">
                  <c:v>6.0554227957464972</c:v>
                </c:pt>
                <c:pt idx="152">
                  <c:v>6.0554227957464972</c:v>
                </c:pt>
                <c:pt idx="153">
                  <c:v>6.0554227957464972</c:v>
                </c:pt>
                <c:pt idx="154">
                  <c:v>6.0554227957464972</c:v>
                </c:pt>
                <c:pt idx="155">
                  <c:v>6.0554227957464972</c:v>
                </c:pt>
                <c:pt idx="156">
                  <c:v>6.0554227957464972</c:v>
                </c:pt>
                <c:pt idx="157">
                  <c:v>6.0554227957464972</c:v>
                </c:pt>
                <c:pt idx="158">
                  <c:v>6.0554227957464972</c:v>
                </c:pt>
                <c:pt idx="159">
                  <c:v>6.0554227957464972</c:v>
                </c:pt>
                <c:pt idx="160">
                  <c:v>6.0554227957464972</c:v>
                </c:pt>
                <c:pt idx="161">
                  <c:v>6.0554227957464972</c:v>
                </c:pt>
                <c:pt idx="162">
                  <c:v>6.0554227957464972</c:v>
                </c:pt>
                <c:pt idx="163">
                  <c:v>6.0554227957464972</c:v>
                </c:pt>
                <c:pt idx="164">
                  <c:v>6.0554227957464972</c:v>
                </c:pt>
                <c:pt idx="165">
                  <c:v>6.0554227957464972</c:v>
                </c:pt>
                <c:pt idx="166">
                  <c:v>6.0554227957464972</c:v>
                </c:pt>
                <c:pt idx="167">
                  <c:v>6.0554227957464972</c:v>
                </c:pt>
                <c:pt idx="168">
                  <c:v>6.0554227957464972</c:v>
                </c:pt>
                <c:pt idx="169">
                  <c:v>6.0554227957464972</c:v>
                </c:pt>
                <c:pt idx="170">
                  <c:v>6.0554227957464972</c:v>
                </c:pt>
                <c:pt idx="171">
                  <c:v>6.0554227957464972</c:v>
                </c:pt>
                <c:pt idx="172">
                  <c:v>6.0554227957464972</c:v>
                </c:pt>
                <c:pt idx="173">
                  <c:v>6.0554227957464972</c:v>
                </c:pt>
                <c:pt idx="174">
                  <c:v>6.0554227957464972</c:v>
                </c:pt>
                <c:pt idx="175">
                  <c:v>6.0554227957464972</c:v>
                </c:pt>
                <c:pt idx="176">
                  <c:v>6.0554227957464972</c:v>
                </c:pt>
                <c:pt idx="177">
                  <c:v>6.0554227957464972</c:v>
                </c:pt>
                <c:pt idx="178">
                  <c:v>6.0554227957464972</c:v>
                </c:pt>
                <c:pt idx="179">
                  <c:v>6.0554227957464972</c:v>
                </c:pt>
                <c:pt idx="180">
                  <c:v>6.0554227957464972</c:v>
                </c:pt>
                <c:pt idx="181">
                  <c:v>6.0554227957464972</c:v>
                </c:pt>
                <c:pt idx="182">
                  <c:v>6.0554227957464972</c:v>
                </c:pt>
                <c:pt idx="183">
                  <c:v>6.0554227957464972</c:v>
                </c:pt>
                <c:pt idx="184">
                  <c:v>6.0554227957464972</c:v>
                </c:pt>
                <c:pt idx="185">
                  <c:v>6.0554227957464972</c:v>
                </c:pt>
                <c:pt idx="186">
                  <c:v>6.0554227957464972</c:v>
                </c:pt>
                <c:pt idx="187">
                  <c:v>6.0554227957464972</c:v>
                </c:pt>
                <c:pt idx="188">
                  <c:v>6.0554227957464972</c:v>
                </c:pt>
                <c:pt idx="189">
                  <c:v>6.0554227957464972</c:v>
                </c:pt>
                <c:pt idx="190">
                  <c:v>6.0554227957464972</c:v>
                </c:pt>
                <c:pt idx="191">
                  <c:v>6.0554227957464972</c:v>
                </c:pt>
                <c:pt idx="192">
                  <c:v>6.0554227957464972</c:v>
                </c:pt>
                <c:pt idx="193">
                  <c:v>6.0554227957464972</c:v>
                </c:pt>
                <c:pt idx="194">
                  <c:v>6.0554227957464972</c:v>
                </c:pt>
                <c:pt idx="195">
                  <c:v>6.0554227957464972</c:v>
                </c:pt>
                <c:pt idx="196">
                  <c:v>6.0554227957464972</c:v>
                </c:pt>
                <c:pt idx="197">
                  <c:v>6.0554227957464972</c:v>
                </c:pt>
                <c:pt idx="198">
                  <c:v>6.0554227957464972</c:v>
                </c:pt>
                <c:pt idx="199">
                  <c:v>6.0554227957464972</c:v>
                </c:pt>
                <c:pt idx="200">
                  <c:v>6.0554227957464972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2.3771589152136832</c:v>
                </c:pt>
                <c:pt idx="2">
                  <c:v>2.9949424842304286</c:v>
                </c:pt>
                <c:pt idx="3">
                  <c:v>3.7739077794462492</c:v>
                </c:pt>
                <c:pt idx="4">
                  <c:v>4.7562627052095419</c:v>
                </c:pt>
                <c:pt idx="5">
                  <c:v>5.9953059624826457</c:v>
                </c:pt>
                <c:pt idx="6">
                  <c:v>7.5583506142245538</c:v>
                </c:pt>
                <c:pt idx="7">
                  <c:v>9.5304205700421178</c:v>
                </c:pt>
                <c:pt idx="8">
                  <c:v>12.018924879161736</c:v>
                </c:pt>
                <c:pt idx="9">
                  <c:v>15.159569166298086</c:v>
                </c:pt>
                <c:pt idx="10">
                  <c:v>19.123832490408656</c:v>
                </c:pt>
                <c:pt idx="11">
                  <c:v>37.129924657008708</c:v>
                </c:pt>
                <c:pt idx="12">
                  <c:v>54.88875090739392</c:v>
                </c:pt>
                <c:pt idx="13">
                  <c:v>72.494513498617124</c:v>
                </c:pt>
                <c:pt idx="14">
                  <c:v>89.990173613778268</c:v>
                </c:pt>
                <c:pt idx="15">
                  <c:v>107.40030981071855</c:v>
                </c:pt>
                <c:pt idx="16">
                  <c:v>78.012881309795674</c:v>
                </c:pt>
                <c:pt idx="17">
                  <c:v>100.31646113802792</c:v>
                </c:pt>
                <c:pt idx="18">
                  <c:v>122.49645924610253</c:v>
                </c:pt>
                <c:pt idx="19">
                  <c:v>144.57852045501949</c:v>
                </c:pt>
                <c:pt idx="20">
                  <c:v>166.57974956981323</c:v>
                </c:pt>
                <c:pt idx="21">
                  <c:v>134.34850957742924</c:v>
                </c:pt>
                <c:pt idx="22">
                  <c:v>157.97933796889382</c:v>
                </c:pt>
                <c:pt idx="23">
                  <c:v>181.52619054784418</c:v>
                </c:pt>
                <c:pt idx="24">
                  <c:v>205.0015053728589</c:v>
                </c:pt>
                <c:pt idx="25">
                  <c:v>228.41463048777476</c:v>
                </c:pt>
                <c:pt idx="26">
                  <c:v>195.49245385292792</c:v>
                </c:pt>
                <c:pt idx="27">
                  <c:v>217.98082037329846</c:v>
                </c:pt>
                <c:pt idx="28">
                  <c:v>240.41585018926619</c:v>
                </c:pt>
                <c:pt idx="29">
                  <c:v>262.80321996128214</c:v>
                </c:pt>
                <c:pt idx="30">
                  <c:v>285.14755944378322</c:v>
                </c:pt>
                <c:pt idx="31">
                  <c:v>250.19618568369199</c:v>
                </c:pt>
                <c:pt idx="32">
                  <c:v>270.36084436950489</c:v>
                </c:pt>
                <c:pt idx="33">
                  <c:v>290.4916672508881</c:v>
                </c:pt>
                <c:pt idx="34">
                  <c:v>310.59132815273165</c:v>
                </c:pt>
                <c:pt idx="35">
                  <c:v>330.66212656242288</c:v>
                </c:pt>
                <c:pt idx="36">
                  <c:v>293.6342310126339</c:v>
                </c:pt>
                <c:pt idx="37">
                  <c:v>311.53277495970798</c:v>
                </c:pt>
                <c:pt idx="38">
                  <c:v>329.40850810618275</c:v>
                </c:pt>
                <c:pt idx="39">
                  <c:v>347.26284215565846</c:v>
                </c:pt>
                <c:pt idx="40">
                  <c:v>365.09703181844549</c:v>
                </c:pt>
                <c:pt idx="41">
                  <c:v>325.64701898414177</c:v>
                </c:pt>
                <c:pt idx="42">
                  <c:v>341.00051892831283</c:v>
                </c:pt>
                <c:pt idx="43">
                  <c:v>356.33882114313155</c:v>
                </c:pt>
                <c:pt idx="44">
                  <c:v>371.6626718429784</c:v>
                </c:pt>
                <c:pt idx="45">
                  <c:v>386.97275069119183</c:v>
                </c:pt>
                <c:pt idx="46">
                  <c:v>362.90791424748937</c:v>
                </c:pt>
                <c:pt idx="47">
                  <c:v>376.35086351579019</c:v>
                </c:pt>
                <c:pt idx="48">
                  <c:v>389.78335896423386</c:v>
                </c:pt>
                <c:pt idx="49">
                  <c:v>403.20581160192484</c:v>
                </c:pt>
                <c:pt idx="50">
                  <c:v>416.61860284059549</c:v>
                </c:pt>
                <c:pt idx="51">
                  <c:v>398.52467686288401</c:v>
                </c:pt>
                <c:pt idx="52">
                  <c:v>410.06935400448907</c:v>
                </c:pt>
                <c:pt idx="53">
                  <c:v>421.60701499488988</c:v>
                </c:pt>
                <c:pt idx="54">
                  <c:v>433.13787892530354</c:v>
                </c:pt>
                <c:pt idx="55">
                  <c:v>444.66215226871259</c:v>
                </c:pt>
                <c:pt idx="56">
                  <c:v>429.39887113927824</c:v>
                </c:pt>
                <c:pt idx="57">
                  <c:v>439.05655970073695</c:v>
                </c:pt>
                <c:pt idx="58">
                  <c:v>448.70969327309916</c:v>
                </c:pt>
                <c:pt idx="59">
                  <c:v>458.35838369213019</c:v>
                </c:pt>
                <c:pt idx="60">
                  <c:v>468.00273769986558</c:v>
                </c:pt>
                <c:pt idx="61">
                  <c:v>454.31269266448368</c:v>
                </c:pt>
                <c:pt idx="62">
                  <c:v>462.40331218251168</c:v>
                </c:pt>
                <c:pt idx="63">
                  <c:v>470.49091188062221</c:v>
                </c:pt>
                <c:pt idx="64">
                  <c:v>478.57555101045637</c:v>
                </c:pt>
                <c:pt idx="65">
                  <c:v>486.65728665769001</c:v>
                </c:pt>
                <c:pt idx="66">
                  <c:v>473.60073566758007</c:v>
                </c:pt>
                <c:pt idx="67">
                  <c:v>480.75168621261065</c:v>
                </c:pt>
                <c:pt idx="68">
                  <c:v>487.90037643155364</c:v>
                </c:pt>
                <c:pt idx="69">
                  <c:v>495.04684412923598</c:v>
                </c:pt>
                <c:pt idx="70">
                  <c:v>502.19112592946141</c:v>
                </c:pt>
                <c:pt idx="71">
                  <c:v>488.52189609916542</c:v>
                </c:pt>
                <c:pt idx="72">
                  <c:v>495.04684412923598</c:v>
                </c:pt>
                <c:pt idx="73">
                  <c:v>501.56996990242982</c:v>
                </c:pt>
                <c:pt idx="74">
                  <c:v>508.09130047272885</c:v>
                </c:pt>
                <c:pt idx="75">
                  <c:v>514.61086214265538</c:v>
                </c:pt>
                <c:pt idx="76">
                  <c:v>501.56996990242982</c:v>
                </c:pt>
                <c:pt idx="77">
                  <c:v>507.15979072537579</c:v>
                </c:pt>
                <c:pt idx="78">
                  <c:v>512.74830923215643</c:v>
                </c:pt>
                <c:pt idx="79">
                  <c:v>518.33554162748942</c:v>
                </c:pt>
                <c:pt idx="80">
                  <c:v>523.92150373805168</c:v>
                </c:pt>
                <c:pt idx="81">
                  <c:v>506.84927944121517</c:v>
                </c:pt>
                <c:pt idx="82">
                  <c:v>506.84927944121517</c:v>
                </c:pt>
                <c:pt idx="83">
                  <c:v>506.84927944121517</c:v>
                </c:pt>
                <c:pt idx="84">
                  <c:v>506.84927944121517</c:v>
                </c:pt>
                <c:pt idx="85">
                  <c:v>506.84927944121517</c:v>
                </c:pt>
                <c:pt idx="86">
                  <c:v>506.84927944121517</c:v>
                </c:pt>
                <c:pt idx="87">
                  <c:v>506.84927944121517</c:v>
                </c:pt>
                <c:pt idx="88">
                  <c:v>506.84927944121517</c:v>
                </c:pt>
                <c:pt idx="89">
                  <c:v>506.84927944121517</c:v>
                </c:pt>
                <c:pt idx="90">
                  <c:v>506.84927944121517</c:v>
                </c:pt>
                <c:pt idx="91">
                  <c:v>506.84927944121517</c:v>
                </c:pt>
                <c:pt idx="92">
                  <c:v>506.84927944121517</c:v>
                </c:pt>
                <c:pt idx="93">
                  <c:v>506.84927944121517</c:v>
                </c:pt>
                <c:pt idx="94">
                  <c:v>506.84927944121517</c:v>
                </c:pt>
                <c:pt idx="95">
                  <c:v>506.84927944121517</c:v>
                </c:pt>
                <c:pt idx="96">
                  <c:v>506.84927944121517</c:v>
                </c:pt>
                <c:pt idx="97">
                  <c:v>506.84927944121517</c:v>
                </c:pt>
                <c:pt idx="98">
                  <c:v>506.84927944121517</c:v>
                </c:pt>
                <c:pt idx="99">
                  <c:v>506.84927944121517</c:v>
                </c:pt>
                <c:pt idx="100">
                  <c:v>506.84927944121517</c:v>
                </c:pt>
                <c:pt idx="101">
                  <c:v>506.84927944121517</c:v>
                </c:pt>
                <c:pt idx="102">
                  <c:v>506.84927944121517</c:v>
                </c:pt>
                <c:pt idx="103">
                  <c:v>506.84927944121517</c:v>
                </c:pt>
                <c:pt idx="104">
                  <c:v>506.84927944121517</c:v>
                </c:pt>
                <c:pt idx="105">
                  <c:v>506.84927944121517</c:v>
                </c:pt>
                <c:pt idx="106">
                  <c:v>506.84927944121517</c:v>
                </c:pt>
                <c:pt idx="107">
                  <c:v>506.84927944121517</c:v>
                </c:pt>
                <c:pt idx="108">
                  <c:v>506.84927944121517</c:v>
                </c:pt>
                <c:pt idx="109">
                  <c:v>506.84927944121517</c:v>
                </c:pt>
                <c:pt idx="110">
                  <c:v>506.84927944121517</c:v>
                </c:pt>
                <c:pt idx="111">
                  <c:v>506.84927944121517</c:v>
                </c:pt>
                <c:pt idx="112">
                  <c:v>506.84927944121517</c:v>
                </c:pt>
                <c:pt idx="113">
                  <c:v>506.84927944121517</c:v>
                </c:pt>
                <c:pt idx="114">
                  <c:v>506.84927944121517</c:v>
                </c:pt>
                <c:pt idx="115">
                  <c:v>506.84927944121517</c:v>
                </c:pt>
                <c:pt idx="116">
                  <c:v>506.84927944121517</c:v>
                </c:pt>
                <c:pt idx="117">
                  <c:v>506.84927944121517</c:v>
                </c:pt>
                <c:pt idx="118">
                  <c:v>506.84927944121517</c:v>
                </c:pt>
                <c:pt idx="119">
                  <c:v>506.84927944121517</c:v>
                </c:pt>
                <c:pt idx="120">
                  <c:v>506.84927944121517</c:v>
                </c:pt>
                <c:pt idx="121">
                  <c:v>506.84927944121517</c:v>
                </c:pt>
                <c:pt idx="122">
                  <c:v>506.84927944121517</c:v>
                </c:pt>
                <c:pt idx="123">
                  <c:v>506.84927944121517</c:v>
                </c:pt>
                <c:pt idx="124">
                  <c:v>506.84927944121517</c:v>
                </c:pt>
                <c:pt idx="125">
                  <c:v>506.84927944121517</c:v>
                </c:pt>
                <c:pt idx="126">
                  <c:v>506.84927944121517</c:v>
                </c:pt>
                <c:pt idx="127">
                  <c:v>506.84927944121517</c:v>
                </c:pt>
                <c:pt idx="128">
                  <c:v>506.84927944121517</c:v>
                </c:pt>
                <c:pt idx="129">
                  <c:v>506.84927944121517</c:v>
                </c:pt>
                <c:pt idx="130">
                  <c:v>506.84927944121517</c:v>
                </c:pt>
                <c:pt idx="131">
                  <c:v>506.84927944121517</c:v>
                </c:pt>
                <c:pt idx="132">
                  <c:v>506.84927944121517</c:v>
                </c:pt>
                <c:pt idx="133">
                  <c:v>506.84927944121517</c:v>
                </c:pt>
                <c:pt idx="134">
                  <c:v>506.84927944121517</c:v>
                </c:pt>
                <c:pt idx="135">
                  <c:v>506.84927944121517</c:v>
                </c:pt>
                <c:pt idx="136">
                  <c:v>506.84927944121517</c:v>
                </c:pt>
                <c:pt idx="137">
                  <c:v>506.84927944121517</c:v>
                </c:pt>
                <c:pt idx="138">
                  <c:v>506.84927944121517</c:v>
                </c:pt>
                <c:pt idx="139">
                  <c:v>506.84927944121517</c:v>
                </c:pt>
                <c:pt idx="140">
                  <c:v>506.84927944121517</c:v>
                </c:pt>
                <c:pt idx="141">
                  <c:v>506.84927944121517</c:v>
                </c:pt>
                <c:pt idx="142">
                  <c:v>506.84927944121517</c:v>
                </c:pt>
                <c:pt idx="143">
                  <c:v>506.84927944121517</c:v>
                </c:pt>
                <c:pt idx="144">
                  <c:v>506.84927944121517</c:v>
                </c:pt>
                <c:pt idx="145">
                  <c:v>506.84927944121517</c:v>
                </c:pt>
                <c:pt idx="146">
                  <c:v>506.84927944121517</c:v>
                </c:pt>
                <c:pt idx="147">
                  <c:v>506.84927944121517</c:v>
                </c:pt>
                <c:pt idx="148">
                  <c:v>506.84927944121517</c:v>
                </c:pt>
                <c:pt idx="149">
                  <c:v>506.84927944121517</c:v>
                </c:pt>
                <c:pt idx="150">
                  <c:v>506.84927944121517</c:v>
                </c:pt>
                <c:pt idx="151">
                  <c:v>506.84927944121517</c:v>
                </c:pt>
                <c:pt idx="152">
                  <c:v>506.84927944121517</c:v>
                </c:pt>
                <c:pt idx="153">
                  <c:v>506.84927944121517</c:v>
                </c:pt>
                <c:pt idx="154">
                  <c:v>506.84927944121517</c:v>
                </c:pt>
                <c:pt idx="155">
                  <c:v>506.84927944121517</c:v>
                </c:pt>
                <c:pt idx="156">
                  <c:v>506.84927944121517</c:v>
                </c:pt>
                <c:pt idx="157">
                  <c:v>506.84927944121517</c:v>
                </c:pt>
                <c:pt idx="158">
                  <c:v>506.84927944121517</c:v>
                </c:pt>
                <c:pt idx="159">
                  <c:v>506.84927944121517</c:v>
                </c:pt>
                <c:pt idx="160">
                  <c:v>506.84927944121517</c:v>
                </c:pt>
                <c:pt idx="161">
                  <c:v>506.84927944121517</c:v>
                </c:pt>
                <c:pt idx="162">
                  <c:v>506.84927944121517</c:v>
                </c:pt>
                <c:pt idx="163">
                  <c:v>506.84927944121517</c:v>
                </c:pt>
                <c:pt idx="164">
                  <c:v>506.84927944121517</c:v>
                </c:pt>
                <c:pt idx="165">
                  <c:v>506.84927944121517</c:v>
                </c:pt>
                <c:pt idx="166">
                  <c:v>506.84927944121517</c:v>
                </c:pt>
                <c:pt idx="167">
                  <c:v>506.84927944121517</c:v>
                </c:pt>
                <c:pt idx="168">
                  <c:v>506.84927944121517</c:v>
                </c:pt>
                <c:pt idx="169">
                  <c:v>506.84927944121517</c:v>
                </c:pt>
                <c:pt idx="170">
                  <c:v>506.84927944121517</c:v>
                </c:pt>
                <c:pt idx="171">
                  <c:v>506.84927944121517</c:v>
                </c:pt>
                <c:pt idx="172">
                  <c:v>506.84927944121517</c:v>
                </c:pt>
                <c:pt idx="173">
                  <c:v>506.84927944121517</c:v>
                </c:pt>
                <c:pt idx="174">
                  <c:v>506.84927944121517</c:v>
                </c:pt>
                <c:pt idx="175">
                  <c:v>506.84927944121517</c:v>
                </c:pt>
                <c:pt idx="176">
                  <c:v>506.84927944121517</c:v>
                </c:pt>
                <c:pt idx="177">
                  <c:v>506.84927944121517</c:v>
                </c:pt>
                <c:pt idx="178">
                  <c:v>506.84927944121517</c:v>
                </c:pt>
                <c:pt idx="179">
                  <c:v>506.84927944121517</c:v>
                </c:pt>
                <c:pt idx="180">
                  <c:v>506.84927944121517</c:v>
                </c:pt>
                <c:pt idx="181">
                  <c:v>506.84927944121517</c:v>
                </c:pt>
                <c:pt idx="182">
                  <c:v>506.84927944121517</c:v>
                </c:pt>
                <c:pt idx="183">
                  <c:v>506.84927944121517</c:v>
                </c:pt>
                <c:pt idx="184">
                  <c:v>506.84927944121517</c:v>
                </c:pt>
                <c:pt idx="185">
                  <c:v>506.84927944121517</c:v>
                </c:pt>
                <c:pt idx="186">
                  <c:v>506.84927944121517</c:v>
                </c:pt>
                <c:pt idx="187">
                  <c:v>506.84927944121517</c:v>
                </c:pt>
                <c:pt idx="188">
                  <c:v>506.84927944121517</c:v>
                </c:pt>
                <c:pt idx="189">
                  <c:v>506.84927944121517</c:v>
                </c:pt>
                <c:pt idx="190">
                  <c:v>506.84927944121517</c:v>
                </c:pt>
                <c:pt idx="191">
                  <c:v>506.84927944121517</c:v>
                </c:pt>
                <c:pt idx="192">
                  <c:v>506.84927944121517</c:v>
                </c:pt>
                <c:pt idx="193">
                  <c:v>506.84927944121517</c:v>
                </c:pt>
                <c:pt idx="194">
                  <c:v>506.84927944121517</c:v>
                </c:pt>
                <c:pt idx="195">
                  <c:v>506.84927944121517</c:v>
                </c:pt>
                <c:pt idx="196">
                  <c:v>506.84927944121517</c:v>
                </c:pt>
                <c:pt idx="197">
                  <c:v>506.84927944121517</c:v>
                </c:pt>
                <c:pt idx="198">
                  <c:v>506.84927944121517</c:v>
                </c:pt>
                <c:pt idx="199">
                  <c:v>506.84927944121517</c:v>
                </c:pt>
                <c:pt idx="200">
                  <c:v>506.84927944121517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2.0208949481534222</c:v>
                </c:pt>
                <c:pt idx="2">
                  <c:v>2.3577061646855002</c:v>
                </c:pt>
                <c:pt idx="3">
                  <c:v>2.7508588126286995</c:v>
                </c:pt>
                <c:pt idx="4">
                  <c:v>3.2098103987752662</c:v>
                </c:pt>
                <c:pt idx="5">
                  <c:v>3.7456111417095532</c:v>
                </c:pt>
                <c:pt idx="6">
                  <c:v>4.3711730083567595</c:v>
                </c:pt>
                <c:pt idx="7">
                  <c:v>5.1015843227521911</c:v>
                </c:pt>
                <c:pt idx="8">
                  <c:v>5.9544776864139584</c:v>
                </c:pt>
                <c:pt idx="9">
                  <c:v>6.9504602671537219</c:v>
                </c:pt>
                <c:pt idx="10">
                  <c:v>8.1136170553587554</c:v>
                </c:pt>
                <c:pt idx="11">
                  <c:v>9.4720994921390798</c:v>
                </c:pt>
                <c:pt idx="12">
                  <c:v>11.058813987247619</c:v>
                </c:pt>
                <c:pt idx="13">
                  <c:v>12.912227319047497</c:v>
                </c:pt>
                <c:pt idx="14">
                  <c:v>15.077308805743156</c:v>
                </c:pt>
                <c:pt idx="15">
                  <c:v>17.606632528912666</c:v>
                </c:pt>
                <c:pt idx="16">
                  <c:v>20.561666861769005</c:v>
                </c:pt>
                <c:pt idx="17">
                  <c:v>24.014283204748036</c:v>
                </c:pt>
                <c:pt idx="18">
                  <c:v>28.048521276189771</c:v>
                </c:pt>
                <c:pt idx="19">
                  <c:v>32.762654682197606</c:v>
                </c:pt>
                <c:pt idx="20">
                  <c:v>38.271607956729881</c:v>
                </c:pt>
                <c:pt idx="21">
                  <c:v>44.709785007467708</c:v>
                </c:pt>
                <c:pt idx="22">
                  <c:v>52.23437914394507</c:v>
                </c:pt>
                <c:pt idx="23">
                  <c:v>61.029246858330623</c:v>
                </c:pt>
                <c:pt idx="24">
                  <c:v>71.309441576655999</c:v>
                </c:pt>
                <c:pt idx="25">
                  <c:v>83.32652005133734</c:v>
                </c:pt>
                <c:pt idx="26">
                  <c:v>97.374753337149457</c:v>
                </c:pt>
                <c:pt idx="27">
                  <c:v>113.79839686587609</c:v>
                </c:pt>
                <c:pt idx="28">
                  <c:v>133.00020057621705</c:v>
                </c:pt>
                <c:pt idx="29">
                  <c:v>155.45137102908308</c:v>
                </c:pt>
                <c:pt idx="30">
                  <c:v>181.70323372213082</c:v>
                </c:pt>
                <c:pt idx="31">
                  <c:v>204.74957427507852</c:v>
                </c:pt>
                <c:pt idx="32">
                  <c:v>227.7358987610929</c:v>
                </c:pt>
                <c:pt idx="33">
                  <c:v>250.6691170337142</c:v>
                </c:pt>
                <c:pt idx="34">
                  <c:v>273.55476990137225</c:v>
                </c:pt>
                <c:pt idx="35">
                  <c:v>296.39739476894164</c:v>
                </c:pt>
                <c:pt idx="36">
                  <c:v>214.60747373346979</c:v>
                </c:pt>
                <c:pt idx="37">
                  <c:v>233.2085167315777</c:v>
                </c:pt>
                <c:pt idx="38">
                  <c:v>251.77568848584892</c:v>
                </c:pt>
                <c:pt idx="39">
                  <c:v>270.31183802527539</c:v>
                </c:pt>
                <c:pt idx="40">
                  <c:v>288.81939158560607</c:v>
                </c:pt>
                <c:pt idx="41">
                  <c:v>307.30043900165168</c:v>
                </c:pt>
                <c:pt idx="42">
                  <c:v>257.88244191916129</c:v>
                </c:pt>
                <c:pt idx="43">
                  <c:v>276.69438956287087</c:v>
                </c:pt>
                <c:pt idx="44">
                  <c:v>295.47762982342073</c:v>
                </c:pt>
                <c:pt idx="45">
                  <c:v>314.23424386745631</c:v>
                </c:pt>
                <c:pt idx="46">
                  <c:v>332.96604412455576</c:v>
                </c:pt>
                <c:pt idx="47">
                  <c:v>351.67462247182647</c:v>
                </c:pt>
                <c:pt idx="48">
                  <c:v>370.36138762256996</c:v>
                </c:pt>
                <c:pt idx="49">
                  <c:v>300.35084047589049</c:v>
                </c:pt>
                <c:pt idx="50">
                  <c:v>317.96941663472677</c:v>
                </c:pt>
                <c:pt idx="51">
                  <c:v>335.56638137693409</c:v>
                </c:pt>
                <c:pt idx="52">
                  <c:v>353.14302718269181</c:v>
                </c:pt>
                <c:pt idx="53">
                  <c:v>370.70050739109303</c:v>
                </c:pt>
                <c:pt idx="54">
                  <c:v>388.2398571970034</c:v>
                </c:pt>
                <c:pt idx="55">
                  <c:v>405.76201065466853</c:v>
                </c:pt>
                <c:pt idx="56">
                  <c:v>339.13549224203337</c:v>
                </c:pt>
                <c:pt idx="57">
                  <c:v>355.81158208407197</c:v>
                </c:pt>
                <c:pt idx="58">
                  <c:v>372.4705620238895</c:v>
                </c:pt>
                <c:pt idx="59">
                  <c:v>389.11330483793853</c:v>
                </c:pt>
                <c:pt idx="60">
                  <c:v>405.74060256745344</c:v>
                </c:pt>
                <c:pt idx="61">
                  <c:v>422.35317705792494</c:v>
                </c:pt>
                <c:pt idx="62">
                  <c:v>438.95168875384388</c:v>
                </c:pt>
                <c:pt idx="63">
                  <c:v>455.53674409391289</c:v>
                </c:pt>
                <c:pt idx="64">
                  <c:v>394.3390747859716</c:v>
                </c:pt>
                <c:pt idx="65">
                  <c:v>410.4533631865466</c:v>
                </c:pt>
                <c:pt idx="66">
                  <c:v>426.55399724286889</c:v>
                </c:pt>
                <c:pt idx="67">
                  <c:v>442.64156475766708</c:v>
                </c:pt>
                <c:pt idx="68">
                  <c:v>458.71660733467547</c:v>
                </c:pt>
                <c:pt idx="69">
                  <c:v>474.77962553495922</c:v>
                </c:pt>
                <c:pt idx="70">
                  <c:v>490.8310832992122</c:v>
                </c:pt>
                <c:pt idx="71">
                  <c:v>506.87141176158457</c:v>
                </c:pt>
                <c:pt idx="72">
                  <c:v>448.47421544089434</c:v>
                </c:pt>
                <c:pt idx="73">
                  <c:v>464.14815744680953</c:v>
                </c:pt>
                <c:pt idx="74">
                  <c:v>479.81081460409172</c:v>
                </c:pt>
                <c:pt idx="75">
                  <c:v>495.46260702941845</c:v>
                </c:pt>
                <c:pt idx="76">
                  <c:v>511.1039261417788</c:v>
                </c:pt>
                <c:pt idx="77">
                  <c:v>526.73513745920025</c:v>
                </c:pt>
                <c:pt idx="78">
                  <c:v>542.35658304633102</c:v>
                </c:pt>
                <c:pt idx="79">
                  <c:v>557.96858366546269</c:v>
                </c:pt>
                <c:pt idx="80">
                  <c:v>573.57144067438867</c:v>
                </c:pt>
                <c:pt idx="81">
                  <c:v>503.8314944527105</c:v>
                </c:pt>
                <c:pt idx="82">
                  <c:v>518.61553011876128</c:v>
                </c:pt>
                <c:pt idx="83">
                  <c:v>533.39067923560003</c:v>
                </c:pt>
                <c:pt idx="84">
                  <c:v>548.15722254159107</c:v>
                </c:pt>
                <c:pt idx="85">
                  <c:v>562.91542442271259</c:v>
                </c:pt>
                <c:pt idx="86">
                  <c:v>577.66553427768554</c:v>
                </c:pt>
                <c:pt idx="87">
                  <c:v>592.40778773648196</c:v>
                </c:pt>
                <c:pt idx="88">
                  <c:v>607.14240775128849</c:v>
                </c:pt>
                <c:pt idx="89">
                  <c:v>621.86960557611235</c:v>
                </c:pt>
                <c:pt idx="90">
                  <c:v>544.6074984859016</c:v>
                </c:pt>
                <c:pt idx="91">
                  <c:v>558.71137687549106</c:v>
                </c:pt>
                <c:pt idx="92">
                  <c:v>572.80780358316781</c:v>
                </c:pt>
                <c:pt idx="93">
                  <c:v>586.89698774931946</c:v>
                </c:pt>
                <c:pt idx="94">
                  <c:v>600.97912765864726</c:v>
                </c:pt>
                <c:pt idx="95">
                  <c:v>615.0544115500976</c:v>
                </c:pt>
                <c:pt idx="96">
                  <c:v>629.12301834883453</c:v>
                </c:pt>
                <c:pt idx="97">
                  <c:v>643.18511832936758</c:v>
                </c:pt>
                <c:pt idx="98">
                  <c:v>657.24087371770452</c:v>
                </c:pt>
                <c:pt idx="99">
                  <c:v>671.29043923934501</c:v>
                </c:pt>
                <c:pt idx="100">
                  <c:v>596.03340205894528</c:v>
                </c:pt>
                <c:pt idx="101">
                  <c:v>609.77714884530803</c:v>
                </c:pt>
                <c:pt idx="102">
                  <c:v>623.51446870155098</c:v>
                </c:pt>
                <c:pt idx="103">
                  <c:v>637.24552310889192</c:v>
                </c:pt>
                <c:pt idx="104">
                  <c:v>650.9704660256449</c:v>
                </c:pt>
                <c:pt idx="105">
                  <c:v>664.6894443922065</c:v>
                </c:pt>
                <c:pt idx="106">
                  <c:v>678.40259859220782</c:v>
                </c:pt>
                <c:pt idx="107">
                  <c:v>692.11006287446526</c:v>
                </c:pt>
                <c:pt idx="108">
                  <c:v>705.81196573978684</c:v>
                </c:pt>
                <c:pt idx="109">
                  <c:v>719.5084302962008</c:v>
                </c:pt>
                <c:pt idx="110">
                  <c:v>638.24778602893809</c:v>
                </c:pt>
                <c:pt idx="111">
                  <c:v>651.53708607097724</c:v>
                </c:pt>
                <c:pt idx="112">
                  <c:v>664.82079949919864</c:v>
                </c:pt>
                <c:pt idx="113">
                  <c:v>678.0990536096873</c:v>
                </c:pt>
                <c:pt idx="114">
                  <c:v>691.37197030948164</c:v>
                </c:pt>
                <c:pt idx="115">
                  <c:v>704.63966644594893</c:v>
                </c:pt>
                <c:pt idx="116">
                  <c:v>717.9022541100768</c:v>
                </c:pt>
                <c:pt idx="117">
                  <c:v>731.15984091620464</c:v>
                </c:pt>
                <c:pt idx="118">
                  <c:v>744.41253026042432</c:v>
                </c:pt>
                <c:pt idx="119">
                  <c:v>757.66042155963851</c:v>
                </c:pt>
                <c:pt idx="120">
                  <c:v>479.18153315747281</c:v>
                </c:pt>
                <c:pt idx="121">
                  <c:v>478.65178543699955</c:v>
                </c:pt>
                <c:pt idx="122">
                  <c:v>478.12202524838284</c:v>
                </c:pt>
                <c:pt idx="123">
                  <c:v>477.59225257583557</c:v>
                </c:pt>
                <c:pt idx="124">
                  <c:v>334.2811129207783</c:v>
                </c:pt>
                <c:pt idx="125">
                  <c:v>334.56417819369989</c:v>
                </c:pt>
                <c:pt idx="126">
                  <c:v>334.84723818844589</c:v>
                </c:pt>
                <c:pt idx="127">
                  <c:v>335.1302929101185</c:v>
                </c:pt>
                <c:pt idx="128">
                  <c:v>241.76470011932011</c:v>
                </c:pt>
                <c:pt idx="129">
                  <c:v>241.90545949663775</c:v>
                </c:pt>
                <c:pt idx="130">
                  <c:v>242.0462170098308</c:v>
                </c:pt>
                <c:pt idx="131">
                  <c:v>242.18697266013999</c:v>
                </c:pt>
                <c:pt idx="132">
                  <c:v>31.036853027483627</c:v>
                </c:pt>
                <c:pt idx="133">
                  <c:v>31.036853027483627</c:v>
                </c:pt>
                <c:pt idx="134">
                  <c:v>31.036853027483627</c:v>
                </c:pt>
                <c:pt idx="135">
                  <c:v>31.036853027483627</c:v>
                </c:pt>
                <c:pt idx="136">
                  <c:v>31.036853027483627</c:v>
                </c:pt>
                <c:pt idx="137">
                  <c:v>31.036853027483627</c:v>
                </c:pt>
                <c:pt idx="138">
                  <c:v>31.036853027483627</c:v>
                </c:pt>
                <c:pt idx="139">
                  <c:v>31.036853027483627</c:v>
                </c:pt>
                <c:pt idx="140">
                  <c:v>31.036853027483627</c:v>
                </c:pt>
                <c:pt idx="141">
                  <c:v>31.036853027483627</c:v>
                </c:pt>
                <c:pt idx="142">
                  <c:v>31.036853027483627</c:v>
                </c:pt>
                <c:pt idx="143">
                  <c:v>31.036853027483627</c:v>
                </c:pt>
                <c:pt idx="144">
                  <c:v>31.036853027483627</c:v>
                </c:pt>
                <c:pt idx="145">
                  <c:v>31.036853027483627</c:v>
                </c:pt>
                <c:pt idx="146">
                  <c:v>31.036853027483627</c:v>
                </c:pt>
                <c:pt idx="147">
                  <c:v>31.036853027483627</c:v>
                </c:pt>
                <c:pt idx="148">
                  <c:v>31.036853027483627</c:v>
                </c:pt>
                <c:pt idx="149">
                  <c:v>31.036853027483627</c:v>
                </c:pt>
                <c:pt idx="150">
                  <c:v>31.036853027483627</c:v>
                </c:pt>
                <c:pt idx="151">
                  <c:v>31.036853027483627</c:v>
                </c:pt>
                <c:pt idx="152">
                  <c:v>31.036853027483627</c:v>
                </c:pt>
                <c:pt idx="153">
                  <c:v>31.036853027483627</c:v>
                </c:pt>
                <c:pt idx="154">
                  <c:v>31.036853027483627</c:v>
                </c:pt>
                <c:pt idx="155">
                  <c:v>31.036853027483627</c:v>
                </c:pt>
                <c:pt idx="156">
                  <c:v>31.036853027483627</c:v>
                </c:pt>
                <c:pt idx="157">
                  <c:v>31.036853027483627</c:v>
                </c:pt>
                <c:pt idx="158">
                  <c:v>31.036853027483627</c:v>
                </c:pt>
                <c:pt idx="159">
                  <c:v>31.036853027483627</c:v>
                </c:pt>
                <c:pt idx="160">
                  <c:v>31.036853027483627</c:v>
                </c:pt>
                <c:pt idx="161">
                  <c:v>31.036853027483627</c:v>
                </c:pt>
                <c:pt idx="162">
                  <c:v>31.036853027483627</c:v>
                </c:pt>
                <c:pt idx="163">
                  <c:v>31.036853027483627</c:v>
                </c:pt>
                <c:pt idx="164">
                  <c:v>31.036853027483627</c:v>
                </c:pt>
                <c:pt idx="165">
                  <c:v>31.036853027483627</c:v>
                </c:pt>
                <c:pt idx="166">
                  <c:v>31.036853027483627</c:v>
                </c:pt>
                <c:pt idx="167">
                  <c:v>31.036853027483627</c:v>
                </c:pt>
                <c:pt idx="168">
                  <c:v>31.036853027483627</c:v>
                </c:pt>
                <c:pt idx="169">
                  <c:v>31.036853027483627</c:v>
                </c:pt>
                <c:pt idx="170">
                  <c:v>31.036853027483627</c:v>
                </c:pt>
                <c:pt idx="171">
                  <c:v>31.036853027483627</c:v>
                </c:pt>
                <c:pt idx="172">
                  <c:v>31.036853027483627</c:v>
                </c:pt>
                <c:pt idx="173">
                  <c:v>31.036853027483627</c:v>
                </c:pt>
                <c:pt idx="174">
                  <c:v>31.036853027483627</c:v>
                </c:pt>
                <c:pt idx="175">
                  <c:v>31.036853027483627</c:v>
                </c:pt>
                <c:pt idx="176">
                  <c:v>31.036853027483627</c:v>
                </c:pt>
                <c:pt idx="177">
                  <c:v>31.036853027483627</c:v>
                </c:pt>
                <c:pt idx="178">
                  <c:v>31.036853027483627</c:v>
                </c:pt>
                <c:pt idx="179">
                  <c:v>31.036853027483627</c:v>
                </c:pt>
                <c:pt idx="180">
                  <c:v>31.036853027483627</c:v>
                </c:pt>
                <c:pt idx="181">
                  <c:v>31.036853027483627</c:v>
                </c:pt>
                <c:pt idx="182">
                  <c:v>31.036853027483627</c:v>
                </c:pt>
                <c:pt idx="183">
                  <c:v>31.036853027483627</c:v>
                </c:pt>
                <c:pt idx="184">
                  <c:v>31.036853027483627</c:v>
                </c:pt>
                <c:pt idx="185">
                  <c:v>31.036853027483627</c:v>
                </c:pt>
                <c:pt idx="186">
                  <c:v>31.036853027483627</c:v>
                </c:pt>
                <c:pt idx="187">
                  <c:v>31.036853027483627</c:v>
                </c:pt>
                <c:pt idx="188">
                  <c:v>31.036853027483627</c:v>
                </c:pt>
                <c:pt idx="189">
                  <c:v>31.036853027483627</c:v>
                </c:pt>
                <c:pt idx="190">
                  <c:v>31.036853027483627</c:v>
                </c:pt>
                <c:pt idx="191">
                  <c:v>31.036853027483627</c:v>
                </c:pt>
                <c:pt idx="192">
                  <c:v>31.036853027483627</c:v>
                </c:pt>
                <c:pt idx="193">
                  <c:v>31.036853027483627</c:v>
                </c:pt>
                <c:pt idx="194">
                  <c:v>31.036853027483627</c:v>
                </c:pt>
                <c:pt idx="195">
                  <c:v>31.036853027483627</c:v>
                </c:pt>
                <c:pt idx="196">
                  <c:v>31.036853027483627</c:v>
                </c:pt>
                <c:pt idx="197">
                  <c:v>31.036853027483627</c:v>
                </c:pt>
                <c:pt idx="198">
                  <c:v>31.036853027483627</c:v>
                </c:pt>
                <c:pt idx="199">
                  <c:v>31.036853027483627</c:v>
                </c:pt>
                <c:pt idx="200">
                  <c:v>31.036853027483627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2.5717272485907814</c:v>
                </c:pt>
                <c:pt idx="2">
                  <c:v>3.2402608019311159</c:v>
                </c:pt>
                <c:pt idx="3">
                  <c:v>4.0832624280532892</c:v>
                </c:pt>
                <c:pt idx="4">
                  <c:v>5.14643042029713</c:v>
                </c:pt>
                <c:pt idx="5">
                  <c:v>6.4874737480469413</c:v>
                </c:pt>
                <c:pt idx="6">
                  <c:v>8.1792787679743544</c:v>
                </c:pt>
                <c:pt idx="7">
                  <c:v>10.313913297230501</c:v>
                </c:pt>
                <c:pt idx="8">
                  <c:v>13.007690059316532</c:v>
                </c:pt>
                <c:pt idx="9">
                  <c:v>16.407570518045844</c:v>
                </c:pt>
                <c:pt idx="10">
                  <c:v>20.699264836034356</c:v>
                </c:pt>
                <c:pt idx="11">
                  <c:v>40.194516673030414</c:v>
                </c:pt>
                <c:pt idx="12">
                  <c:v>59.423997506342801</c:v>
                </c:pt>
                <c:pt idx="13">
                  <c:v>78.488959578049446</c:v>
                </c:pt>
                <c:pt idx="14">
                  <c:v>97.435579235164482</c:v>
                </c:pt>
                <c:pt idx="15">
                  <c:v>116.29027446560372</c:v>
                </c:pt>
                <c:pt idx="16">
                  <c:v>84.464894871217254</c:v>
                </c:pt>
                <c:pt idx="17">
                  <c:v>108.61858799751566</c:v>
                </c:pt>
                <c:pt idx="18">
                  <c:v>132.63945069450935</c:v>
                </c:pt>
                <c:pt idx="19">
                  <c:v>156.55504701114111</c:v>
                </c:pt>
                <c:pt idx="20">
                  <c:v>180.38376185573739</c:v>
                </c:pt>
                <c:pt idx="21">
                  <c:v>145.47552012532864</c:v>
                </c:pt>
                <c:pt idx="22">
                  <c:v>171.06890310603498</c:v>
                </c:pt>
                <c:pt idx="23">
                  <c:v>196.57202562416424</c:v>
                </c:pt>
                <c:pt idx="24">
                  <c:v>221.99825658782561</c:v>
                </c:pt>
                <c:pt idx="25">
                  <c:v>247.35764363735257</c:v>
                </c:pt>
                <c:pt idx="26">
                  <c:v>211.69888943572892</c:v>
                </c:pt>
                <c:pt idx="27">
                  <c:v>236.05644310479681</c:v>
                </c:pt>
                <c:pt idx="28">
                  <c:v>260.35666841385739</c:v>
                </c:pt>
                <c:pt idx="29">
                  <c:v>284.60566685788712</c:v>
                </c:pt>
                <c:pt idx="30">
                  <c:v>308.80841467664561</c:v>
                </c:pt>
                <c:pt idx="31">
                  <c:v>270.95024442791083</c:v>
                </c:pt>
                <c:pt idx="32">
                  <c:v>292.7918305088869</c:v>
                </c:pt>
                <c:pt idx="33">
                  <c:v>314.59704855401981</c:v>
                </c:pt>
                <c:pt idx="34">
                  <c:v>336.3687724940782</c:v>
                </c:pt>
                <c:pt idx="35">
                  <c:v>358.10947390735419</c:v>
                </c:pt>
                <c:pt idx="36">
                  <c:v>318.00102122537896</c:v>
                </c:pt>
                <c:pt idx="37">
                  <c:v>337.38854301296448</c:v>
                </c:pt>
                <c:pt idx="38">
                  <c:v>356.75154686672863</c:v>
                </c:pt>
                <c:pt idx="39">
                  <c:v>376.09155014049156</c:v>
                </c:pt>
                <c:pt idx="40">
                  <c:v>395.40990144559368</c:v>
                </c:pt>
                <c:pt idx="41">
                  <c:v>352.6770845621848</c:v>
                </c:pt>
                <c:pt idx="42">
                  <c:v>369.30811574035596</c:v>
                </c:pt>
                <c:pt idx="43">
                  <c:v>385.92281180916171</c:v>
                </c:pt>
                <c:pt idx="44">
                  <c:v>402.52197482878046</c:v>
                </c:pt>
                <c:pt idx="45">
                  <c:v>419.10633532774779</c:v>
                </c:pt>
                <c:pt idx="46">
                  <c:v>393.03859669656612</c:v>
                </c:pt>
                <c:pt idx="47">
                  <c:v>407.60035995338376</c:v>
                </c:pt>
                <c:pt idx="48">
                  <c:v>422.15088703888301</c:v>
                </c:pt>
                <c:pt idx="49">
                  <c:v>436.69061972160188</c:v>
                </c:pt>
                <c:pt idx="50">
                  <c:v>451.2199679576733</c:v>
                </c:pt>
                <c:pt idx="51">
                  <c:v>431.61981966331086</c:v>
                </c:pt>
                <c:pt idx="52">
                  <c:v>444.12551245998549</c:v>
                </c:pt>
                <c:pt idx="53">
                  <c:v>456.62366402503358</c:v>
                </c:pt>
                <c:pt idx="54">
                  <c:v>469.11450984619825</c:v>
                </c:pt>
                <c:pt idx="55">
                  <c:v>481.59827184865543</c:v>
                </c:pt>
                <c:pt idx="56">
                  <c:v>465.06421135415468</c:v>
                </c:pt>
                <c:pt idx="57">
                  <c:v>475.52596168445672</c:v>
                </c:pt>
                <c:pt idx="58">
                  <c:v>485.98281613568884</c:v>
                </c:pt>
                <c:pt idx="59">
                  <c:v>496.43489491327199</c:v>
                </c:pt>
                <c:pt idx="60">
                  <c:v>506.88231274768879</c:v>
                </c:pt>
                <c:pt idx="61">
                  <c:v>492.05233905304044</c:v>
                </c:pt>
                <c:pt idx="62">
                  <c:v>500.81663116885539</c:v>
                </c:pt>
                <c:pt idx="63">
                  <c:v>509.57767746501708</c:v>
                </c:pt>
                <c:pt idx="64">
                  <c:v>518.33554162748919</c:v>
                </c:pt>
                <c:pt idx="65">
                  <c:v>527.09028501417163</c:v>
                </c:pt>
                <c:pt idx="66">
                  <c:v>512.9464599407637</c:v>
                </c:pt>
                <c:pt idx="67">
                  <c:v>520.69289242265415</c:v>
                </c:pt>
                <c:pt idx="68">
                  <c:v>528.43689541833794</c:v>
                </c:pt>
                <c:pt idx="69">
                  <c:v>536.17850956190932</c:v>
                </c:pt>
                <c:pt idx="70">
                  <c:v>543.917774218055</c:v>
                </c:pt>
                <c:pt idx="71">
                  <c:v>529.11017351371675</c:v>
                </c:pt>
                <c:pt idx="72">
                  <c:v>536.17850956190932</c:v>
                </c:pt>
                <c:pt idx="73">
                  <c:v>543.24488697768527</c:v>
                </c:pt>
                <c:pt idx="74">
                  <c:v>550.30933483971376</c:v>
                </c:pt>
                <c:pt idx="75">
                  <c:v>557.37188141896718</c:v>
                </c:pt>
                <c:pt idx="76">
                  <c:v>543.24488697768527</c:v>
                </c:pt>
                <c:pt idx="77">
                  <c:v>549.30024505818972</c:v>
                </c:pt>
                <c:pt idx="78">
                  <c:v>555.35420335873368</c:v>
                </c:pt>
                <c:pt idx="79">
                  <c:v>561.40677929677736</c:v>
                </c:pt>
                <c:pt idx="80">
                  <c:v>567.45798988344666</c:v>
                </c:pt>
                <c:pt idx="81">
                  <c:v>548.96387316130563</c:v>
                </c:pt>
                <c:pt idx="82">
                  <c:v>548.96387316130563</c:v>
                </c:pt>
                <c:pt idx="83">
                  <c:v>548.96387316130563</c:v>
                </c:pt>
                <c:pt idx="84">
                  <c:v>548.96387316130563</c:v>
                </c:pt>
                <c:pt idx="85">
                  <c:v>548.96387316130563</c:v>
                </c:pt>
                <c:pt idx="86">
                  <c:v>548.96387316130563</c:v>
                </c:pt>
                <c:pt idx="87">
                  <c:v>548.96387316130563</c:v>
                </c:pt>
                <c:pt idx="88">
                  <c:v>548.96387316130563</c:v>
                </c:pt>
                <c:pt idx="89">
                  <c:v>548.96387316130563</c:v>
                </c:pt>
                <c:pt idx="90">
                  <c:v>548.96387316130563</c:v>
                </c:pt>
                <c:pt idx="91">
                  <c:v>548.96387316130563</c:v>
                </c:pt>
                <c:pt idx="92">
                  <c:v>548.96387316130563</c:v>
                </c:pt>
                <c:pt idx="93">
                  <c:v>548.96387316130563</c:v>
                </c:pt>
                <c:pt idx="94">
                  <c:v>548.96387316130563</c:v>
                </c:pt>
                <c:pt idx="95">
                  <c:v>548.96387316130563</c:v>
                </c:pt>
                <c:pt idx="96">
                  <c:v>548.96387316130563</c:v>
                </c:pt>
                <c:pt idx="97">
                  <c:v>548.96387316130563</c:v>
                </c:pt>
                <c:pt idx="98">
                  <c:v>548.96387316130563</c:v>
                </c:pt>
                <c:pt idx="99">
                  <c:v>548.96387316130563</c:v>
                </c:pt>
                <c:pt idx="100">
                  <c:v>548.96387316130563</c:v>
                </c:pt>
                <c:pt idx="101">
                  <c:v>548.96387316130563</c:v>
                </c:pt>
                <c:pt idx="102">
                  <c:v>548.96387316130563</c:v>
                </c:pt>
                <c:pt idx="103">
                  <c:v>548.96387316130563</c:v>
                </c:pt>
                <c:pt idx="104">
                  <c:v>548.96387316130563</c:v>
                </c:pt>
                <c:pt idx="105">
                  <c:v>548.96387316130563</c:v>
                </c:pt>
                <c:pt idx="106">
                  <c:v>548.96387316130563</c:v>
                </c:pt>
                <c:pt idx="107">
                  <c:v>548.96387316130563</c:v>
                </c:pt>
                <c:pt idx="108">
                  <c:v>548.96387316130563</c:v>
                </c:pt>
                <c:pt idx="109">
                  <c:v>548.96387316130563</c:v>
                </c:pt>
                <c:pt idx="110">
                  <c:v>548.96387316130563</c:v>
                </c:pt>
                <c:pt idx="111">
                  <c:v>548.96387316130563</c:v>
                </c:pt>
                <c:pt idx="112">
                  <c:v>548.96387316130563</c:v>
                </c:pt>
                <c:pt idx="113">
                  <c:v>548.96387316130563</c:v>
                </c:pt>
                <c:pt idx="114">
                  <c:v>548.96387316130563</c:v>
                </c:pt>
                <c:pt idx="115">
                  <c:v>548.96387316130563</c:v>
                </c:pt>
                <c:pt idx="116">
                  <c:v>548.96387316130563</c:v>
                </c:pt>
                <c:pt idx="117">
                  <c:v>548.96387316130563</c:v>
                </c:pt>
                <c:pt idx="118">
                  <c:v>548.96387316130563</c:v>
                </c:pt>
                <c:pt idx="119">
                  <c:v>548.96387316130563</c:v>
                </c:pt>
                <c:pt idx="120">
                  <c:v>548.96387316130563</c:v>
                </c:pt>
                <c:pt idx="121">
                  <c:v>548.96387316130563</c:v>
                </c:pt>
                <c:pt idx="122">
                  <c:v>548.96387316130563</c:v>
                </c:pt>
                <c:pt idx="123">
                  <c:v>548.96387316130563</c:v>
                </c:pt>
                <c:pt idx="124">
                  <c:v>548.96387316130563</c:v>
                </c:pt>
                <c:pt idx="125">
                  <c:v>548.96387316130563</c:v>
                </c:pt>
                <c:pt idx="126">
                  <c:v>548.96387316130563</c:v>
                </c:pt>
                <c:pt idx="127">
                  <c:v>548.96387316130563</c:v>
                </c:pt>
                <c:pt idx="128">
                  <c:v>548.96387316130563</c:v>
                </c:pt>
                <c:pt idx="129">
                  <c:v>548.96387316130563</c:v>
                </c:pt>
                <c:pt idx="130">
                  <c:v>548.96387316130563</c:v>
                </c:pt>
                <c:pt idx="131">
                  <c:v>548.96387316130563</c:v>
                </c:pt>
                <c:pt idx="132">
                  <c:v>548.96387316130563</c:v>
                </c:pt>
                <c:pt idx="133">
                  <c:v>548.96387316130563</c:v>
                </c:pt>
                <c:pt idx="134">
                  <c:v>548.96387316130563</c:v>
                </c:pt>
                <c:pt idx="135">
                  <c:v>548.96387316130563</c:v>
                </c:pt>
                <c:pt idx="136">
                  <c:v>548.96387316130563</c:v>
                </c:pt>
                <c:pt idx="137">
                  <c:v>548.96387316130563</c:v>
                </c:pt>
                <c:pt idx="138">
                  <c:v>548.96387316130563</c:v>
                </c:pt>
                <c:pt idx="139">
                  <c:v>548.96387316130563</c:v>
                </c:pt>
                <c:pt idx="140">
                  <c:v>548.96387316130563</c:v>
                </c:pt>
                <c:pt idx="141">
                  <c:v>548.96387316130563</c:v>
                </c:pt>
                <c:pt idx="142">
                  <c:v>548.96387316130563</c:v>
                </c:pt>
                <c:pt idx="143">
                  <c:v>548.96387316130563</c:v>
                </c:pt>
                <c:pt idx="144">
                  <c:v>548.96387316130563</c:v>
                </c:pt>
                <c:pt idx="145">
                  <c:v>548.96387316130563</c:v>
                </c:pt>
                <c:pt idx="146">
                  <c:v>548.96387316130563</c:v>
                </c:pt>
                <c:pt idx="147">
                  <c:v>548.96387316130563</c:v>
                </c:pt>
                <c:pt idx="148">
                  <c:v>548.96387316130563</c:v>
                </c:pt>
                <c:pt idx="149">
                  <c:v>548.96387316130563</c:v>
                </c:pt>
                <c:pt idx="150">
                  <c:v>548.96387316130563</c:v>
                </c:pt>
                <c:pt idx="151">
                  <c:v>548.96387316130563</c:v>
                </c:pt>
                <c:pt idx="152">
                  <c:v>548.96387316130563</c:v>
                </c:pt>
                <c:pt idx="153">
                  <c:v>548.96387316130563</c:v>
                </c:pt>
                <c:pt idx="154">
                  <c:v>548.96387316130563</c:v>
                </c:pt>
                <c:pt idx="155">
                  <c:v>548.96387316130563</c:v>
                </c:pt>
                <c:pt idx="156">
                  <c:v>548.96387316130563</c:v>
                </c:pt>
                <c:pt idx="157">
                  <c:v>548.96387316130563</c:v>
                </c:pt>
                <c:pt idx="158">
                  <c:v>548.96387316130563</c:v>
                </c:pt>
                <c:pt idx="159">
                  <c:v>548.96387316130563</c:v>
                </c:pt>
                <c:pt idx="160">
                  <c:v>548.96387316130563</c:v>
                </c:pt>
                <c:pt idx="161">
                  <c:v>548.96387316130563</c:v>
                </c:pt>
                <c:pt idx="162">
                  <c:v>548.96387316130563</c:v>
                </c:pt>
                <c:pt idx="163">
                  <c:v>548.96387316130563</c:v>
                </c:pt>
                <c:pt idx="164">
                  <c:v>548.96387316130563</c:v>
                </c:pt>
                <c:pt idx="165">
                  <c:v>548.96387316130563</c:v>
                </c:pt>
                <c:pt idx="166">
                  <c:v>548.96387316130563</c:v>
                </c:pt>
                <c:pt idx="167">
                  <c:v>548.96387316130563</c:v>
                </c:pt>
                <c:pt idx="168">
                  <c:v>548.96387316130563</c:v>
                </c:pt>
                <c:pt idx="169">
                  <c:v>548.96387316130563</c:v>
                </c:pt>
                <c:pt idx="170">
                  <c:v>548.96387316130563</c:v>
                </c:pt>
                <c:pt idx="171">
                  <c:v>548.96387316130563</c:v>
                </c:pt>
                <c:pt idx="172">
                  <c:v>548.96387316130563</c:v>
                </c:pt>
                <c:pt idx="173">
                  <c:v>548.96387316130563</c:v>
                </c:pt>
                <c:pt idx="174">
                  <c:v>548.96387316130563</c:v>
                </c:pt>
                <c:pt idx="175">
                  <c:v>548.96387316130563</c:v>
                </c:pt>
                <c:pt idx="176">
                  <c:v>548.96387316130563</c:v>
                </c:pt>
                <c:pt idx="177">
                  <c:v>548.96387316130563</c:v>
                </c:pt>
                <c:pt idx="178">
                  <c:v>548.96387316130563</c:v>
                </c:pt>
                <c:pt idx="179">
                  <c:v>548.96387316130563</c:v>
                </c:pt>
                <c:pt idx="180">
                  <c:v>548.96387316130563</c:v>
                </c:pt>
                <c:pt idx="181">
                  <c:v>548.96387316130563</c:v>
                </c:pt>
                <c:pt idx="182">
                  <c:v>548.96387316130563</c:v>
                </c:pt>
                <c:pt idx="183">
                  <c:v>548.96387316130563</c:v>
                </c:pt>
                <c:pt idx="184">
                  <c:v>548.96387316130563</c:v>
                </c:pt>
                <c:pt idx="185">
                  <c:v>548.96387316130563</c:v>
                </c:pt>
                <c:pt idx="186">
                  <c:v>548.96387316130563</c:v>
                </c:pt>
                <c:pt idx="187">
                  <c:v>548.96387316130563</c:v>
                </c:pt>
                <c:pt idx="188">
                  <c:v>548.96387316130563</c:v>
                </c:pt>
                <c:pt idx="189">
                  <c:v>548.96387316130563</c:v>
                </c:pt>
                <c:pt idx="190">
                  <c:v>548.96387316130563</c:v>
                </c:pt>
                <c:pt idx="191">
                  <c:v>548.96387316130563</c:v>
                </c:pt>
                <c:pt idx="192">
                  <c:v>548.96387316130563</c:v>
                </c:pt>
                <c:pt idx="193">
                  <c:v>548.96387316130563</c:v>
                </c:pt>
                <c:pt idx="194">
                  <c:v>548.96387316130563</c:v>
                </c:pt>
                <c:pt idx="195">
                  <c:v>548.96387316130563</c:v>
                </c:pt>
                <c:pt idx="196">
                  <c:v>548.96387316130563</c:v>
                </c:pt>
                <c:pt idx="197">
                  <c:v>548.96387316130563</c:v>
                </c:pt>
                <c:pt idx="198">
                  <c:v>548.96387316130563</c:v>
                </c:pt>
                <c:pt idx="199">
                  <c:v>548.96387316130563</c:v>
                </c:pt>
                <c:pt idx="200">
                  <c:v>548.96387316130563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2.6202873647055487</c:v>
                </c:pt>
                <c:pt idx="2">
                  <c:v>3.3014890700969475</c:v>
                </c:pt>
                <c:pt idx="3">
                  <c:v>4.1604758697806128</c:v>
                </c:pt>
                <c:pt idx="4">
                  <c:v>5.2438175769854629</c:v>
                </c:pt>
                <c:pt idx="5">
                  <c:v>6.6103243965889789</c:v>
                </c:pt>
                <c:pt idx="6">
                  <c:v>8.3342743628219527</c:v>
                </c:pt>
                <c:pt idx="7">
                  <c:v>10.509494235432264</c:v>
                </c:pt>
                <c:pt idx="8">
                  <c:v>13.25452014211402</c:v>
                </c:pt>
                <c:pt idx="9">
                  <c:v>16.71912439869411</c:v>
                </c:pt>
                <c:pt idx="10">
                  <c:v>21.092571102519226</c:v>
                </c:pt>
                <c:pt idx="11">
                  <c:v>40.959654766376069</c:v>
                </c:pt>
                <c:pt idx="12">
                  <c:v>60.556368030357454</c:v>
                </c:pt>
                <c:pt idx="13">
                  <c:v>79.985715393823597</c:v>
                </c:pt>
                <c:pt idx="14">
                  <c:v>99.294672325256599</c:v>
                </c:pt>
                <c:pt idx="15">
                  <c:v>118.51011399861339</c:v>
                </c:pt>
                <c:pt idx="16">
                  <c:v>86.075914671005776</c:v>
                </c:pt>
                <c:pt idx="17">
                  <c:v>110.69162732463077</c:v>
                </c:pt>
                <c:pt idx="18">
                  <c:v>135.17221080393281</c:v>
                </c:pt>
                <c:pt idx="19">
                  <c:v>159.54570617746938</c:v>
                </c:pt>
                <c:pt idx="20">
                  <c:v>183.83081652024472</c:v>
                </c:pt>
                <c:pt idx="21">
                  <c:v>148.25402389766143</c:v>
                </c:pt>
                <c:pt idx="22">
                  <c:v>174.33753126581527</c:v>
                </c:pt>
                <c:pt idx="23">
                  <c:v>200.32921613632394</c:v>
                </c:pt>
                <c:pt idx="24">
                  <c:v>226.24267877776924</c:v>
                </c:pt>
                <c:pt idx="25">
                  <c:v>252.08814071355724</c:v>
                </c:pt>
                <c:pt idx="26">
                  <c:v>215.74593348274445</c:v>
                </c:pt>
                <c:pt idx="27">
                  <c:v>240.57031057620057</c:v>
                </c:pt>
                <c:pt idx="28">
                  <c:v>265.33636719298863</c:v>
                </c:pt>
                <c:pt idx="29">
                  <c:v>290.05031041971233</c:v>
                </c:pt>
                <c:pt idx="30">
                  <c:v>314.7172026142477</c:v>
                </c:pt>
                <c:pt idx="31">
                  <c:v>276.13305084516702</c:v>
                </c:pt>
                <c:pt idx="32">
                  <c:v>298.39345366223546</c:v>
                </c:pt>
                <c:pt idx="33">
                  <c:v>320.6168590632679</c:v>
                </c:pt>
                <c:pt idx="34">
                  <c:v>342.80619071488059</c:v>
                </c:pt>
                <c:pt idx="35">
                  <c:v>364.96396296815789</c:v>
                </c:pt>
                <c:pt idx="36">
                  <c:v>324.08611998804474</c:v>
                </c:pt>
                <c:pt idx="37">
                  <c:v>343.84552311327383</c:v>
                </c:pt>
                <c:pt idx="38">
                  <c:v>363.5799840007133</c:v>
                </c:pt>
                <c:pt idx="39">
                  <c:v>383.29104626329899</c:v>
                </c:pt>
                <c:pt idx="40">
                  <c:v>402.9800818512519</c:v>
                </c:pt>
                <c:pt idx="41">
                  <c:v>359.4273541272596</c:v>
                </c:pt>
                <c:pt idx="42">
                  <c:v>376.37745953930607</c:v>
                </c:pt>
                <c:pt idx="43">
                  <c:v>393.31094714884654</c:v>
                </c:pt>
                <c:pt idx="44">
                  <c:v>410.22863289640105</c:v>
                </c:pt>
                <c:pt idx="45">
                  <c:v>427.13125995293154</c:v>
                </c:pt>
                <c:pt idx="46">
                  <c:v>400.56327392899146</c:v>
                </c:pt>
                <c:pt idx="47">
                  <c:v>415.40447321133956</c:v>
                </c:pt>
                <c:pt idx="48">
                  <c:v>430.23424187074426</c:v>
                </c:pt>
                <c:pt idx="49">
                  <c:v>445.05302932092837</c:v>
                </c:pt>
                <c:pt idx="50">
                  <c:v>459.86125261266943</c:v>
                </c:pt>
                <c:pt idx="51">
                  <c:v>439.88490533840962</c:v>
                </c:pt>
                <c:pt idx="52">
                  <c:v>452.63062434570611</c:v>
                </c:pt>
                <c:pt idx="53">
                  <c:v>465.3686716138655</c:v>
                </c:pt>
                <c:pt idx="54">
                  <c:v>478.09928670594991</c:v>
                </c:pt>
                <c:pt idx="55">
                  <c:v>490.82269538774045</c:v>
                </c:pt>
                <c:pt idx="56">
                  <c:v>473.97123882058969</c:v>
                </c:pt>
                <c:pt idx="57">
                  <c:v>484.63381543198619</c:v>
                </c:pt>
                <c:pt idx="58">
                  <c:v>495.29141143690708</c:v>
                </c:pt>
                <c:pt idx="59">
                  <c:v>505.94414912103224</c:v>
                </c:pt>
                <c:pt idx="60">
                  <c:v>516.59214520035403</c:v>
                </c:pt>
                <c:pt idx="61">
                  <c:v>501.47745591010658</c:v>
                </c:pt>
                <c:pt idx="62">
                  <c:v>510.41000854334516</c:v>
                </c:pt>
                <c:pt idx="63">
                  <c:v>519.33925918522516</c:v>
                </c:pt>
                <c:pt idx="64">
                  <c:v>528.26527262385048</c:v>
                </c:pt>
                <c:pt idx="65">
                  <c:v>537.18811127897254</c:v>
                </c:pt>
                <c:pt idx="66">
                  <c:v>522.77272091773659</c:v>
                </c:pt>
                <c:pt idx="67">
                  <c:v>530.66788510705476</c:v>
                </c:pt>
                <c:pt idx="68">
                  <c:v>538.56057776581395</c:v>
                </c:pt>
                <c:pt idx="69">
                  <c:v>546.4508402313171</c:v>
                </c:pt>
                <c:pt idx="70">
                  <c:v>554.33871254949031</c:v>
                </c:pt>
                <c:pt idx="71">
                  <c:v>539.24678343342578</c:v>
                </c:pt>
                <c:pt idx="72">
                  <c:v>546.4508402313171</c:v>
                </c:pt>
                <c:pt idx="73">
                  <c:v>553.65290450097075</c:v>
                </c:pt>
                <c:pt idx="74">
                  <c:v>560.85300582428658</c:v>
                </c:pt>
                <c:pt idx="75">
                  <c:v>568.05117296149081</c:v>
                </c:pt>
                <c:pt idx="76">
                  <c:v>553.65290450097075</c:v>
                </c:pt>
                <c:pt idx="77">
                  <c:v>559.8245390026176</c:v>
                </c:pt>
                <c:pt idx="78">
                  <c:v>565.99474949990611</c:v>
                </c:pt>
                <c:pt idx="79">
                  <c:v>572.16355371171983</c:v>
                </c:pt>
                <c:pt idx="80">
                  <c:v>578.33096894357811</c:v>
                </c:pt>
                <c:pt idx="81">
                  <c:v>559.48170794289206</c:v>
                </c:pt>
                <c:pt idx="82">
                  <c:v>559.48170794289206</c:v>
                </c:pt>
                <c:pt idx="83">
                  <c:v>559.48170794289206</c:v>
                </c:pt>
                <c:pt idx="84">
                  <c:v>559.48170794289206</c:v>
                </c:pt>
                <c:pt idx="85">
                  <c:v>559.48170794289206</c:v>
                </c:pt>
                <c:pt idx="86">
                  <c:v>559.48170794289206</c:v>
                </c:pt>
                <c:pt idx="87">
                  <c:v>559.48170794289206</c:v>
                </c:pt>
                <c:pt idx="88">
                  <c:v>559.48170794289206</c:v>
                </c:pt>
                <c:pt idx="89">
                  <c:v>559.48170794289206</c:v>
                </c:pt>
                <c:pt idx="90">
                  <c:v>559.48170794289206</c:v>
                </c:pt>
                <c:pt idx="91">
                  <c:v>559.48170794289206</c:v>
                </c:pt>
                <c:pt idx="92">
                  <c:v>559.48170794289206</c:v>
                </c:pt>
                <c:pt idx="93">
                  <c:v>559.48170794289206</c:v>
                </c:pt>
                <c:pt idx="94">
                  <c:v>559.48170794289206</c:v>
                </c:pt>
                <c:pt idx="95">
                  <c:v>559.48170794289206</c:v>
                </c:pt>
                <c:pt idx="96">
                  <c:v>559.48170794289206</c:v>
                </c:pt>
                <c:pt idx="97">
                  <c:v>559.48170794289206</c:v>
                </c:pt>
                <c:pt idx="98">
                  <c:v>559.48170794289206</c:v>
                </c:pt>
                <c:pt idx="99">
                  <c:v>559.48170794289206</c:v>
                </c:pt>
                <c:pt idx="100">
                  <c:v>559.48170794289206</c:v>
                </c:pt>
                <c:pt idx="101">
                  <c:v>559.48170794289206</c:v>
                </c:pt>
                <c:pt idx="102">
                  <c:v>559.48170794289206</c:v>
                </c:pt>
                <c:pt idx="103">
                  <c:v>559.48170794289206</c:v>
                </c:pt>
                <c:pt idx="104">
                  <c:v>559.48170794289206</c:v>
                </c:pt>
                <c:pt idx="105">
                  <c:v>559.48170794289206</c:v>
                </c:pt>
                <c:pt idx="106">
                  <c:v>559.48170794289206</c:v>
                </c:pt>
                <c:pt idx="107">
                  <c:v>559.48170794289206</c:v>
                </c:pt>
                <c:pt idx="108">
                  <c:v>559.48170794289206</c:v>
                </c:pt>
                <c:pt idx="109">
                  <c:v>559.48170794289206</c:v>
                </c:pt>
                <c:pt idx="110">
                  <c:v>559.48170794289206</c:v>
                </c:pt>
                <c:pt idx="111">
                  <c:v>559.48170794289206</c:v>
                </c:pt>
                <c:pt idx="112">
                  <c:v>559.48170794289206</c:v>
                </c:pt>
                <c:pt idx="113">
                  <c:v>559.48170794289206</c:v>
                </c:pt>
                <c:pt idx="114">
                  <c:v>559.48170794289206</c:v>
                </c:pt>
                <c:pt idx="115">
                  <c:v>559.48170794289206</c:v>
                </c:pt>
                <c:pt idx="116">
                  <c:v>559.48170794289206</c:v>
                </c:pt>
                <c:pt idx="117">
                  <c:v>559.48170794289206</c:v>
                </c:pt>
                <c:pt idx="118">
                  <c:v>559.48170794289206</c:v>
                </c:pt>
                <c:pt idx="119">
                  <c:v>559.48170794289206</c:v>
                </c:pt>
                <c:pt idx="120">
                  <c:v>559.48170794289206</c:v>
                </c:pt>
                <c:pt idx="121">
                  <c:v>559.48170794289206</c:v>
                </c:pt>
                <c:pt idx="122">
                  <c:v>559.48170794289206</c:v>
                </c:pt>
                <c:pt idx="123">
                  <c:v>559.48170794289206</c:v>
                </c:pt>
                <c:pt idx="124">
                  <c:v>559.48170794289206</c:v>
                </c:pt>
                <c:pt idx="125">
                  <c:v>559.48170794289206</c:v>
                </c:pt>
                <c:pt idx="126">
                  <c:v>559.48170794289206</c:v>
                </c:pt>
                <c:pt idx="127">
                  <c:v>559.48170794289206</c:v>
                </c:pt>
                <c:pt idx="128">
                  <c:v>559.48170794289206</c:v>
                </c:pt>
                <c:pt idx="129">
                  <c:v>559.48170794289206</c:v>
                </c:pt>
                <c:pt idx="130">
                  <c:v>559.48170794289206</c:v>
                </c:pt>
                <c:pt idx="131">
                  <c:v>559.48170794289206</c:v>
                </c:pt>
                <c:pt idx="132">
                  <c:v>559.48170794289206</c:v>
                </c:pt>
                <c:pt idx="133">
                  <c:v>559.48170794289206</c:v>
                </c:pt>
                <c:pt idx="134">
                  <c:v>559.48170794289206</c:v>
                </c:pt>
                <c:pt idx="135">
                  <c:v>559.48170794289206</c:v>
                </c:pt>
                <c:pt idx="136">
                  <c:v>559.48170794289206</c:v>
                </c:pt>
                <c:pt idx="137">
                  <c:v>559.48170794289206</c:v>
                </c:pt>
                <c:pt idx="138">
                  <c:v>559.48170794289206</c:v>
                </c:pt>
                <c:pt idx="139">
                  <c:v>559.48170794289206</c:v>
                </c:pt>
                <c:pt idx="140">
                  <c:v>559.48170794289206</c:v>
                </c:pt>
                <c:pt idx="141">
                  <c:v>559.48170794289206</c:v>
                </c:pt>
                <c:pt idx="142">
                  <c:v>559.48170794289206</c:v>
                </c:pt>
                <c:pt idx="143">
                  <c:v>559.48170794289206</c:v>
                </c:pt>
                <c:pt idx="144">
                  <c:v>559.48170794289206</c:v>
                </c:pt>
                <c:pt idx="145">
                  <c:v>559.48170794289206</c:v>
                </c:pt>
                <c:pt idx="146">
                  <c:v>559.48170794289206</c:v>
                </c:pt>
                <c:pt idx="147">
                  <c:v>559.48170794289206</c:v>
                </c:pt>
                <c:pt idx="148">
                  <c:v>559.48170794289206</c:v>
                </c:pt>
                <c:pt idx="149">
                  <c:v>559.48170794289206</c:v>
                </c:pt>
                <c:pt idx="150">
                  <c:v>559.48170794289206</c:v>
                </c:pt>
                <c:pt idx="151">
                  <c:v>559.48170794289206</c:v>
                </c:pt>
                <c:pt idx="152">
                  <c:v>559.48170794289206</c:v>
                </c:pt>
                <c:pt idx="153">
                  <c:v>559.48170794289206</c:v>
                </c:pt>
                <c:pt idx="154">
                  <c:v>559.48170794289206</c:v>
                </c:pt>
                <c:pt idx="155">
                  <c:v>559.48170794289206</c:v>
                </c:pt>
                <c:pt idx="156">
                  <c:v>559.48170794289206</c:v>
                </c:pt>
                <c:pt idx="157">
                  <c:v>559.48170794289206</c:v>
                </c:pt>
                <c:pt idx="158">
                  <c:v>559.48170794289206</c:v>
                </c:pt>
                <c:pt idx="159">
                  <c:v>559.48170794289206</c:v>
                </c:pt>
                <c:pt idx="160">
                  <c:v>559.48170794289206</c:v>
                </c:pt>
                <c:pt idx="161">
                  <c:v>559.48170794289206</c:v>
                </c:pt>
                <c:pt idx="162">
                  <c:v>559.48170794289206</c:v>
                </c:pt>
                <c:pt idx="163">
                  <c:v>559.48170794289206</c:v>
                </c:pt>
                <c:pt idx="164">
                  <c:v>559.48170794289206</c:v>
                </c:pt>
                <c:pt idx="165">
                  <c:v>559.48170794289206</c:v>
                </c:pt>
                <c:pt idx="166">
                  <c:v>559.48170794289206</c:v>
                </c:pt>
                <c:pt idx="167">
                  <c:v>559.48170794289206</c:v>
                </c:pt>
                <c:pt idx="168">
                  <c:v>559.48170794289206</c:v>
                </c:pt>
                <c:pt idx="169">
                  <c:v>559.48170794289206</c:v>
                </c:pt>
                <c:pt idx="170">
                  <c:v>559.48170794289206</c:v>
                </c:pt>
                <c:pt idx="171">
                  <c:v>559.48170794289206</c:v>
                </c:pt>
                <c:pt idx="172">
                  <c:v>559.48170794289206</c:v>
                </c:pt>
                <c:pt idx="173">
                  <c:v>559.48170794289206</c:v>
                </c:pt>
                <c:pt idx="174">
                  <c:v>559.48170794289206</c:v>
                </c:pt>
                <c:pt idx="175">
                  <c:v>559.48170794289206</c:v>
                </c:pt>
                <c:pt idx="176">
                  <c:v>559.48170794289206</c:v>
                </c:pt>
                <c:pt idx="177">
                  <c:v>559.48170794289206</c:v>
                </c:pt>
                <c:pt idx="178">
                  <c:v>559.48170794289206</c:v>
                </c:pt>
                <c:pt idx="179">
                  <c:v>559.48170794289206</c:v>
                </c:pt>
                <c:pt idx="180">
                  <c:v>559.48170794289206</c:v>
                </c:pt>
                <c:pt idx="181">
                  <c:v>559.48170794289206</c:v>
                </c:pt>
                <c:pt idx="182">
                  <c:v>559.48170794289206</c:v>
                </c:pt>
                <c:pt idx="183">
                  <c:v>559.48170794289206</c:v>
                </c:pt>
                <c:pt idx="184">
                  <c:v>559.48170794289206</c:v>
                </c:pt>
                <c:pt idx="185">
                  <c:v>559.48170794289206</c:v>
                </c:pt>
                <c:pt idx="186">
                  <c:v>559.48170794289206</c:v>
                </c:pt>
                <c:pt idx="187">
                  <c:v>559.48170794289206</c:v>
                </c:pt>
                <c:pt idx="188">
                  <c:v>559.48170794289206</c:v>
                </c:pt>
                <c:pt idx="189">
                  <c:v>559.48170794289206</c:v>
                </c:pt>
                <c:pt idx="190">
                  <c:v>559.48170794289206</c:v>
                </c:pt>
                <c:pt idx="191">
                  <c:v>559.48170794289206</c:v>
                </c:pt>
                <c:pt idx="192">
                  <c:v>559.48170794289206</c:v>
                </c:pt>
                <c:pt idx="193">
                  <c:v>559.48170794289206</c:v>
                </c:pt>
                <c:pt idx="194">
                  <c:v>559.48170794289206</c:v>
                </c:pt>
                <c:pt idx="195">
                  <c:v>559.48170794289206</c:v>
                </c:pt>
                <c:pt idx="196">
                  <c:v>559.48170794289206</c:v>
                </c:pt>
                <c:pt idx="197">
                  <c:v>559.48170794289206</c:v>
                </c:pt>
                <c:pt idx="198">
                  <c:v>559.48170794289206</c:v>
                </c:pt>
                <c:pt idx="199">
                  <c:v>559.48170794289206</c:v>
                </c:pt>
                <c:pt idx="200">
                  <c:v>559.48170794289206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2.8300887377194459</c:v>
                </c:pt>
                <c:pt idx="2">
                  <c:v>3.3023042337663089</c:v>
                </c:pt>
                <c:pt idx="3">
                  <c:v>3.8535970165601152</c:v>
                </c:pt>
                <c:pt idx="4">
                  <c:v>4.4972545441499721</c:v>
                </c:pt>
                <c:pt idx="5">
                  <c:v>5.248804099073821</c:v>
                </c:pt>
                <c:pt idx="6">
                  <c:v>6.1263914658151855</c:v>
                </c:pt>
                <c:pt idx="7">
                  <c:v>7.1512238045226644</c:v>
                </c:pt>
                <c:pt idx="8">
                  <c:v>8.3480876313234251</c:v>
                </c:pt>
                <c:pt idx="9">
                  <c:v>9.7459546740510152</c:v>
                </c:pt>
                <c:pt idx="10">
                  <c:v>11.378690547935454</c:v>
                </c:pt>
                <c:pt idx="11">
                  <c:v>13.285883743023726</c:v>
                </c:pt>
                <c:pt idx="12">
                  <c:v>15.513815397359197</c:v>
                </c:pt>
                <c:pt idx="13">
                  <c:v>18.116593821686582</c:v>
                </c:pt>
                <c:pt idx="14">
                  <c:v>21.157481829858686</c:v>
                </c:pt>
                <c:pt idx="15">
                  <c:v>24.710449716344499</c:v>
                </c:pt>
                <c:pt idx="16">
                  <c:v>28.861992327929428</c:v>
                </c:pt>
                <c:pt idx="17">
                  <c:v>33.713255241033259</c:v>
                </c:pt>
                <c:pt idx="18">
                  <c:v>39.382522743268872</c:v>
                </c:pt>
                <c:pt idx="19">
                  <c:v>46.008129320319995</c:v>
                </c:pt>
                <c:pt idx="20">
                  <c:v>53.751866892337596</c:v>
                </c:pt>
                <c:pt idx="21">
                  <c:v>62.802972391940919</c:v>
                </c:pt>
                <c:pt idx="22">
                  <c:v>73.382794737994715</c:v>
                </c:pt>
                <c:pt idx="23">
                  <c:v>85.750257198185579</c:v>
                </c:pt>
                <c:pt idx="24">
                  <c:v>100.20825097386756</c:v>
                </c:pt>
                <c:pt idx="25">
                  <c:v>117.11111908049322</c:v>
                </c:pt>
                <c:pt idx="26">
                  <c:v>136.87341681951588</c:v>
                </c:pt>
                <c:pt idx="27">
                  <c:v>159.98016702649588</c:v>
                </c:pt>
                <c:pt idx="28">
                  <c:v>186.99886563630412</c:v>
                </c:pt>
                <c:pt idx="29">
                  <c:v>218.59353686850477</c:v>
                </c:pt>
                <c:pt idx="30">
                  <c:v>255.54118860432845</c:v>
                </c:pt>
                <c:pt idx="31">
                  <c:v>287.98065549837935</c:v>
                </c:pt>
                <c:pt idx="32">
                  <c:v>320.33837907742867</c:v>
                </c:pt>
                <c:pt idx="33">
                  <c:v>352.62377072685052</c:v>
                </c:pt>
                <c:pt idx="34">
                  <c:v>384.84437715991675</c:v>
                </c:pt>
                <c:pt idx="35">
                  <c:v>417.00637843031791</c:v>
                </c:pt>
                <c:pt idx="36">
                  <c:v>301.85725124126532</c:v>
                </c:pt>
                <c:pt idx="37">
                  <c:v>328.04252199714477</c:v>
                </c:pt>
                <c:pt idx="38">
                  <c:v>354.1816593108324</c:v>
                </c:pt>
                <c:pt idx="39">
                  <c:v>380.27854362778641</c:v>
                </c:pt>
                <c:pt idx="40">
                  <c:v>406.33647953898088</c:v>
                </c:pt>
                <c:pt idx="41">
                  <c:v>432.35831344928653</c:v>
                </c:pt>
                <c:pt idx="42">
                  <c:v>362.77915322530538</c:v>
                </c:pt>
                <c:pt idx="43">
                  <c:v>389.26479174838045</c:v>
                </c:pt>
                <c:pt idx="44">
                  <c:v>415.71133013070329</c:v>
                </c:pt>
                <c:pt idx="45">
                  <c:v>442.12160297089616</c:v>
                </c:pt>
                <c:pt idx="46">
                  <c:v>468.49807884128523</c:v>
                </c:pt>
                <c:pt idx="47">
                  <c:v>494.84292591646863</c:v>
                </c:pt>
                <c:pt idx="48">
                  <c:v>521.15806289757188</c:v>
                </c:pt>
                <c:pt idx="49">
                  <c:v>422.57294598110099</c:v>
                </c:pt>
                <c:pt idx="50">
                  <c:v>447.38105641848318</c:v>
                </c:pt>
                <c:pt idx="51">
                  <c:v>472.15973159082046</c:v>
                </c:pt>
                <c:pt idx="52">
                  <c:v>496.91073188695265</c:v>
                </c:pt>
                <c:pt idx="53">
                  <c:v>521.63562818224023</c:v>
                </c:pt>
                <c:pt idx="54">
                  <c:v>546.33583043678789</c:v>
                </c:pt>
                <c:pt idx="55">
                  <c:v>571.01261085476187</c:v>
                </c:pt>
                <c:pt idx="56">
                  <c:v>477.18559168482119</c:v>
                </c:pt>
                <c:pt idx="57">
                  <c:v>500.66860389728407</c:v>
                </c:pt>
                <c:pt idx="58">
                  <c:v>524.12831201472079</c:v>
                </c:pt>
                <c:pt idx="59">
                  <c:v>547.56590477948191</c:v>
                </c:pt>
                <c:pt idx="60">
                  <c:v>570.98246097062554</c:v>
                </c:pt>
                <c:pt idx="61">
                  <c:v>594.37896375893115</c:v>
                </c:pt>
                <c:pt idx="62">
                  <c:v>617.75631268555162</c:v>
                </c:pt>
                <c:pt idx="63">
                  <c:v>641.11533373446855</c:v>
                </c:pt>
                <c:pt idx="64">
                  <c:v>554.92538579248924</c:v>
                </c:pt>
                <c:pt idx="65">
                  <c:v>577.61966152160346</c:v>
                </c:pt>
                <c:pt idx="66">
                  <c:v>600.29533970808609</c:v>
                </c:pt>
                <c:pt idx="67">
                  <c:v>622.95322095327685</c:v>
                </c:pt>
                <c:pt idx="68">
                  <c:v>645.59404293438308</c:v>
                </c:pt>
                <c:pt idx="69">
                  <c:v>668.21848742751774</c:v>
                </c:pt>
                <c:pt idx="70">
                  <c:v>690.82718633097465</c:v>
                </c:pt>
                <c:pt idx="71">
                  <c:v>713.42072685975143</c:v>
                </c:pt>
                <c:pt idx="72">
                  <c:v>631.16812583573198</c:v>
                </c:pt>
                <c:pt idx="73">
                  <c:v>653.24421280565741</c:v>
                </c:pt>
                <c:pt idx="74">
                  <c:v>675.3049295425152</c:v>
                </c:pt>
                <c:pt idx="75">
                  <c:v>697.3508482552437</c:v>
                </c:pt>
                <c:pt idx="76">
                  <c:v>719.38250206584371</c:v>
                </c:pt>
                <c:pt idx="77">
                  <c:v>741.4003888185897</c:v>
                </c:pt>
                <c:pt idx="78">
                  <c:v>763.40497441369291</c:v>
                </c:pt>
                <c:pt idx="79">
                  <c:v>785.39669573704714</c:v>
                </c:pt>
                <c:pt idx="80">
                  <c:v>807.37596324515664</c:v>
                </c:pt>
                <c:pt idx="81">
                  <c:v>709.13882459911702</c:v>
                </c:pt>
                <c:pt idx="82">
                  <c:v>729.96317555896383</c:v>
                </c:pt>
                <c:pt idx="83">
                  <c:v>750.77542282677189</c:v>
                </c:pt>
                <c:pt idx="84">
                  <c:v>771.57594877489225</c:v>
                </c:pt>
                <c:pt idx="85">
                  <c:v>792.36511350333376</c:v>
                </c:pt>
                <c:pt idx="86">
                  <c:v>813.14325669910443</c:v>
                </c:pt>
                <c:pt idx="87">
                  <c:v>833.91069929584819</c:v>
                </c:pt>
                <c:pt idx="88">
                  <c:v>854.66774495976222</c:v>
                </c:pt>
                <c:pt idx="89">
                  <c:v>875.4146814238444</c:v>
                </c:pt>
                <c:pt idx="90">
                  <c:v>766.57568184411605</c:v>
                </c:pt>
                <c:pt idx="91">
                  <c:v>786.44303625759687</c:v>
                </c:pt>
                <c:pt idx="92">
                  <c:v>806.30024130253378</c:v>
                </c:pt>
                <c:pt idx="93">
                  <c:v>826.14758183312381</c:v>
                </c:pt>
                <c:pt idx="94">
                  <c:v>845.98532791786045</c:v>
                </c:pt>
                <c:pt idx="95">
                  <c:v>865.81373594268018</c:v>
                </c:pt>
                <c:pt idx="96">
                  <c:v>885.63304960792482</c:v>
                </c:pt>
                <c:pt idx="97">
                  <c:v>905.44350083153915</c:v>
                </c:pt>
                <c:pt idx="98">
                  <c:v>925.24531056921535</c:v>
                </c:pt>
                <c:pt idx="99">
                  <c:v>945.03868956077565</c:v>
                </c:pt>
                <c:pt idx="100">
                  <c:v>839.01816460713133</c:v>
                </c:pt>
                <c:pt idx="101">
                  <c:v>858.37941066310816</c:v>
                </c:pt>
                <c:pt idx="102">
                  <c:v>877.73190308693063</c:v>
                </c:pt>
                <c:pt idx="103">
                  <c:v>897.07586181987006</c:v>
                </c:pt>
                <c:pt idx="104">
                  <c:v>916.41149655682364</c:v>
                </c:pt>
                <c:pt idx="105">
                  <c:v>935.73900743411593</c:v>
                </c:pt>
                <c:pt idx="106">
                  <c:v>955.0585856576032</c:v>
                </c:pt>
                <c:pt idx="107">
                  <c:v>974.37041407737581</c:v>
                </c:pt>
                <c:pt idx="108">
                  <c:v>993.67466771459942</c:v>
                </c:pt>
                <c:pt idx="109">
                  <c:v>1012.971514245346</c:v>
                </c:pt>
                <c:pt idx="110">
                  <c:v>898.48783549856989</c:v>
                </c:pt>
                <c:pt idx="111">
                  <c:v>917.20975424343681</c:v>
                </c:pt>
                <c:pt idx="112">
                  <c:v>935.92406388700135</c:v>
                </c:pt>
                <c:pt idx="113">
                  <c:v>954.63093780956694</c:v>
                </c:pt>
                <c:pt idx="114">
                  <c:v>973.3305420514298</c:v>
                </c:pt>
                <c:pt idx="115">
                  <c:v>992.02303576149086</c:v>
                </c:pt>
                <c:pt idx="116">
                  <c:v>1010.7085716103497</c:v>
                </c:pt>
                <c:pt idx="117">
                  <c:v>1029.3872961713043</c:v>
                </c:pt>
                <c:pt idx="118">
                  <c:v>1048.0593502722984</c:v>
                </c:pt>
                <c:pt idx="119">
                  <c:v>1066.7248693215251</c:v>
                </c:pt>
                <c:pt idx="120">
                  <c:v>674.41858222026156</c:v>
                </c:pt>
                <c:pt idx="121">
                  <c:v>673.67242948113892</c:v>
                </c:pt>
                <c:pt idx="122">
                  <c:v>672.92625976010697</c:v>
                </c:pt>
                <c:pt idx="123">
                  <c:v>672.18007303566412</c:v>
                </c:pt>
                <c:pt idx="124">
                  <c:v>470.34988425072794</c:v>
                </c:pt>
                <c:pt idx="125">
                  <c:v>470.74848142732253</c:v>
                </c:pt>
                <c:pt idx="126">
                  <c:v>471.14707141491613</c:v>
                </c:pt>
                <c:pt idx="127">
                  <c:v>471.54565422045795</c:v>
                </c:pt>
                <c:pt idx="128">
                  <c:v>340.08785846318278</c:v>
                </c:pt>
                <c:pt idx="129">
                  <c:v>340.28602122419534</c:v>
                </c:pt>
                <c:pt idx="130">
                  <c:v>340.48418144622576</c:v>
                </c:pt>
                <c:pt idx="131">
                  <c:v>340.68233913096401</c:v>
                </c:pt>
                <c:pt idx="132">
                  <c:v>43.582452684375909</c:v>
                </c:pt>
                <c:pt idx="133">
                  <c:v>43.582452684375909</c:v>
                </c:pt>
                <c:pt idx="134">
                  <c:v>43.582452684375909</c:v>
                </c:pt>
                <c:pt idx="135">
                  <c:v>43.582452684375909</c:v>
                </c:pt>
                <c:pt idx="136">
                  <c:v>43.582452684375909</c:v>
                </c:pt>
                <c:pt idx="137">
                  <c:v>43.582452684375909</c:v>
                </c:pt>
                <c:pt idx="138">
                  <c:v>43.582452684375909</c:v>
                </c:pt>
                <c:pt idx="139">
                  <c:v>43.582452684375909</c:v>
                </c:pt>
                <c:pt idx="140">
                  <c:v>43.582452684375909</c:v>
                </c:pt>
                <c:pt idx="141">
                  <c:v>43.582452684375909</c:v>
                </c:pt>
                <c:pt idx="142">
                  <c:v>43.582452684375909</c:v>
                </c:pt>
                <c:pt idx="143">
                  <c:v>43.582452684375909</c:v>
                </c:pt>
                <c:pt idx="144">
                  <c:v>43.582452684375909</c:v>
                </c:pt>
                <c:pt idx="145">
                  <c:v>43.582452684375909</c:v>
                </c:pt>
                <c:pt idx="146">
                  <c:v>43.582452684375909</c:v>
                </c:pt>
                <c:pt idx="147">
                  <c:v>43.582452684375909</c:v>
                </c:pt>
                <c:pt idx="148">
                  <c:v>43.582452684375909</c:v>
                </c:pt>
                <c:pt idx="149">
                  <c:v>43.582452684375909</c:v>
                </c:pt>
                <c:pt idx="150">
                  <c:v>43.582452684375909</c:v>
                </c:pt>
                <c:pt idx="151">
                  <c:v>43.582452684375909</c:v>
                </c:pt>
                <c:pt idx="152">
                  <c:v>43.582452684375909</c:v>
                </c:pt>
                <c:pt idx="153">
                  <c:v>43.582452684375909</c:v>
                </c:pt>
                <c:pt idx="154">
                  <c:v>43.582452684375909</c:v>
                </c:pt>
                <c:pt idx="155">
                  <c:v>43.582452684375909</c:v>
                </c:pt>
                <c:pt idx="156">
                  <c:v>43.582452684375909</c:v>
                </c:pt>
                <c:pt idx="157">
                  <c:v>43.582452684375909</c:v>
                </c:pt>
                <c:pt idx="158">
                  <c:v>43.582452684375909</c:v>
                </c:pt>
                <c:pt idx="159">
                  <c:v>43.582452684375909</c:v>
                </c:pt>
                <c:pt idx="160">
                  <c:v>43.582452684375909</c:v>
                </c:pt>
                <c:pt idx="161">
                  <c:v>43.582452684375909</c:v>
                </c:pt>
                <c:pt idx="162">
                  <c:v>43.582452684375909</c:v>
                </c:pt>
                <c:pt idx="163">
                  <c:v>43.582452684375909</c:v>
                </c:pt>
                <c:pt idx="164">
                  <c:v>43.582452684375909</c:v>
                </c:pt>
                <c:pt idx="165">
                  <c:v>43.582452684375909</c:v>
                </c:pt>
                <c:pt idx="166">
                  <c:v>43.582452684375909</c:v>
                </c:pt>
                <c:pt idx="167">
                  <c:v>43.582452684375909</c:v>
                </c:pt>
                <c:pt idx="168">
                  <c:v>43.582452684375909</c:v>
                </c:pt>
                <c:pt idx="169">
                  <c:v>43.582452684375909</c:v>
                </c:pt>
                <c:pt idx="170">
                  <c:v>43.582452684375909</c:v>
                </c:pt>
                <c:pt idx="171">
                  <c:v>43.582452684375909</c:v>
                </c:pt>
                <c:pt idx="172">
                  <c:v>43.582452684375909</c:v>
                </c:pt>
                <c:pt idx="173">
                  <c:v>43.582452684375909</c:v>
                </c:pt>
                <c:pt idx="174">
                  <c:v>43.582452684375909</c:v>
                </c:pt>
                <c:pt idx="175">
                  <c:v>43.582452684375909</c:v>
                </c:pt>
                <c:pt idx="176">
                  <c:v>43.582452684375909</c:v>
                </c:pt>
                <c:pt idx="177">
                  <c:v>43.582452684375909</c:v>
                </c:pt>
                <c:pt idx="178">
                  <c:v>43.582452684375909</c:v>
                </c:pt>
                <c:pt idx="179">
                  <c:v>43.582452684375909</c:v>
                </c:pt>
                <c:pt idx="180">
                  <c:v>43.582452684375909</c:v>
                </c:pt>
                <c:pt idx="181">
                  <c:v>43.582452684375909</c:v>
                </c:pt>
                <c:pt idx="182">
                  <c:v>43.582452684375909</c:v>
                </c:pt>
                <c:pt idx="183">
                  <c:v>43.582452684375909</c:v>
                </c:pt>
                <c:pt idx="184">
                  <c:v>43.582452684375909</c:v>
                </c:pt>
                <c:pt idx="185">
                  <c:v>43.582452684375909</c:v>
                </c:pt>
                <c:pt idx="186">
                  <c:v>43.582452684375909</c:v>
                </c:pt>
                <c:pt idx="187">
                  <c:v>43.582452684375909</c:v>
                </c:pt>
                <c:pt idx="188">
                  <c:v>43.582452684375909</c:v>
                </c:pt>
                <c:pt idx="189">
                  <c:v>43.582452684375909</c:v>
                </c:pt>
                <c:pt idx="190">
                  <c:v>43.582452684375909</c:v>
                </c:pt>
                <c:pt idx="191">
                  <c:v>43.582452684375909</c:v>
                </c:pt>
                <c:pt idx="192">
                  <c:v>43.582452684375909</c:v>
                </c:pt>
                <c:pt idx="193">
                  <c:v>43.582452684375909</c:v>
                </c:pt>
                <c:pt idx="194">
                  <c:v>43.582452684375909</c:v>
                </c:pt>
                <c:pt idx="195">
                  <c:v>43.582452684375909</c:v>
                </c:pt>
                <c:pt idx="196">
                  <c:v>43.582452684375909</c:v>
                </c:pt>
                <c:pt idx="197">
                  <c:v>43.582452684375909</c:v>
                </c:pt>
                <c:pt idx="198">
                  <c:v>43.582452684375909</c:v>
                </c:pt>
                <c:pt idx="199">
                  <c:v>43.582452684375909</c:v>
                </c:pt>
                <c:pt idx="200">
                  <c:v>43.582452684375909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5" x14ac:dyDescent="0.35"/>
  <cols>
    <col min="1" max="1" width="6.6328125" customWidth="1"/>
    <col min="2" max="13" width="15.81640625" customWidth="1"/>
  </cols>
  <sheetData>
    <row r="12" spans="2:13" ht="15" customHeight="1" x14ac:dyDescent="0.35">
      <c r="B12" s="266" t="s">
        <v>291</v>
      </c>
      <c r="C12" s="266"/>
      <c r="D12" s="266"/>
      <c r="E12" s="266"/>
      <c r="F12" s="266"/>
      <c r="G12" s="266"/>
      <c r="H12" s="266"/>
      <c r="I12" s="266"/>
      <c r="J12" s="266"/>
      <c r="K12" s="266"/>
      <c r="L12" s="266"/>
      <c r="M12" s="266"/>
    </row>
    <row r="13" spans="2:13" ht="15" customHeight="1" x14ac:dyDescent="0.35">
      <c r="B13" s="266"/>
      <c r="C13" s="266"/>
      <c r="D13" s="266"/>
      <c r="E13" s="266"/>
      <c r="F13" s="266"/>
      <c r="G13" s="266"/>
      <c r="H13" s="266"/>
      <c r="I13" s="266"/>
      <c r="J13" s="266"/>
      <c r="K13" s="266"/>
      <c r="L13" s="266"/>
      <c r="M13" s="266"/>
    </row>
    <row r="14" spans="2:13" ht="15" customHeight="1" x14ac:dyDescent="0.35">
      <c r="B14" s="266"/>
      <c r="C14" s="266"/>
      <c r="D14" s="266"/>
      <c r="E14" s="266"/>
      <c r="F14" s="266"/>
      <c r="G14" s="266"/>
      <c r="H14" s="266"/>
      <c r="I14" s="266"/>
      <c r="J14" s="266"/>
      <c r="K14" s="266"/>
      <c r="L14" s="266"/>
      <c r="M14" s="266"/>
    </row>
    <row r="15" spans="2:13" ht="18.75" customHeight="1" x14ac:dyDescent="0.35">
      <c r="B15" s="266"/>
      <c r="C15" s="266"/>
      <c r="D15" s="266"/>
      <c r="E15" s="266"/>
      <c r="F15" s="266"/>
      <c r="G15" s="266"/>
      <c r="H15" s="266"/>
      <c r="I15" s="266"/>
      <c r="J15" s="266"/>
      <c r="K15" s="266"/>
      <c r="L15" s="266"/>
      <c r="M15" s="266"/>
    </row>
    <row r="16" spans="2:13" ht="18.75" customHeight="1" x14ac:dyDescent="0.35">
      <c r="B16" s="266"/>
      <c r="C16" s="266"/>
      <c r="D16" s="266"/>
      <c r="E16" s="266"/>
      <c r="F16" s="266"/>
      <c r="G16" s="266"/>
      <c r="H16" s="266"/>
      <c r="I16" s="266"/>
      <c r="J16" s="266"/>
      <c r="K16" s="266"/>
      <c r="L16" s="266"/>
      <c r="M16" s="266"/>
    </row>
    <row r="18" spans="2:13" ht="12" customHeight="1" x14ac:dyDescent="0.35">
      <c r="B18" s="266" t="s">
        <v>292</v>
      </c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</row>
    <row r="19" spans="2:13" ht="12" customHeight="1" x14ac:dyDescent="0.35">
      <c r="B19" s="266"/>
      <c r="C19" s="266"/>
      <c r="D19" s="266"/>
      <c r="E19" s="266"/>
      <c r="F19" s="266"/>
      <c r="G19" s="266"/>
      <c r="H19" s="266"/>
      <c r="I19" s="266"/>
      <c r="J19" s="266"/>
      <c r="K19" s="266"/>
      <c r="L19" s="266"/>
      <c r="M19" s="266"/>
    </row>
    <row r="20" spans="2:13" ht="12" customHeight="1" x14ac:dyDescent="0.35">
      <c r="B20" s="266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</row>
    <row r="21" spans="2:13" ht="12" customHeight="1" x14ac:dyDescent="0.35">
      <c r="B21" s="266"/>
      <c r="C21" s="266"/>
      <c r="D21" s="266"/>
      <c r="E21" s="266"/>
      <c r="F21" s="266"/>
      <c r="G21" s="266"/>
      <c r="H21" s="266"/>
      <c r="I21" s="266"/>
      <c r="J21" s="266"/>
      <c r="K21" s="266"/>
      <c r="L21" s="266"/>
      <c r="M21" s="266"/>
    </row>
    <row r="22" spans="2:13" ht="12" customHeight="1" x14ac:dyDescent="0.35">
      <c r="B22" s="266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</row>
    <row r="23" spans="2:13" ht="12" customHeight="1" x14ac:dyDescent="0.35">
      <c r="B23" s="266"/>
      <c r="C23" s="266"/>
      <c r="D23" s="266"/>
      <c r="E23" s="266"/>
      <c r="F23" s="266"/>
      <c r="G23" s="266"/>
      <c r="H23" s="266"/>
      <c r="I23" s="266"/>
      <c r="J23" s="266"/>
      <c r="K23" s="266"/>
      <c r="L23" s="266"/>
      <c r="M23" s="266"/>
    </row>
    <row r="24" spans="2:13" ht="12" customHeight="1" x14ac:dyDescent="0.35"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</row>
    <row r="25" spans="2:13" ht="12" customHeight="1" x14ac:dyDescent="0.35">
      <c r="B25" s="266"/>
      <c r="C25" s="266"/>
      <c r="D25" s="266"/>
      <c r="E25" s="266"/>
      <c r="F25" s="266"/>
      <c r="G25" s="266"/>
      <c r="H25" s="266"/>
      <c r="I25" s="266"/>
      <c r="J25" s="266"/>
      <c r="K25" s="266"/>
      <c r="L25" s="266"/>
      <c r="M25" s="266"/>
    </row>
    <row r="26" spans="2:13" ht="12" customHeight="1" x14ac:dyDescent="0.35">
      <c r="B26" s="266"/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266"/>
    </row>
    <row r="27" spans="2:13" ht="12" customHeight="1" x14ac:dyDescent="0.35">
      <c r="B27" s="266"/>
      <c r="C27" s="266"/>
      <c r="D27" s="266"/>
      <c r="E27" s="266"/>
      <c r="F27" s="266"/>
      <c r="G27" s="266"/>
      <c r="H27" s="266"/>
      <c r="I27" s="266"/>
      <c r="J27" s="266"/>
      <c r="K27" s="266"/>
      <c r="L27" s="266"/>
      <c r="M27" s="266"/>
    </row>
    <row r="28" spans="2:13" ht="12" customHeight="1" x14ac:dyDescent="0.35">
      <c r="B28" s="266"/>
      <c r="C28" s="266"/>
      <c r="D28" s="266"/>
      <c r="E28" s="266"/>
      <c r="F28" s="266"/>
      <c r="G28" s="266"/>
      <c r="H28" s="266"/>
      <c r="I28" s="266"/>
      <c r="J28" s="266"/>
      <c r="K28" s="266"/>
      <c r="L28" s="266"/>
      <c r="M28" s="266"/>
    </row>
    <row r="29" spans="2:13" ht="12" customHeight="1" x14ac:dyDescent="0.35">
      <c r="B29" s="266"/>
      <c r="C29" s="266"/>
      <c r="D29" s="266"/>
      <c r="E29" s="266"/>
      <c r="F29" s="266"/>
      <c r="G29" s="266"/>
      <c r="H29" s="266"/>
      <c r="I29" s="266"/>
      <c r="J29" s="266"/>
      <c r="K29" s="266"/>
      <c r="L29" s="266"/>
      <c r="M29" s="266"/>
    </row>
    <row r="30" spans="2:13" ht="12" customHeight="1" x14ac:dyDescent="0.35">
      <c r="B30" s="266"/>
      <c r="C30" s="266"/>
      <c r="D30" s="266"/>
      <c r="E30" s="266"/>
      <c r="F30" s="266"/>
      <c r="G30" s="266"/>
      <c r="H30" s="266"/>
      <c r="I30" s="266"/>
      <c r="J30" s="266"/>
      <c r="K30" s="266"/>
      <c r="L30" s="266"/>
      <c r="M30" s="266"/>
    </row>
    <row r="31" spans="2:13" ht="12" customHeight="1" x14ac:dyDescent="0.35">
      <c r="B31" s="266"/>
      <c r="C31" s="266"/>
      <c r="D31" s="266"/>
      <c r="E31" s="266"/>
      <c r="F31" s="266"/>
      <c r="G31" s="266"/>
      <c r="H31" s="266"/>
      <c r="I31" s="266"/>
      <c r="J31" s="266"/>
      <c r="K31" s="266"/>
      <c r="L31" s="266"/>
      <c r="M31" s="26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35" zoomScaleNormal="100" workbookViewId="0">
      <selection activeCell="H17" sqref="H17"/>
    </sheetView>
  </sheetViews>
  <sheetFormatPr baseColWidth="10" defaultColWidth="11.453125" defaultRowHeight="14.5" x14ac:dyDescent="0.35"/>
  <cols>
    <col min="1" max="1" width="13.6328125" style="23" customWidth="1"/>
    <col min="2" max="2" width="36.08984375" style="23" customWidth="1"/>
    <col min="3" max="3" width="14.81640625" style="23" bestFit="1" customWidth="1"/>
    <col min="4" max="4" width="16.453125" style="23" customWidth="1"/>
    <col min="5" max="5" width="23.36328125" style="23" customWidth="1"/>
    <col min="6" max="6" width="28.81640625" style="23" bestFit="1" customWidth="1"/>
    <col min="7" max="8" width="14.6328125" style="23" customWidth="1"/>
    <col min="9" max="9" width="17" style="23" customWidth="1"/>
    <col min="10" max="10" width="13.81640625" style="23" customWidth="1"/>
    <col min="11" max="16384" width="11.453125" style="23"/>
  </cols>
  <sheetData>
    <row r="1" spans="1:38" x14ac:dyDescent="0.35">
      <c r="A1" s="4"/>
      <c r="B1" s="4"/>
      <c r="C1" s="271" t="s">
        <v>190</v>
      </c>
      <c r="D1" s="271"/>
      <c r="E1" s="271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4">
      <c r="A2" s="4"/>
      <c r="B2" s="4"/>
      <c r="C2" s="4"/>
      <c r="D2" s="4"/>
      <c r="E2" s="4"/>
      <c r="F2" s="4"/>
      <c r="G2" s="4"/>
      <c r="H2" s="4"/>
      <c r="I2" s="209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5" thickBot="1" x14ac:dyDescent="0.4">
      <c r="A3" s="4"/>
      <c r="B3" s="272" t="s">
        <v>192</v>
      </c>
      <c r="C3" s="273"/>
      <c r="D3" s="273"/>
      <c r="E3" s="273"/>
      <c r="F3" s="274"/>
      <c r="G3" s="87"/>
      <c r="I3" s="209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35">
      <c r="A4" s="88"/>
      <c r="B4" s="88"/>
      <c r="C4" s="88"/>
      <c r="D4" s="88"/>
      <c r="E4" s="88"/>
      <c r="F4" s="88"/>
      <c r="G4" s="216"/>
      <c r="I4" s="209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35">
      <c r="A5" s="277" t="s">
        <v>231</v>
      </c>
      <c r="B5" s="277"/>
      <c r="C5" s="24">
        <v>3.12</v>
      </c>
      <c r="D5" s="278" t="s">
        <v>229</v>
      </c>
      <c r="E5" s="279"/>
      <c r="F5" s="88"/>
      <c r="G5" s="216"/>
      <c r="H5" s="216"/>
      <c r="I5" s="216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5">
      <c r="A6" s="89"/>
      <c r="B6" s="89"/>
      <c r="C6" s="4"/>
      <c r="D6" s="85"/>
      <c r="E6" s="85"/>
      <c r="F6" s="26"/>
      <c r="G6" s="203"/>
      <c r="H6" s="203"/>
      <c r="I6" s="203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35">
      <c r="A7" s="276" t="s">
        <v>226</v>
      </c>
      <c r="B7" s="276"/>
      <c r="C7" s="88"/>
      <c r="D7" s="88"/>
      <c r="E7" s="4"/>
      <c r="F7" s="88"/>
      <c r="G7" s="216"/>
      <c r="H7" s="216"/>
      <c r="I7" s="216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3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5">
      <c r="A9" s="30" t="s">
        <v>165</v>
      </c>
      <c r="B9" s="263" t="s">
        <v>14</v>
      </c>
      <c r="C9" s="264">
        <v>0.15333333333333332</v>
      </c>
      <c r="D9" s="33">
        <f t="shared" ref="D9:D18" si="0">C9*$C$5</f>
        <v>0.47839999999999999</v>
      </c>
      <c r="E9" s="265">
        <v>131</v>
      </c>
      <c r="F9" s="35" t="str">
        <f t="array" ref="F9">IF(E9="","",IF(INDEX(A:A,MAX(IF(ISNUMBER($A$36:$A$55),ROW($A$36:$A$55),"")))&lt;&gt;E9,"Corrigez : révolution incorrecte","OK"))</f>
        <v>OK</v>
      </c>
      <c r="G9" s="226" t="s">
        <v>306</v>
      </c>
      <c r="I9" s="22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5">
      <c r="A10" s="30" t="s">
        <v>166</v>
      </c>
      <c r="B10" s="263" t="s">
        <v>12</v>
      </c>
      <c r="C10" s="264">
        <v>0.11333333333333333</v>
      </c>
      <c r="D10" s="33">
        <f t="shared" si="0"/>
        <v>0.35359999999999997</v>
      </c>
      <c r="E10" s="265">
        <v>131</v>
      </c>
      <c r="F10" s="35" t="str">
        <f t="array" ref="F10">IF(E10="","",IF(INDEX(A:A,MAX(IF(ISNUMBER($A$62:$A$81),ROW($A$62:$A$81),"")))&lt;&gt;E10,"Corrigez : révolution incorrecte","OK"))</f>
        <v>OK</v>
      </c>
      <c r="I10" s="22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5">
      <c r="A11" s="30" t="s">
        <v>167</v>
      </c>
      <c r="B11" s="263" t="s">
        <v>25</v>
      </c>
      <c r="C11" s="264">
        <v>0.13333333333333333</v>
      </c>
      <c r="D11" s="33">
        <f t="shared" si="0"/>
        <v>0.41599999999999998</v>
      </c>
      <c r="E11" s="265">
        <v>115</v>
      </c>
      <c r="F11" s="35" t="str">
        <f t="array" ref="F11">IF(E11="","",IF(INDEX(A:A,MAX(IF(ISNUMBER($A$88:$A$107),ROW($A$88:$A$107),"")))&lt;&gt;E11,"Corrigez : révolution incorrecte","OK"))</f>
        <v>OK</v>
      </c>
      <c r="I11" s="22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5">
      <c r="A12" s="30" t="s">
        <v>168</v>
      </c>
      <c r="B12" s="263" t="s">
        <v>164</v>
      </c>
      <c r="C12" s="264">
        <v>0.10666666666666666</v>
      </c>
      <c r="D12" s="33">
        <f t="shared" si="0"/>
        <v>0.33279999999999998</v>
      </c>
      <c r="E12" s="265">
        <v>101</v>
      </c>
      <c r="F12" s="35" t="str">
        <f t="array" ref="F12">IF(E12="","",IF(INDEX(A:A,MAX(IF(ISNUMBER($A$114:$A$133),ROW($A$114:$A$133),"")))&lt;&gt;E12,"Corrigez : révolution incorrecte","OK"))</f>
        <v>OK</v>
      </c>
      <c r="I12" s="22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5">
      <c r="A13" s="30" t="s">
        <v>169</v>
      </c>
      <c r="B13" s="31" t="s">
        <v>8</v>
      </c>
      <c r="C13" s="32">
        <v>9.3333333333333338E-2</v>
      </c>
      <c r="D13" s="33">
        <f t="shared" si="0"/>
        <v>0.29120000000000001</v>
      </c>
      <c r="E13" s="34">
        <v>80</v>
      </c>
      <c r="F13" s="35" t="str">
        <f t="array" ref="F13">IF(E13="","",IF(INDEX(A:A,MAX(IF(ISNUMBER($A$140:$A$159),ROW($A$140:$A$159),"")))&lt;&gt;E13,"Corrigez : révolution incorrecte","OK"))</f>
        <v>OK</v>
      </c>
      <c r="I13" s="22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5">
      <c r="A14" s="30" t="s">
        <v>170</v>
      </c>
      <c r="B14" s="31" t="s">
        <v>50</v>
      </c>
      <c r="C14" s="32">
        <v>7.9999999999999988E-2</v>
      </c>
      <c r="D14" s="33">
        <f t="shared" si="0"/>
        <v>0.24959999999999996</v>
      </c>
      <c r="E14" s="34">
        <v>131</v>
      </c>
      <c r="F14" s="35" t="str">
        <f t="array" ref="F14">IF(E14="","",IF(INDEX(A:A,MAX(IF(ISNUMBER($A$166:$A$185),ROW($A$166:$A$185),"")))&lt;&gt;E14,"Corrigez : révolution incorrecte","OK"))</f>
        <v>OK</v>
      </c>
      <c r="I14" s="22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5">
      <c r="A15" s="30" t="s">
        <v>171</v>
      </c>
      <c r="B15" s="31" t="s">
        <v>23</v>
      </c>
      <c r="C15" s="32">
        <v>0.15999999999999998</v>
      </c>
      <c r="D15" s="33">
        <f t="shared" si="0"/>
        <v>0.49919999999999992</v>
      </c>
      <c r="E15" s="34">
        <v>80</v>
      </c>
      <c r="F15" s="35" t="str">
        <f t="array" ref="F15">IF(E15="","",IF(INDEX(A:A,MAX(IF(ISNUMBER($A$192:$A$211),ROW($A$192:$A$211),"")))&lt;&gt;E15,"Corrigez : révolution incorrecte","OK"))</f>
        <v>OK</v>
      </c>
      <c r="G15" s="23" t="s">
        <v>324</v>
      </c>
      <c r="I15" s="22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5">
      <c r="A16" s="30" t="s">
        <v>172</v>
      </c>
      <c r="B16" s="31" t="s">
        <v>30</v>
      </c>
      <c r="C16" s="32">
        <v>6.6666666666666666E-2</v>
      </c>
      <c r="D16" s="33">
        <f t="shared" si="0"/>
        <v>0.20799999999999999</v>
      </c>
      <c r="E16" s="34">
        <v>80</v>
      </c>
      <c r="F16" s="35" t="str">
        <f t="array" ref="F16">IF(E16="","",IF(INDEX(A:A,MAX(IF(ISNUMBER($A$218:$A$237),ROW($A$218:$A$237),"")))&lt;&gt;E16,"Corrigez : révolution incorrecte","OK"))</f>
        <v>OK</v>
      </c>
      <c r="G16" s="23" t="s">
        <v>325</v>
      </c>
      <c r="I16" s="22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5">
      <c r="A17" s="30" t="s">
        <v>173</v>
      </c>
      <c r="B17" s="31" t="s">
        <v>6</v>
      </c>
      <c r="C17" s="32">
        <v>5.333333333333333E-2</v>
      </c>
      <c r="D17" s="33">
        <f t="shared" si="0"/>
        <v>0.16639999999999999</v>
      </c>
      <c r="E17" s="34">
        <v>131</v>
      </c>
      <c r="F17" s="35" t="str">
        <f t="array" ref="F17">IF(E17="","",IF(INDEX(A:A,MAX(IF(ISNUMBER($A$244:$A$263),ROW($A$244:$A$263),"")))&lt;&gt;E17,"Corrigez : révolution incorrecte","OK"))</f>
        <v>OK</v>
      </c>
      <c r="I17" s="22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5">
      <c r="A18" s="30" t="s">
        <v>174</v>
      </c>
      <c r="B18" s="31" t="s">
        <v>29</v>
      </c>
      <c r="C18" s="32">
        <v>3.9999999999999994E-2</v>
      </c>
      <c r="D18" s="33">
        <f t="shared" si="0"/>
        <v>0.12479999999999998</v>
      </c>
      <c r="E18" s="34">
        <v>69</v>
      </c>
      <c r="F18" s="35" t="str">
        <f t="array" ref="F18">IF(E18="","",IF(INDEX(A:A,MAX(IF(ISNUMBER($A$270:$A$289),ROW($A$270:$A$289),"")))&lt;&gt;E18,"Corrigez : révolution incorrecte","OK"))</f>
        <v>OK</v>
      </c>
      <c r="I18" s="22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5">
      <c r="A19" s="77"/>
      <c r="B19" s="36" t="s">
        <v>175</v>
      </c>
      <c r="C19" s="37">
        <f>SUM(C9:C18)</f>
        <v>1</v>
      </c>
      <c r="D19" s="38">
        <f>SUM(D9:D18)</f>
        <v>3.12</v>
      </c>
      <c r="E19" s="4"/>
      <c r="F19" s="90"/>
      <c r="G19" s="217"/>
      <c r="H19" s="217"/>
      <c r="I19" s="217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5">
      <c r="A20" s="77"/>
      <c r="B20" s="39" t="s">
        <v>230</v>
      </c>
      <c r="C20" s="40" t="str">
        <f>IF(C19&gt;100%,"Erreur : corrigez","OK")</f>
        <v>OK</v>
      </c>
      <c r="D20" s="220"/>
      <c r="F20" s="203"/>
      <c r="G20" s="203"/>
      <c r="H20" s="217"/>
      <c r="I20" s="217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5">
      <c r="A21" s="4"/>
      <c r="B21" s="4"/>
      <c r="C21" s="4"/>
      <c r="H21" s="218"/>
      <c r="I21" s="218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5">
      <c r="A22" s="275" t="s">
        <v>232</v>
      </c>
      <c r="B22" s="27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5">
      <c r="A24" s="41" t="s">
        <v>218</v>
      </c>
      <c r="B24" s="42" t="s">
        <v>224</v>
      </c>
      <c r="C24" s="43">
        <v>0</v>
      </c>
      <c r="D24" s="44" t="s">
        <v>233</v>
      </c>
      <c r="E24" s="91"/>
      <c r="F24" s="91"/>
      <c r="G24" s="200"/>
      <c r="I24" s="200"/>
      <c r="J24" s="219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5">
      <c r="A25" s="41" t="s">
        <v>220</v>
      </c>
      <c r="B25" s="42" t="s">
        <v>219</v>
      </c>
      <c r="C25" s="45">
        <v>0.1</v>
      </c>
      <c r="D25" s="92"/>
      <c r="E25" s="4"/>
      <c r="F25" s="92"/>
      <c r="G25" s="219"/>
      <c r="I25" s="219"/>
      <c r="J25" s="219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5">
      <c r="A26" s="41" t="s">
        <v>222</v>
      </c>
      <c r="B26" s="42" t="s">
        <v>221</v>
      </c>
      <c r="C26" s="43">
        <v>0</v>
      </c>
      <c r="D26" s="44" t="s">
        <v>234</v>
      </c>
      <c r="E26" s="91"/>
      <c r="F26" s="91"/>
      <c r="G26" s="200"/>
      <c r="I26" s="200"/>
      <c r="J26" s="200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5">
      <c r="A27" s="41" t="s">
        <v>223</v>
      </c>
      <c r="B27" s="42" t="s">
        <v>225</v>
      </c>
      <c r="C27" s="43">
        <v>0</v>
      </c>
      <c r="D27" s="44" t="s">
        <v>235</v>
      </c>
      <c r="E27" s="91"/>
      <c r="F27" s="91"/>
      <c r="G27" s="200"/>
      <c r="I27" s="200"/>
      <c r="J27" s="200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5">
      <c r="A30" s="276" t="s">
        <v>227</v>
      </c>
      <c r="B30" s="276"/>
      <c r="D30" s="221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5">
      <c r="A31" s="4"/>
      <c r="B31" s="4"/>
      <c r="K31" s="221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5">
      <c r="A32" s="46" t="s">
        <v>165</v>
      </c>
      <c r="B32" s="47" t="str">
        <f>IF(B9="","",B9)</f>
        <v>Chêne sessile</v>
      </c>
      <c r="D32" s="227" t="s">
        <v>307</v>
      </c>
      <c r="K32" s="221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5">
      <c r="A33" s="46"/>
      <c r="B33" s="4"/>
      <c r="K33" s="221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5">
      <c r="A34" s="4"/>
      <c r="B34" s="84" t="s">
        <v>185</v>
      </c>
      <c r="C34" s="267" t="s">
        <v>186</v>
      </c>
      <c r="D34" s="267"/>
      <c r="E34" s="268" t="s">
        <v>187</v>
      </c>
      <c r="F34" s="269"/>
      <c r="G34" s="269"/>
      <c r="H34" s="270"/>
      <c r="I34" s="93"/>
      <c r="J34" s="221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5" x14ac:dyDescent="0.3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2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5">
      <c r="A36" s="259">
        <v>30</v>
      </c>
      <c r="B36" s="259">
        <v>121.8846154</v>
      </c>
      <c r="C36" s="259"/>
      <c r="D36" s="259"/>
      <c r="E36" s="260"/>
      <c r="F36" s="260"/>
      <c r="G36" s="260"/>
      <c r="H36" s="260"/>
      <c r="I36" s="49">
        <f>IFERROR(B36/A36,"")</f>
        <v>4.0628205133333335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5">
      <c r="A37" s="259">
        <v>35</v>
      </c>
      <c r="B37" s="259">
        <v>201.29</v>
      </c>
      <c r="C37" s="259">
        <v>1</v>
      </c>
      <c r="D37" s="259">
        <v>69.58</v>
      </c>
      <c r="E37" s="260">
        <v>1</v>
      </c>
      <c r="F37" s="260"/>
      <c r="G37" s="260"/>
      <c r="H37" s="260"/>
      <c r="I37" s="53">
        <f t="shared" ref="I37:I55" si="1">IF(A37&lt;&gt;0,(B37-(B36-D36))/(A37-A36),"")</f>
        <v>15.881076919999998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5">
      <c r="A38" s="259">
        <v>41</v>
      </c>
      <c r="B38" s="259">
        <v>208.88</v>
      </c>
      <c r="C38" s="259">
        <v>2</v>
      </c>
      <c r="D38" s="259">
        <v>47.41</v>
      </c>
      <c r="E38" s="260">
        <v>1</v>
      </c>
      <c r="F38" s="260"/>
      <c r="G38" s="260"/>
      <c r="H38" s="260"/>
      <c r="I38" s="53">
        <f t="shared" si="1"/>
        <v>12.86166666666667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5">
      <c r="A39" s="259">
        <v>48</v>
      </c>
      <c r="B39" s="259">
        <v>252.89</v>
      </c>
      <c r="C39" s="259">
        <v>3</v>
      </c>
      <c r="D39" s="259">
        <v>61.12</v>
      </c>
      <c r="E39" s="260">
        <v>1</v>
      </c>
      <c r="F39" s="260"/>
      <c r="G39" s="260"/>
      <c r="H39" s="260"/>
      <c r="I39" s="49">
        <f t="shared" si="1"/>
        <v>13.059999999999999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5">
      <c r="A40" s="259">
        <v>55</v>
      </c>
      <c r="B40" s="259">
        <v>277.67</v>
      </c>
      <c r="C40" s="259">
        <v>4</v>
      </c>
      <c r="D40" s="259">
        <v>58.24</v>
      </c>
      <c r="E40" s="260">
        <v>1</v>
      </c>
      <c r="F40" s="260"/>
      <c r="G40" s="260"/>
      <c r="H40" s="260"/>
      <c r="I40" s="49">
        <f t="shared" si="1"/>
        <v>12.271428571428576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5">
      <c r="A41" s="259">
        <v>63</v>
      </c>
      <c r="B41" s="259">
        <v>312.58999999999997</v>
      </c>
      <c r="C41" s="259">
        <v>5</v>
      </c>
      <c r="D41" s="259">
        <v>54.21</v>
      </c>
      <c r="E41" s="260">
        <v>1</v>
      </c>
      <c r="F41" s="260"/>
      <c r="G41" s="260"/>
      <c r="H41" s="260"/>
      <c r="I41" s="53">
        <f t="shared" si="1"/>
        <v>11.644999999999996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5">
      <c r="A42" s="259">
        <v>71</v>
      </c>
      <c r="B42" s="259">
        <v>348.69</v>
      </c>
      <c r="C42" s="259">
        <v>6</v>
      </c>
      <c r="D42" s="259">
        <v>52.07</v>
      </c>
      <c r="E42" s="260">
        <v>1</v>
      </c>
      <c r="F42" s="260"/>
      <c r="G42" s="260"/>
      <c r="H42" s="260"/>
      <c r="I42" s="53">
        <f t="shared" si="1"/>
        <v>11.28875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5">
      <c r="A43" s="259">
        <v>80</v>
      </c>
      <c r="B43" s="259">
        <v>395.71</v>
      </c>
      <c r="C43" s="259">
        <v>7</v>
      </c>
      <c r="D43" s="259">
        <v>59.57</v>
      </c>
      <c r="E43" s="260">
        <v>1</v>
      </c>
      <c r="F43" s="260"/>
      <c r="G43" s="260"/>
      <c r="H43" s="260"/>
      <c r="I43" s="49">
        <f t="shared" si="1"/>
        <v>11.009999999999998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5">
      <c r="A44" s="259">
        <v>89</v>
      </c>
      <c r="B44" s="259">
        <v>429.83</v>
      </c>
      <c r="C44" s="259">
        <v>8</v>
      </c>
      <c r="D44" s="259">
        <v>64.5</v>
      </c>
      <c r="E44" s="260">
        <v>1</v>
      </c>
      <c r="F44" s="260"/>
      <c r="G44" s="260"/>
      <c r="H44" s="260"/>
      <c r="I44" s="49">
        <f t="shared" si="1"/>
        <v>10.41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5">
      <c r="A45" s="259">
        <v>99</v>
      </c>
      <c r="B45" s="261">
        <v>464.8</v>
      </c>
      <c r="C45" s="259">
        <v>9</v>
      </c>
      <c r="D45" s="261">
        <v>62.94</v>
      </c>
      <c r="E45" s="260">
        <v>1</v>
      </c>
      <c r="F45" s="260"/>
      <c r="G45" s="260"/>
      <c r="H45" s="260"/>
      <c r="I45" s="49">
        <f t="shared" si="1"/>
        <v>9.9470000000000027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5">
      <c r="A46" s="259">
        <v>109</v>
      </c>
      <c r="B46" s="262">
        <v>498.97</v>
      </c>
      <c r="C46" s="259">
        <v>10</v>
      </c>
      <c r="D46" s="262">
        <v>66.959999999999994</v>
      </c>
      <c r="E46" s="260">
        <v>1</v>
      </c>
      <c r="F46" s="260"/>
      <c r="G46" s="260"/>
      <c r="H46" s="260"/>
      <c r="I46" s="49">
        <f t="shared" si="1"/>
        <v>9.7110000000000021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5">
      <c r="A47" s="259">
        <v>119</v>
      </c>
      <c r="B47" s="261">
        <v>526.04</v>
      </c>
      <c r="C47" s="259">
        <v>11</v>
      </c>
      <c r="D47" s="261">
        <v>196.46</v>
      </c>
      <c r="E47" s="260">
        <v>1</v>
      </c>
      <c r="F47" s="260"/>
      <c r="G47" s="260"/>
      <c r="H47" s="260"/>
      <c r="I47" s="49">
        <f t="shared" si="1"/>
        <v>9.4029999999999916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5">
      <c r="A48" s="259">
        <v>123</v>
      </c>
      <c r="B48" s="261">
        <v>328.09</v>
      </c>
      <c r="C48" s="259">
        <v>12</v>
      </c>
      <c r="D48" s="261">
        <v>100.6</v>
      </c>
      <c r="E48" s="260">
        <v>1</v>
      </c>
      <c r="F48" s="260"/>
      <c r="G48" s="260"/>
      <c r="H48" s="260"/>
      <c r="I48" s="49">
        <f t="shared" si="1"/>
        <v>-0.37249999999998806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5">
      <c r="A49" s="259">
        <v>127</v>
      </c>
      <c r="B49" s="261">
        <v>228.28</v>
      </c>
      <c r="C49" s="259">
        <v>13</v>
      </c>
      <c r="D49" s="261">
        <v>65.02</v>
      </c>
      <c r="E49" s="260">
        <v>1</v>
      </c>
      <c r="F49" s="260"/>
      <c r="G49" s="260"/>
      <c r="H49" s="260"/>
      <c r="I49" s="49">
        <f t="shared" si="1"/>
        <v>0.19750000000000512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5">
      <c r="A50" s="261">
        <v>131</v>
      </c>
      <c r="B50" s="261">
        <v>163.65</v>
      </c>
      <c r="C50" s="261">
        <v>14</v>
      </c>
      <c r="D50" s="261">
        <v>143.84</v>
      </c>
      <c r="E50" s="260">
        <v>1</v>
      </c>
      <c r="F50" s="260"/>
      <c r="G50" s="260"/>
      <c r="H50" s="260"/>
      <c r="I50" s="49">
        <f t="shared" si="1"/>
        <v>9.7500000000003695E-2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5">
      <c r="A51" s="261"/>
      <c r="B51" s="261"/>
      <c r="C51" s="261"/>
      <c r="D51" s="261"/>
      <c r="E51" s="260"/>
      <c r="F51" s="260"/>
      <c r="G51" s="260"/>
      <c r="H51" s="260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5">
      <c r="A52" s="261"/>
      <c r="B52" s="261"/>
      <c r="C52" s="261"/>
      <c r="D52" s="261"/>
      <c r="E52" s="260"/>
      <c r="F52" s="260"/>
      <c r="G52" s="260"/>
      <c r="H52" s="260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5">
      <c r="A53" s="261"/>
      <c r="B53" s="261"/>
      <c r="C53" s="261"/>
      <c r="D53" s="261"/>
      <c r="E53" s="260"/>
      <c r="F53" s="260"/>
      <c r="G53" s="260"/>
      <c r="H53" s="260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5">
      <c r="A54" s="261"/>
      <c r="B54" s="261"/>
      <c r="C54" s="261"/>
      <c r="D54" s="261"/>
      <c r="E54" s="260"/>
      <c r="F54" s="260"/>
      <c r="G54" s="260"/>
      <c r="H54" s="260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5">
      <c r="A55" s="261"/>
      <c r="B55" s="261"/>
      <c r="C55" s="261"/>
      <c r="D55" s="261"/>
      <c r="E55" s="260"/>
      <c r="F55" s="260"/>
      <c r="G55" s="260"/>
      <c r="H55" s="260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5">
      <c r="A58" s="46" t="s">
        <v>166</v>
      </c>
      <c r="B58" s="52" t="str">
        <f>IF(B10="","",B10)</f>
        <v>Chêne pubescent</v>
      </c>
      <c r="D58" s="227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5">
      <c r="A59" s="46"/>
      <c r="B59" s="9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5">
      <c r="A60" s="4"/>
      <c r="B60" s="84" t="s">
        <v>185</v>
      </c>
      <c r="C60" s="267" t="s">
        <v>186</v>
      </c>
      <c r="D60" s="267"/>
      <c r="E60" s="268" t="s">
        <v>187</v>
      </c>
      <c r="F60" s="269"/>
      <c r="G60" s="269"/>
      <c r="H60" s="270"/>
      <c r="I60" s="93"/>
      <c r="J60" s="221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5" x14ac:dyDescent="0.3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2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5">
      <c r="A62" s="261">
        <v>30</v>
      </c>
      <c r="B62" s="261">
        <v>121.8846154</v>
      </c>
      <c r="C62" s="261"/>
      <c r="D62" s="261"/>
      <c r="E62" s="260"/>
      <c r="F62" s="260"/>
      <c r="G62" s="260"/>
      <c r="H62" s="260"/>
      <c r="I62" s="53">
        <f>IFERROR(B62/A62,"")</f>
        <v>4.0628205133333335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5">
      <c r="A63" s="261">
        <v>35</v>
      </c>
      <c r="B63" s="261">
        <v>201.29</v>
      </c>
      <c r="C63" s="261">
        <v>1</v>
      </c>
      <c r="D63" s="261">
        <v>69.58</v>
      </c>
      <c r="E63" s="260">
        <v>1</v>
      </c>
      <c r="F63" s="260"/>
      <c r="G63" s="260"/>
      <c r="H63" s="260"/>
      <c r="I63" s="49">
        <f>IF(A63&lt;&gt;0,(B63-(B62-D62))/(A63-A62),"")</f>
        <v>15.881076919999998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5">
      <c r="A64" s="261">
        <v>41</v>
      </c>
      <c r="B64" s="261">
        <v>208.88</v>
      </c>
      <c r="C64" s="261">
        <v>2</v>
      </c>
      <c r="D64" s="261">
        <v>47.41</v>
      </c>
      <c r="E64" s="260">
        <v>1</v>
      </c>
      <c r="F64" s="260"/>
      <c r="G64" s="260"/>
      <c r="H64" s="260"/>
      <c r="I64" s="49">
        <f>IF(A64&lt;&gt;0,(B64-(B63-D63))/(A64-A63),"")</f>
        <v>12.86166666666667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5">
      <c r="A65" s="261">
        <v>48</v>
      </c>
      <c r="B65" s="261">
        <v>252.89</v>
      </c>
      <c r="C65" s="261">
        <v>3</v>
      </c>
      <c r="D65" s="261">
        <v>61.12</v>
      </c>
      <c r="E65" s="260">
        <v>1</v>
      </c>
      <c r="F65" s="260"/>
      <c r="G65" s="260"/>
      <c r="H65" s="260"/>
      <c r="I65" s="49">
        <f>IF(A65&lt;&gt;0,(B65-(B64-D64))/(A65-A64),"")</f>
        <v>13.059999999999999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5">
      <c r="A66" s="261">
        <v>55</v>
      </c>
      <c r="B66" s="261">
        <v>277.67</v>
      </c>
      <c r="C66" s="261">
        <v>4</v>
      </c>
      <c r="D66" s="261">
        <v>58.24</v>
      </c>
      <c r="E66" s="260">
        <v>1</v>
      </c>
      <c r="F66" s="260"/>
      <c r="G66" s="260"/>
      <c r="H66" s="260"/>
      <c r="I66" s="49">
        <f t="shared" ref="I66:I81" si="2">IF(A66&lt;&gt;0,(B66-(B65-D65))/(A66-A65),"")</f>
        <v>12.271428571428576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5">
      <c r="A67" s="261">
        <v>63</v>
      </c>
      <c r="B67" s="261">
        <v>312.58999999999997</v>
      </c>
      <c r="C67" s="261">
        <v>5</v>
      </c>
      <c r="D67" s="261">
        <v>54.21</v>
      </c>
      <c r="E67" s="260">
        <v>1</v>
      </c>
      <c r="F67" s="260"/>
      <c r="G67" s="260"/>
      <c r="H67" s="260"/>
      <c r="I67" s="49">
        <f t="shared" si="2"/>
        <v>11.644999999999996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5">
      <c r="A68" s="261">
        <v>71</v>
      </c>
      <c r="B68" s="261">
        <v>348.69</v>
      </c>
      <c r="C68" s="261">
        <v>6</v>
      </c>
      <c r="D68" s="261">
        <v>52.07</v>
      </c>
      <c r="E68" s="260">
        <v>1</v>
      </c>
      <c r="F68" s="260"/>
      <c r="G68" s="260"/>
      <c r="H68" s="260"/>
      <c r="I68" s="49">
        <f t="shared" si="2"/>
        <v>11.28875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5">
      <c r="A69" s="261">
        <v>80</v>
      </c>
      <c r="B69" s="261">
        <v>395.71</v>
      </c>
      <c r="C69" s="261">
        <v>7</v>
      </c>
      <c r="D69" s="261">
        <v>59.57</v>
      </c>
      <c r="E69" s="260">
        <v>1</v>
      </c>
      <c r="F69" s="260"/>
      <c r="G69" s="260"/>
      <c r="H69" s="260"/>
      <c r="I69" s="49">
        <f t="shared" si="2"/>
        <v>11.009999999999998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5">
      <c r="A70" s="261">
        <v>89</v>
      </c>
      <c r="B70" s="261">
        <v>429.83</v>
      </c>
      <c r="C70" s="261">
        <v>8</v>
      </c>
      <c r="D70" s="261">
        <v>64.5</v>
      </c>
      <c r="E70" s="260">
        <v>1</v>
      </c>
      <c r="F70" s="260"/>
      <c r="G70" s="260"/>
      <c r="H70" s="260"/>
      <c r="I70" s="49">
        <f t="shared" si="2"/>
        <v>10.41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5">
      <c r="A71" s="261">
        <v>99</v>
      </c>
      <c r="B71" s="261">
        <v>464.8</v>
      </c>
      <c r="C71" s="261">
        <v>9</v>
      </c>
      <c r="D71" s="261">
        <v>62.94</v>
      </c>
      <c r="E71" s="260">
        <v>1</v>
      </c>
      <c r="F71" s="260"/>
      <c r="G71" s="260"/>
      <c r="H71" s="260"/>
      <c r="I71" s="49">
        <f t="shared" si="2"/>
        <v>9.9470000000000027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5">
      <c r="A72" s="261">
        <v>109</v>
      </c>
      <c r="B72" s="261">
        <v>498.97</v>
      </c>
      <c r="C72" s="261">
        <v>10</v>
      </c>
      <c r="D72" s="261">
        <v>66.959999999999994</v>
      </c>
      <c r="E72" s="260">
        <v>1</v>
      </c>
      <c r="F72" s="260"/>
      <c r="G72" s="260"/>
      <c r="H72" s="260"/>
      <c r="I72" s="49">
        <f t="shared" si="2"/>
        <v>9.7110000000000021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5">
      <c r="A73" s="261">
        <v>119</v>
      </c>
      <c r="B73" s="261">
        <v>526.04</v>
      </c>
      <c r="C73" s="261">
        <v>11</v>
      </c>
      <c r="D73" s="261">
        <v>196.46</v>
      </c>
      <c r="E73" s="260">
        <v>1</v>
      </c>
      <c r="F73" s="260"/>
      <c r="G73" s="260"/>
      <c r="H73" s="260"/>
      <c r="I73" s="49">
        <f t="shared" si="2"/>
        <v>9.4029999999999916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5">
      <c r="A74" s="261">
        <v>123</v>
      </c>
      <c r="B74" s="261">
        <v>328.09</v>
      </c>
      <c r="C74" s="261">
        <v>12</v>
      </c>
      <c r="D74" s="261">
        <v>100.6</v>
      </c>
      <c r="E74" s="260">
        <v>1</v>
      </c>
      <c r="F74" s="260"/>
      <c r="G74" s="260"/>
      <c r="H74" s="260"/>
      <c r="I74" s="49">
        <f t="shared" si="2"/>
        <v>-0.37249999999998806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5">
      <c r="A75" s="261">
        <v>127</v>
      </c>
      <c r="B75" s="261">
        <v>228.28</v>
      </c>
      <c r="C75" s="261">
        <v>13</v>
      </c>
      <c r="D75" s="261">
        <v>65.02</v>
      </c>
      <c r="E75" s="260">
        <v>1</v>
      </c>
      <c r="F75" s="260"/>
      <c r="G75" s="260"/>
      <c r="H75" s="260"/>
      <c r="I75" s="49">
        <f t="shared" si="2"/>
        <v>0.19750000000000512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5">
      <c r="A76" s="261">
        <v>131</v>
      </c>
      <c r="B76" s="261">
        <v>163.65</v>
      </c>
      <c r="C76" s="261">
        <v>14</v>
      </c>
      <c r="D76" s="261">
        <v>143.84</v>
      </c>
      <c r="E76" s="260">
        <v>1</v>
      </c>
      <c r="F76" s="260"/>
      <c r="G76" s="260"/>
      <c r="H76" s="260"/>
      <c r="I76" s="49">
        <f t="shared" si="2"/>
        <v>9.7500000000003695E-2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5">
      <c r="A77" s="256"/>
      <c r="B77" s="257"/>
      <c r="C77" s="256"/>
      <c r="D77" s="256"/>
      <c r="E77" s="255"/>
      <c r="F77" s="255"/>
      <c r="G77" s="255"/>
      <c r="H77" s="255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5">
      <c r="A78" s="256"/>
      <c r="B78" s="257"/>
      <c r="C78" s="256"/>
      <c r="D78" s="256"/>
      <c r="E78" s="255"/>
      <c r="F78" s="255"/>
      <c r="G78" s="255"/>
      <c r="H78" s="255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5">
      <c r="A79" s="256"/>
      <c r="B79" s="257"/>
      <c r="C79" s="256"/>
      <c r="D79" s="256"/>
      <c r="E79" s="255"/>
      <c r="F79" s="255"/>
      <c r="G79" s="255"/>
      <c r="H79" s="255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5">
      <c r="A80" s="256"/>
      <c r="B80" s="257"/>
      <c r="C80" s="256"/>
      <c r="D80" s="256"/>
      <c r="E80" s="255"/>
      <c r="F80" s="255"/>
      <c r="G80" s="255"/>
      <c r="H80" s="255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5">
      <c r="A81" s="256"/>
      <c r="B81" s="257"/>
      <c r="C81" s="256"/>
      <c r="D81" s="258"/>
      <c r="E81" s="255"/>
      <c r="F81" s="255"/>
      <c r="G81" s="255"/>
      <c r="H81" s="255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5">
      <c r="A84" s="46" t="s">
        <v>167</v>
      </c>
      <c r="B84" s="52" t="str">
        <f>IF(B11="","",B11)</f>
        <v>Hêtre</v>
      </c>
      <c r="D84" s="227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5">
      <c r="A85" s="46"/>
      <c r="B85" s="9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5">
      <c r="A86" s="4"/>
      <c r="B86" s="84" t="s">
        <v>185</v>
      </c>
      <c r="C86" s="267" t="s">
        <v>186</v>
      </c>
      <c r="D86" s="267"/>
      <c r="E86" s="268" t="s">
        <v>187</v>
      </c>
      <c r="F86" s="269"/>
      <c r="G86" s="269"/>
      <c r="H86" s="270"/>
      <c r="I86" s="93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5" x14ac:dyDescent="0.3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5">
      <c r="A88" s="261">
        <v>20</v>
      </c>
      <c r="B88" s="261">
        <v>32</v>
      </c>
      <c r="C88" s="261"/>
      <c r="D88" s="261">
        <v>0</v>
      </c>
      <c r="E88" s="260"/>
      <c r="F88" s="260"/>
      <c r="G88" s="260"/>
      <c r="H88" s="260"/>
      <c r="I88" s="53">
        <f>IFERROR(B88/A88,"")</f>
        <v>1.6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5">
      <c r="A89" s="261">
        <v>25</v>
      </c>
      <c r="B89" s="261">
        <v>76</v>
      </c>
      <c r="C89" s="261">
        <v>1</v>
      </c>
      <c r="D89" s="261">
        <v>7</v>
      </c>
      <c r="E89" s="260"/>
      <c r="F89" s="260"/>
      <c r="G89" s="260"/>
      <c r="H89" s="260">
        <v>1</v>
      </c>
      <c r="I89" s="53">
        <f t="shared" ref="I89:I107" si="3">IF(A89&lt;&gt;0,(B89-(B88-D88))/(A89-A88),"")</f>
        <v>8.8000000000000007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5">
      <c r="A90" s="261">
        <v>30</v>
      </c>
      <c r="B90" s="261">
        <v>116</v>
      </c>
      <c r="C90" s="261">
        <v>2</v>
      </c>
      <c r="D90" s="261">
        <v>28</v>
      </c>
      <c r="E90" s="260"/>
      <c r="F90" s="260"/>
      <c r="G90" s="260"/>
      <c r="H90" s="260">
        <v>1</v>
      </c>
      <c r="I90" s="53">
        <f t="shared" si="3"/>
        <v>9.4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5">
      <c r="A91" s="261">
        <v>35</v>
      </c>
      <c r="B91" s="261">
        <v>139</v>
      </c>
      <c r="C91" s="261">
        <v>3</v>
      </c>
      <c r="D91" s="261">
        <v>28</v>
      </c>
      <c r="E91" s="260">
        <v>1</v>
      </c>
      <c r="F91" s="260"/>
      <c r="G91" s="260"/>
      <c r="H91" s="260"/>
      <c r="I91" s="53">
        <f t="shared" si="3"/>
        <v>10.199999999999999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5">
      <c r="A92" s="261">
        <v>40</v>
      </c>
      <c r="B92" s="261">
        <v>163</v>
      </c>
      <c r="C92" s="261">
        <v>4</v>
      </c>
      <c r="D92" s="261">
        <v>28</v>
      </c>
      <c r="E92" s="260">
        <v>1</v>
      </c>
      <c r="F92" s="260"/>
      <c r="G92" s="260"/>
      <c r="H92" s="260"/>
      <c r="I92" s="53">
        <f t="shared" si="3"/>
        <v>10.4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5">
      <c r="A93" s="261">
        <v>45</v>
      </c>
      <c r="B93" s="261">
        <v>190</v>
      </c>
      <c r="C93" s="261">
        <v>5</v>
      </c>
      <c r="D93" s="261">
        <v>28</v>
      </c>
      <c r="E93" s="260">
        <v>1</v>
      </c>
      <c r="F93" s="260"/>
      <c r="G93" s="260"/>
      <c r="H93" s="260"/>
      <c r="I93" s="53">
        <f t="shared" si="3"/>
        <v>11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5">
      <c r="A94" s="261">
        <v>50</v>
      </c>
      <c r="B94" s="261">
        <v>217</v>
      </c>
      <c r="C94" s="261">
        <v>6</v>
      </c>
      <c r="D94" s="261">
        <v>28</v>
      </c>
      <c r="E94" s="260">
        <v>1</v>
      </c>
      <c r="F94" s="260"/>
      <c r="G94" s="260"/>
      <c r="H94" s="260"/>
      <c r="I94" s="53">
        <f t="shared" si="3"/>
        <v>11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5">
      <c r="A95" s="261">
        <v>55</v>
      </c>
      <c r="B95" s="261">
        <v>244</v>
      </c>
      <c r="C95" s="261">
        <v>7</v>
      </c>
      <c r="D95" s="261">
        <v>28</v>
      </c>
      <c r="E95" s="260">
        <v>1</v>
      </c>
      <c r="F95" s="260"/>
      <c r="G95" s="260"/>
      <c r="H95" s="260"/>
      <c r="I95" s="53">
        <f t="shared" si="3"/>
        <v>11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5">
      <c r="A96" s="261">
        <v>60</v>
      </c>
      <c r="B96" s="261">
        <v>270</v>
      </c>
      <c r="C96" s="261">
        <v>8</v>
      </c>
      <c r="D96" s="261">
        <v>28</v>
      </c>
      <c r="E96" s="260">
        <v>1</v>
      </c>
      <c r="F96" s="260"/>
      <c r="G96" s="260"/>
      <c r="H96" s="260"/>
      <c r="I96" s="53">
        <f t="shared" si="3"/>
        <v>10.8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5">
      <c r="A97" s="261">
        <v>65</v>
      </c>
      <c r="B97" s="261">
        <v>294</v>
      </c>
      <c r="C97" s="261">
        <v>9</v>
      </c>
      <c r="D97" s="261">
        <v>28</v>
      </c>
      <c r="E97" s="260">
        <v>1</v>
      </c>
      <c r="F97" s="260"/>
      <c r="G97" s="260"/>
      <c r="H97" s="260"/>
      <c r="I97" s="53">
        <f t="shared" si="3"/>
        <v>10.4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5">
      <c r="A98" s="261">
        <v>70</v>
      </c>
      <c r="B98" s="261">
        <v>316</v>
      </c>
      <c r="C98" s="261">
        <v>10</v>
      </c>
      <c r="D98" s="261">
        <v>28</v>
      </c>
      <c r="E98" s="260">
        <v>1</v>
      </c>
      <c r="F98" s="260"/>
      <c r="G98" s="260"/>
      <c r="H98" s="260"/>
      <c r="I98" s="53">
        <f t="shared" si="3"/>
        <v>10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5">
      <c r="A99" s="261">
        <v>75</v>
      </c>
      <c r="B99" s="261">
        <v>335</v>
      </c>
      <c r="C99" s="261">
        <v>11</v>
      </c>
      <c r="D99" s="261">
        <v>28</v>
      </c>
      <c r="E99" s="260">
        <v>1</v>
      </c>
      <c r="F99" s="260"/>
      <c r="G99" s="260"/>
      <c r="H99" s="260"/>
      <c r="I99" s="53">
        <f t="shared" si="3"/>
        <v>9.4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5">
      <c r="A100" s="261">
        <v>80</v>
      </c>
      <c r="B100" s="261">
        <v>351</v>
      </c>
      <c r="C100" s="261">
        <v>12</v>
      </c>
      <c r="D100" s="261">
        <v>28</v>
      </c>
      <c r="E100" s="260">
        <v>1</v>
      </c>
      <c r="F100" s="260"/>
      <c r="G100" s="260"/>
      <c r="H100" s="260"/>
      <c r="I100" s="53">
        <f t="shared" si="3"/>
        <v>8.8000000000000007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5">
      <c r="A101" s="261">
        <v>85</v>
      </c>
      <c r="B101" s="261">
        <v>365</v>
      </c>
      <c r="C101" s="261">
        <v>13</v>
      </c>
      <c r="D101" s="261">
        <v>27</v>
      </c>
      <c r="E101" s="260">
        <v>1</v>
      </c>
      <c r="F101" s="260"/>
      <c r="G101" s="260"/>
      <c r="H101" s="260"/>
      <c r="I101" s="53">
        <f t="shared" si="3"/>
        <v>8.4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5">
      <c r="A102" s="261">
        <v>90</v>
      </c>
      <c r="B102" s="261">
        <v>377</v>
      </c>
      <c r="C102" s="261">
        <v>14</v>
      </c>
      <c r="D102" s="261">
        <v>26</v>
      </c>
      <c r="E102" s="260">
        <v>1</v>
      </c>
      <c r="F102" s="260"/>
      <c r="G102" s="260"/>
      <c r="H102" s="260"/>
      <c r="I102" s="53">
        <f t="shared" si="3"/>
        <v>7.8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5">
      <c r="A103" s="256">
        <v>95</v>
      </c>
      <c r="B103" s="257">
        <v>389</v>
      </c>
      <c r="C103" s="256">
        <v>15</v>
      </c>
      <c r="D103" s="256">
        <v>25</v>
      </c>
      <c r="E103" s="255">
        <v>1</v>
      </c>
      <c r="F103" s="255"/>
      <c r="G103" s="255"/>
      <c r="H103" s="255"/>
      <c r="I103" s="53">
        <f t="shared" si="3"/>
        <v>7.6</v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5">
      <c r="A104" s="256">
        <v>100</v>
      </c>
      <c r="B104" s="257">
        <v>400</v>
      </c>
      <c r="C104" s="256">
        <v>16</v>
      </c>
      <c r="D104" s="256">
        <v>24</v>
      </c>
      <c r="E104" s="255">
        <v>1</v>
      </c>
      <c r="F104" s="255"/>
      <c r="G104" s="255"/>
      <c r="H104" s="255"/>
      <c r="I104" s="53">
        <f t="shared" si="3"/>
        <v>7.2</v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5">
      <c r="A105" s="256">
        <v>105</v>
      </c>
      <c r="B105" s="257">
        <v>409</v>
      </c>
      <c r="C105" s="256">
        <v>17</v>
      </c>
      <c r="D105" s="256">
        <v>23</v>
      </c>
      <c r="E105" s="255">
        <v>1</v>
      </c>
      <c r="F105" s="255"/>
      <c r="G105" s="255"/>
      <c r="H105" s="255"/>
      <c r="I105" s="53">
        <f t="shared" si="3"/>
        <v>6.6</v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5">
      <c r="A106" s="256">
        <v>110</v>
      </c>
      <c r="B106" s="257">
        <v>420</v>
      </c>
      <c r="C106" s="256">
        <v>18</v>
      </c>
      <c r="D106" s="256">
        <v>22</v>
      </c>
      <c r="E106" s="255">
        <v>1</v>
      </c>
      <c r="F106" s="255"/>
      <c r="G106" s="255"/>
      <c r="H106" s="255"/>
      <c r="I106" s="53">
        <f t="shared" si="3"/>
        <v>6.8</v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5">
      <c r="A107" s="256">
        <v>115</v>
      </c>
      <c r="B107" s="257">
        <v>426</v>
      </c>
      <c r="C107" s="256">
        <v>19</v>
      </c>
      <c r="D107" s="258">
        <v>22</v>
      </c>
      <c r="E107" s="255">
        <v>1</v>
      </c>
      <c r="F107" s="255"/>
      <c r="G107" s="255"/>
      <c r="H107" s="255"/>
      <c r="I107" s="53">
        <f t="shared" si="3"/>
        <v>5.6</v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5">
      <c r="A110" s="46" t="s">
        <v>168</v>
      </c>
      <c r="B110" s="52" t="str">
        <f>IF(B12="","",B12)</f>
        <v>Cèdre de l'Atlas</v>
      </c>
      <c r="D110" s="227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5">
      <c r="A111" s="46"/>
      <c r="B111" s="9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5">
      <c r="A112" s="4"/>
      <c r="B112" s="84" t="s">
        <v>185</v>
      </c>
      <c r="C112" s="267" t="s">
        <v>186</v>
      </c>
      <c r="D112" s="267"/>
      <c r="E112" s="268" t="s">
        <v>187</v>
      </c>
      <c r="F112" s="269"/>
      <c r="G112" s="269"/>
      <c r="H112" s="270"/>
      <c r="I112" s="93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5" x14ac:dyDescent="0.3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5">
      <c r="A114" s="261">
        <v>30</v>
      </c>
      <c r="B114" s="261">
        <v>146.32</v>
      </c>
      <c r="C114" s="261"/>
      <c r="D114" s="261"/>
      <c r="E114" s="260"/>
      <c r="F114" s="260"/>
      <c r="G114" s="260"/>
      <c r="H114" s="260"/>
      <c r="I114" s="53">
        <f>IFERROR(B114/A114,"")</f>
        <v>4.8773333333333335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5">
      <c r="A115" s="261">
        <v>42</v>
      </c>
      <c r="B115" s="261">
        <v>344.46</v>
      </c>
      <c r="C115" s="261">
        <v>1</v>
      </c>
      <c r="D115" s="261">
        <v>105.41</v>
      </c>
      <c r="E115" s="260">
        <v>1</v>
      </c>
      <c r="F115" s="260"/>
      <c r="G115" s="260"/>
      <c r="H115" s="260"/>
      <c r="I115" s="53">
        <f t="shared" ref="I115:I133" si="4">IF(A115&lt;&gt;0,(B115-(B114-D114))/(A115-A114),"")</f>
        <v>16.511666666666667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5">
      <c r="A116" s="261">
        <v>50</v>
      </c>
      <c r="B116" s="261">
        <v>375.69</v>
      </c>
      <c r="C116" s="261">
        <v>2</v>
      </c>
      <c r="D116" s="261">
        <v>106.51</v>
      </c>
      <c r="E116" s="260">
        <v>1</v>
      </c>
      <c r="F116" s="260"/>
      <c r="G116" s="260"/>
      <c r="H116" s="260"/>
      <c r="I116" s="53">
        <f t="shared" si="4"/>
        <v>17.080000000000002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5">
      <c r="A117" s="261">
        <v>58</v>
      </c>
      <c r="B117" s="261">
        <v>400.11</v>
      </c>
      <c r="C117" s="261">
        <v>3</v>
      </c>
      <c r="D117" s="261">
        <v>87.34</v>
      </c>
      <c r="E117" s="260">
        <v>1</v>
      </c>
      <c r="F117" s="260"/>
      <c r="G117" s="260"/>
      <c r="H117" s="260"/>
      <c r="I117" s="53">
        <f t="shared" si="4"/>
        <v>16.366250000000001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5">
      <c r="A118" s="261">
        <v>66</v>
      </c>
      <c r="B118" s="261">
        <v>440.2</v>
      </c>
      <c r="C118" s="261">
        <v>4</v>
      </c>
      <c r="D118" s="261">
        <v>87.73</v>
      </c>
      <c r="E118" s="260">
        <v>1</v>
      </c>
      <c r="F118" s="260"/>
      <c r="G118" s="260"/>
      <c r="H118" s="260"/>
      <c r="I118" s="53">
        <f t="shared" si="4"/>
        <v>15.928750000000001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5">
      <c r="A119" s="261">
        <v>75</v>
      </c>
      <c r="B119" s="261">
        <v>489.37</v>
      </c>
      <c r="C119" s="261">
        <v>5</v>
      </c>
      <c r="D119" s="261">
        <v>87.99</v>
      </c>
      <c r="E119" s="260">
        <v>1</v>
      </c>
      <c r="F119" s="260"/>
      <c r="G119" s="260"/>
      <c r="H119" s="260"/>
      <c r="I119" s="53">
        <f t="shared" si="4"/>
        <v>15.211111111111116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5">
      <c r="A120" s="261">
        <v>83</v>
      </c>
      <c r="B120" s="261">
        <v>516.09</v>
      </c>
      <c r="C120" s="261">
        <v>6</v>
      </c>
      <c r="D120" s="261">
        <v>90.24</v>
      </c>
      <c r="E120" s="260">
        <v>1</v>
      </c>
      <c r="F120" s="260"/>
      <c r="G120" s="260"/>
      <c r="H120" s="260"/>
      <c r="I120" s="53">
        <f t="shared" si="4"/>
        <v>14.338750000000005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5">
      <c r="A121" s="261">
        <v>91</v>
      </c>
      <c r="B121" s="261">
        <v>531.72</v>
      </c>
      <c r="C121" s="261">
        <v>7</v>
      </c>
      <c r="D121" s="261">
        <v>260.64</v>
      </c>
      <c r="E121" s="260">
        <v>1</v>
      </c>
      <c r="F121" s="260"/>
      <c r="G121" s="260"/>
      <c r="H121" s="260"/>
      <c r="I121" s="53">
        <f t="shared" si="4"/>
        <v>13.233750000000001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5">
      <c r="A122" s="261">
        <v>101</v>
      </c>
      <c r="B122" s="261">
        <v>356.43</v>
      </c>
      <c r="C122" s="261">
        <v>8</v>
      </c>
      <c r="D122" s="261">
        <v>351.18</v>
      </c>
      <c r="E122" s="260">
        <v>1</v>
      </c>
      <c r="F122" s="260"/>
      <c r="G122" s="260"/>
      <c r="H122" s="260"/>
      <c r="I122" s="53">
        <f t="shared" si="4"/>
        <v>8.5349999999999966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5">
      <c r="A123" s="261"/>
      <c r="B123" s="261"/>
      <c r="C123" s="261"/>
      <c r="D123" s="261"/>
      <c r="E123" s="260"/>
      <c r="F123" s="260"/>
      <c r="G123" s="260"/>
      <c r="H123" s="260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5">
      <c r="A124" s="261"/>
      <c r="B124" s="261"/>
      <c r="C124" s="261"/>
      <c r="D124" s="261"/>
      <c r="E124" s="260"/>
      <c r="F124" s="260"/>
      <c r="G124" s="260"/>
      <c r="H124" s="260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5">
      <c r="A125" s="261"/>
      <c r="B125" s="261"/>
      <c r="C125" s="261"/>
      <c r="D125" s="261"/>
      <c r="E125" s="260"/>
      <c r="F125" s="260"/>
      <c r="G125" s="260"/>
      <c r="H125" s="260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5">
      <c r="A126" s="261"/>
      <c r="B126" s="261"/>
      <c r="C126" s="261"/>
      <c r="D126" s="261"/>
      <c r="E126" s="260"/>
      <c r="F126" s="260"/>
      <c r="G126" s="260"/>
      <c r="H126" s="260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5">
      <c r="A127" s="261"/>
      <c r="B127" s="261"/>
      <c r="C127" s="261"/>
      <c r="D127" s="261"/>
      <c r="E127" s="260"/>
      <c r="F127" s="260"/>
      <c r="G127" s="260"/>
      <c r="H127" s="260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5">
      <c r="A128" s="261"/>
      <c r="B128" s="261"/>
      <c r="C128" s="261"/>
      <c r="D128" s="261"/>
      <c r="E128" s="260"/>
      <c r="F128" s="260"/>
      <c r="G128" s="260"/>
      <c r="H128" s="260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5">
      <c r="A129" s="261"/>
      <c r="B129" s="261"/>
      <c r="C129" s="261"/>
      <c r="D129" s="261"/>
      <c r="E129" s="260"/>
      <c r="F129" s="260"/>
      <c r="G129" s="260"/>
      <c r="H129" s="260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5">
      <c r="A130" s="261"/>
      <c r="B130" s="261"/>
      <c r="C130" s="261"/>
      <c r="D130" s="261"/>
      <c r="E130" s="260"/>
      <c r="F130" s="260"/>
      <c r="G130" s="260"/>
      <c r="H130" s="260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5">
      <c r="A131" s="261"/>
      <c r="B131" s="261"/>
      <c r="C131" s="261"/>
      <c r="D131" s="261"/>
      <c r="E131" s="260"/>
      <c r="F131" s="260"/>
      <c r="G131" s="260"/>
      <c r="H131" s="260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5">
      <c r="A132" s="261"/>
      <c r="B132" s="261"/>
      <c r="C132" s="261"/>
      <c r="D132" s="261"/>
      <c r="E132" s="260"/>
      <c r="F132" s="260"/>
      <c r="G132" s="260"/>
      <c r="H132" s="260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5">
      <c r="A133" s="261"/>
      <c r="B133" s="261"/>
      <c r="C133" s="261"/>
      <c r="D133" s="261"/>
      <c r="E133" s="260"/>
      <c r="F133" s="260"/>
      <c r="G133" s="260"/>
      <c r="H133" s="260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5">
      <c r="A136" s="46" t="s">
        <v>169</v>
      </c>
      <c r="B136" s="52" t="str">
        <f>IF(B13="","",B13)</f>
        <v>Châtaignier</v>
      </c>
      <c r="D136" s="227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5">
      <c r="A137" s="46"/>
      <c r="B137" s="9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5">
      <c r="A138" s="4"/>
      <c r="B138" s="84" t="s">
        <v>185</v>
      </c>
      <c r="C138" s="267" t="s">
        <v>186</v>
      </c>
      <c r="D138" s="267"/>
      <c r="E138" s="268" t="s">
        <v>187</v>
      </c>
      <c r="F138" s="269"/>
      <c r="G138" s="269"/>
      <c r="H138" s="270"/>
      <c r="I138" s="93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5" x14ac:dyDescent="0.3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5">
      <c r="A140" s="50">
        <v>10</v>
      </c>
      <c r="B140" s="60">
        <v>11</v>
      </c>
      <c r="C140" s="50"/>
      <c r="D140" s="60">
        <v>0</v>
      </c>
      <c r="E140" s="51"/>
      <c r="F140" s="51"/>
      <c r="G140" s="51"/>
      <c r="H140" s="51"/>
      <c r="I140" s="57">
        <f>IFERROR(B140/A140,"")</f>
        <v>1.1000000000000001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5">
      <c r="A141" s="50">
        <v>15</v>
      </c>
      <c r="B141" s="60">
        <v>65</v>
      </c>
      <c r="C141" s="50">
        <v>1</v>
      </c>
      <c r="D141" s="60">
        <v>32</v>
      </c>
      <c r="E141" s="51"/>
      <c r="F141" s="51"/>
      <c r="G141" s="51"/>
      <c r="H141" s="51">
        <v>1</v>
      </c>
      <c r="I141" s="57">
        <f t="shared" ref="I141:I159" si="5">IF(A141&lt;&gt;0,(B141-(B140-D140))/(A141-A140),"")</f>
        <v>10.8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5">
      <c r="A142" s="50">
        <v>20</v>
      </c>
      <c r="B142" s="60">
        <v>102</v>
      </c>
      <c r="C142" s="50">
        <v>2</v>
      </c>
      <c r="D142" s="60">
        <v>35</v>
      </c>
      <c r="E142" s="51"/>
      <c r="F142" s="51"/>
      <c r="G142" s="51"/>
      <c r="H142" s="51">
        <v>1</v>
      </c>
      <c r="I142" s="57">
        <f t="shared" si="5"/>
        <v>13.8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5">
      <c r="A143" s="50">
        <v>25</v>
      </c>
      <c r="B143" s="60">
        <v>141</v>
      </c>
      <c r="C143" s="50">
        <v>3</v>
      </c>
      <c r="D143" s="60">
        <v>35</v>
      </c>
      <c r="E143" s="51"/>
      <c r="F143" s="51"/>
      <c r="G143" s="51"/>
      <c r="H143" s="51">
        <v>1</v>
      </c>
      <c r="I143" s="57">
        <f t="shared" si="5"/>
        <v>14.8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5">
      <c r="A144" s="50">
        <v>30</v>
      </c>
      <c r="B144" s="60">
        <v>177</v>
      </c>
      <c r="C144" s="50">
        <v>4</v>
      </c>
      <c r="D144" s="60">
        <v>35</v>
      </c>
      <c r="E144" s="51"/>
      <c r="F144" s="51"/>
      <c r="G144" s="51"/>
      <c r="H144" s="51">
        <v>1</v>
      </c>
      <c r="I144" s="57">
        <f t="shared" si="5"/>
        <v>14.2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5">
      <c r="A145" s="50">
        <v>35</v>
      </c>
      <c r="B145" s="60">
        <v>206</v>
      </c>
      <c r="C145" s="50">
        <v>5</v>
      </c>
      <c r="D145" s="60">
        <v>35</v>
      </c>
      <c r="E145" s="51">
        <v>1</v>
      </c>
      <c r="F145" s="51"/>
      <c r="G145" s="51"/>
      <c r="H145" s="51"/>
      <c r="I145" s="57">
        <f t="shared" si="5"/>
        <v>12.8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5">
      <c r="A146" s="50">
        <v>40</v>
      </c>
      <c r="B146" s="60">
        <v>228</v>
      </c>
      <c r="C146" s="50">
        <v>6</v>
      </c>
      <c r="D146" s="60">
        <v>35</v>
      </c>
      <c r="E146" s="51">
        <v>1</v>
      </c>
      <c r="F146" s="51"/>
      <c r="G146" s="51"/>
      <c r="H146" s="51"/>
      <c r="I146" s="57">
        <f t="shared" si="5"/>
        <v>11.4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5">
      <c r="A147" s="50">
        <v>45</v>
      </c>
      <c r="B147" s="60">
        <v>242</v>
      </c>
      <c r="C147" s="50">
        <v>7</v>
      </c>
      <c r="D147" s="60">
        <v>24</v>
      </c>
      <c r="E147" s="51">
        <v>1</v>
      </c>
      <c r="F147" s="51"/>
      <c r="G147" s="51"/>
      <c r="H147" s="51"/>
      <c r="I147" s="57">
        <f>IF(A147&lt;&gt;0,(B147-(B146-D146))/(A147-A146),"")</f>
        <v>9.8000000000000007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5">
      <c r="A148" s="50">
        <v>50</v>
      </c>
      <c r="B148" s="60">
        <v>261</v>
      </c>
      <c r="C148" s="50">
        <v>8</v>
      </c>
      <c r="D148" s="60">
        <v>19</v>
      </c>
      <c r="E148" s="51">
        <v>1</v>
      </c>
      <c r="F148" s="51"/>
      <c r="G148" s="51"/>
      <c r="H148" s="51"/>
      <c r="I148" s="57">
        <f t="shared" si="5"/>
        <v>8.6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5">
      <c r="A149" s="50">
        <v>55</v>
      </c>
      <c r="B149" s="60">
        <v>279</v>
      </c>
      <c r="C149" s="50">
        <v>9</v>
      </c>
      <c r="D149" s="60">
        <v>16</v>
      </c>
      <c r="E149" s="51">
        <v>1</v>
      </c>
      <c r="F149" s="51"/>
      <c r="G149" s="51"/>
      <c r="H149" s="51"/>
      <c r="I149" s="57">
        <f t="shared" si="5"/>
        <v>7.4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5">
      <c r="A150" s="50">
        <v>60</v>
      </c>
      <c r="B150" s="60">
        <v>294</v>
      </c>
      <c r="C150" s="50">
        <v>10</v>
      </c>
      <c r="D150" s="60">
        <v>14</v>
      </c>
      <c r="E150" s="51">
        <v>1</v>
      </c>
      <c r="F150" s="51"/>
      <c r="G150" s="51"/>
      <c r="H150" s="51"/>
      <c r="I150" s="57">
        <f t="shared" si="5"/>
        <v>6.2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5">
      <c r="A151" s="50">
        <v>65</v>
      </c>
      <c r="B151" s="60">
        <v>306</v>
      </c>
      <c r="C151" s="50">
        <v>11</v>
      </c>
      <c r="D151" s="60">
        <v>13</v>
      </c>
      <c r="E151" s="51">
        <v>1</v>
      </c>
      <c r="F151" s="51"/>
      <c r="G151" s="51"/>
      <c r="H151" s="51"/>
      <c r="I151" s="57">
        <f t="shared" si="5"/>
        <v>5.2</v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5">
      <c r="A152" s="50">
        <v>70</v>
      </c>
      <c r="B152" s="60">
        <v>316</v>
      </c>
      <c r="C152" s="50">
        <v>12</v>
      </c>
      <c r="D152" s="60">
        <v>13</v>
      </c>
      <c r="E152" s="54">
        <v>1</v>
      </c>
      <c r="F152" s="54"/>
      <c r="G152" s="54"/>
      <c r="H152" s="54"/>
      <c r="I152" s="57">
        <f t="shared" si="5"/>
        <v>4.5999999999999996</v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5">
      <c r="A153" s="50">
        <v>75</v>
      </c>
      <c r="B153" s="60">
        <v>324</v>
      </c>
      <c r="C153" s="50">
        <v>13</v>
      </c>
      <c r="D153" s="60">
        <v>12</v>
      </c>
      <c r="E153" s="54">
        <v>1</v>
      </c>
      <c r="F153" s="54"/>
      <c r="G153" s="54"/>
      <c r="H153" s="54"/>
      <c r="I153" s="57">
        <f t="shared" si="5"/>
        <v>4.2</v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5">
      <c r="A154" s="55">
        <v>80</v>
      </c>
      <c r="B154" s="56">
        <v>330</v>
      </c>
      <c r="C154" s="50">
        <v>14</v>
      </c>
      <c r="D154" s="50">
        <v>11</v>
      </c>
      <c r="E154" s="54">
        <v>1</v>
      </c>
      <c r="F154" s="54"/>
      <c r="G154" s="54"/>
      <c r="H154" s="54"/>
      <c r="I154" s="57">
        <f t="shared" si="5"/>
        <v>3.6</v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5">
      <c r="A162" s="46" t="s">
        <v>170</v>
      </c>
      <c r="B162" s="52" t="str">
        <f>IF(B14="","",B14)</f>
        <v>Tilleul</v>
      </c>
      <c r="D162" s="227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5">
      <c r="A163" s="46"/>
      <c r="B163" s="9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5">
      <c r="A164" s="4"/>
      <c r="B164" s="84" t="s">
        <v>185</v>
      </c>
      <c r="C164" s="267" t="s">
        <v>186</v>
      </c>
      <c r="D164" s="267"/>
      <c r="E164" s="268" t="s">
        <v>187</v>
      </c>
      <c r="F164" s="269"/>
      <c r="G164" s="269"/>
      <c r="H164" s="270"/>
      <c r="I164" s="93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5" x14ac:dyDescent="0.3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5">
      <c r="A166" s="50">
        <v>30</v>
      </c>
      <c r="B166" s="60">
        <v>121.8846154</v>
      </c>
      <c r="C166" s="60"/>
      <c r="D166" s="60"/>
      <c r="E166" s="51"/>
      <c r="F166" s="51"/>
      <c r="G166" s="51"/>
      <c r="H166" s="51"/>
      <c r="I166" s="49">
        <f>IFERROR(B166/A166,"")</f>
        <v>4.0628205133333335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5">
      <c r="A167" s="50">
        <v>35</v>
      </c>
      <c r="B167" s="60">
        <v>201.29</v>
      </c>
      <c r="C167" s="60">
        <v>1</v>
      </c>
      <c r="D167" s="60">
        <v>69.58</v>
      </c>
      <c r="E167" s="51">
        <v>1</v>
      </c>
      <c r="F167" s="51"/>
      <c r="G167" s="51"/>
      <c r="H167" s="51"/>
      <c r="I167" s="49">
        <f t="shared" ref="I167:I185" si="6">IF(A167&lt;&gt;0,(B167-(B166-D166))/(A167-A166),"")</f>
        <v>15.881076919999998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5">
      <c r="A168" s="50">
        <v>41</v>
      </c>
      <c r="B168" s="60">
        <v>208.88</v>
      </c>
      <c r="C168" s="60">
        <v>2</v>
      </c>
      <c r="D168" s="60">
        <v>47.41</v>
      </c>
      <c r="E168" s="51">
        <v>1</v>
      </c>
      <c r="F168" s="51"/>
      <c r="G168" s="51"/>
      <c r="H168" s="51"/>
      <c r="I168" s="49">
        <f t="shared" si="6"/>
        <v>12.86166666666667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5">
      <c r="A169" s="50">
        <v>48</v>
      </c>
      <c r="B169" s="60">
        <v>252.89</v>
      </c>
      <c r="C169" s="60">
        <v>3</v>
      </c>
      <c r="D169" s="60">
        <v>61.12</v>
      </c>
      <c r="E169" s="51">
        <v>1</v>
      </c>
      <c r="F169" s="51"/>
      <c r="G169" s="51"/>
      <c r="H169" s="51"/>
      <c r="I169" s="49">
        <f t="shared" si="6"/>
        <v>13.059999999999999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5">
      <c r="A170" s="50">
        <v>55</v>
      </c>
      <c r="B170" s="60">
        <v>277.67</v>
      </c>
      <c r="C170" s="60">
        <v>4</v>
      </c>
      <c r="D170" s="60">
        <v>58.24</v>
      </c>
      <c r="E170" s="51">
        <v>1</v>
      </c>
      <c r="F170" s="51"/>
      <c r="G170" s="51"/>
      <c r="H170" s="51"/>
      <c r="I170" s="49">
        <f t="shared" si="6"/>
        <v>12.271428571428576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5">
      <c r="A171" s="50">
        <v>63</v>
      </c>
      <c r="B171" s="60">
        <v>312.58999999999997</v>
      </c>
      <c r="C171" s="60">
        <v>5</v>
      </c>
      <c r="D171" s="60">
        <v>54.21</v>
      </c>
      <c r="E171" s="51">
        <v>1</v>
      </c>
      <c r="F171" s="51"/>
      <c r="G171" s="51"/>
      <c r="H171" s="51"/>
      <c r="I171" s="49">
        <f t="shared" si="6"/>
        <v>11.644999999999996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5">
      <c r="A172" s="50">
        <v>71</v>
      </c>
      <c r="B172" s="60">
        <v>348.69</v>
      </c>
      <c r="C172" s="60">
        <v>6</v>
      </c>
      <c r="D172" s="60">
        <v>52.07</v>
      </c>
      <c r="E172" s="51">
        <v>1</v>
      </c>
      <c r="F172" s="51"/>
      <c r="G172" s="51"/>
      <c r="H172" s="51"/>
      <c r="I172" s="49">
        <f t="shared" si="6"/>
        <v>11.28875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5">
      <c r="A173" s="50">
        <v>80</v>
      </c>
      <c r="B173" s="50">
        <v>395.71</v>
      </c>
      <c r="C173" s="50">
        <v>7</v>
      </c>
      <c r="D173" s="50">
        <v>59.57</v>
      </c>
      <c r="E173" s="51">
        <v>1</v>
      </c>
      <c r="F173" s="51"/>
      <c r="G173" s="51"/>
      <c r="H173" s="51"/>
      <c r="I173" s="49">
        <f t="shared" si="6"/>
        <v>11.009999999999998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5">
      <c r="A174" s="50">
        <v>89</v>
      </c>
      <c r="B174" s="50">
        <v>429.83</v>
      </c>
      <c r="C174" s="50">
        <v>8</v>
      </c>
      <c r="D174" s="50">
        <v>64.5</v>
      </c>
      <c r="E174" s="51">
        <v>1</v>
      </c>
      <c r="F174" s="51"/>
      <c r="G174" s="51"/>
      <c r="H174" s="51"/>
      <c r="I174" s="49">
        <f t="shared" si="6"/>
        <v>10.41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5">
      <c r="A175" s="50">
        <v>99</v>
      </c>
      <c r="B175" s="50">
        <v>464.8</v>
      </c>
      <c r="C175" s="50">
        <v>9</v>
      </c>
      <c r="D175" s="50">
        <v>62.94</v>
      </c>
      <c r="E175" s="51">
        <v>1</v>
      </c>
      <c r="F175" s="51"/>
      <c r="G175" s="51"/>
      <c r="H175" s="51"/>
      <c r="I175" s="49">
        <f t="shared" si="6"/>
        <v>9.9470000000000027</v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5">
      <c r="A176" s="50">
        <v>109</v>
      </c>
      <c r="B176" s="50">
        <v>498.97</v>
      </c>
      <c r="C176" s="50">
        <v>10</v>
      </c>
      <c r="D176" s="50">
        <v>66.959999999999994</v>
      </c>
      <c r="E176" s="51">
        <v>1</v>
      </c>
      <c r="F176" s="51"/>
      <c r="G176" s="51"/>
      <c r="H176" s="51"/>
      <c r="I176" s="49">
        <f t="shared" si="6"/>
        <v>9.7110000000000021</v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5">
      <c r="A177" s="50">
        <v>119</v>
      </c>
      <c r="B177" s="50">
        <v>526.04</v>
      </c>
      <c r="C177" s="50">
        <v>11</v>
      </c>
      <c r="D177" s="50">
        <v>196.46</v>
      </c>
      <c r="E177" s="51">
        <v>1</v>
      </c>
      <c r="F177" s="51"/>
      <c r="G177" s="51"/>
      <c r="H177" s="51"/>
      <c r="I177" s="49">
        <f t="shared" si="6"/>
        <v>9.4029999999999916</v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5">
      <c r="A178" s="50">
        <v>123</v>
      </c>
      <c r="B178" s="50">
        <v>328.09</v>
      </c>
      <c r="C178" s="50">
        <v>12</v>
      </c>
      <c r="D178" s="50">
        <v>100.6</v>
      </c>
      <c r="E178" s="51">
        <v>1</v>
      </c>
      <c r="F178" s="51"/>
      <c r="G178" s="51"/>
      <c r="H178" s="51"/>
      <c r="I178" s="49">
        <f t="shared" si="6"/>
        <v>-0.37249999999998806</v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5">
      <c r="A179" s="50">
        <v>127</v>
      </c>
      <c r="B179" s="50">
        <v>228.28</v>
      </c>
      <c r="C179" s="50">
        <v>13</v>
      </c>
      <c r="D179" s="50">
        <v>65.02</v>
      </c>
      <c r="E179" s="51">
        <v>1</v>
      </c>
      <c r="F179" s="51"/>
      <c r="G179" s="51"/>
      <c r="H179" s="51"/>
      <c r="I179" s="49">
        <f t="shared" si="6"/>
        <v>0.19750000000000512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5">
      <c r="A180" s="50">
        <v>131</v>
      </c>
      <c r="B180" s="50">
        <v>163.65</v>
      </c>
      <c r="C180" s="50">
        <v>14</v>
      </c>
      <c r="D180" s="50">
        <v>143.84</v>
      </c>
      <c r="E180" s="51">
        <v>1</v>
      </c>
      <c r="F180" s="51"/>
      <c r="G180" s="51"/>
      <c r="H180" s="51"/>
      <c r="I180" s="49">
        <f t="shared" si="6"/>
        <v>9.7500000000003695E-2</v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5">
      <c r="A188" s="46" t="s">
        <v>171</v>
      </c>
      <c r="B188" s="52" t="str">
        <f>IF(B15="","",B15)</f>
        <v>Erable sycomore</v>
      </c>
      <c r="D188" s="227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5">
      <c r="A189" s="46"/>
      <c r="B189" s="9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5">
      <c r="A190" s="4"/>
      <c r="B190" s="84" t="s">
        <v>185</v>
      </c>
      <c r="C190" s="267" t="s">
        <v>186</v>
      </c>
      <c r="D190" s="267"/>
      <c r="E190" s="268" t="s">
        <v>187</v>
      </c>
      <c r="F190" s="269"/>
      <c r="G190" s="269"/>
      <c r="H190" s="270"/>
      <c r="I190" s="93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5" x14ac:dyDescent="0.3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5">
      <c r="A192" s="50">
        <v>10</v>
      </c>
      <c r="B192" s="60">
        <v>11</v>
      </c>
      <c r="C192" s="60"/>
      <c r="D192" s="60">
        <v>0</v>
      </c>
      <c r="E192" s="51"/>
      <c r="F192" s="51"/>
      <c r="G192" s="51"/>
      <c r="H192" s="51"/>
      <c r="I192" s="49">
        <f>IFERROR(B192/A192,"")</f>
        <v>1.1000000000000001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5">
      <c r="A193" s="50">
        <v>15</v>
      </c>
      <c r="B193" s="60">
        <v>65</v>
      </c>
      <c r="C193" s="60">
        <v>1</v>
      </c>
      <c r="D193" s="60">
        <v>32</v>
      </c>
      <c r="E193" s="51"/>
      <c r="F193" s="51"/>
      <c r="G193" s="51"/>
      <c r="H193" s="51">
        <v>1</v>
      </c>
      <c r="I193" s="49">
        <f t="shared" ref="I193:I211" si="7">IF(A193&lt;&gt;0,(B193-(B192-D192))/(A193-A192),"")</f>
        <v>10.8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5">
      <c r="A194" s="50">
        <v>20</v>
      </c>
      <c r="B194" s="60">
        <v>102</v>
      </c>
      <c r="C194" s="60">
        <v>2</v>
      </c>
      <c r="D194" s="60">
        <v>35</v>
      </c>
      <c r="E194" s="51"/>
      <c r="F194" s="51"/>
      <c r="G194" s="51"/>
      <c r="H194" s="51">
        <v>1</v>
      </c>
      <c r="I194" s="49">
        <f t="shared" si="7"/>
        <v>13.8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5">
      <c r="A195" s="50">
        <v>25</v>
      </c>
      <c r="B195" s="60">
        <v>141</v>
      </c>
      <c r="C195" s="60">
        <v>3</v>
      </c>
      <c r="D195" s="60">
        <v>35</v>
      </c>
      <c r="E195" s="51"/>
      <c r="F195" s="51"/>
      <c r="G195" s="51"/>
      <c r="H195" s="51">
        <v>1</v>
      </c>
      <c r="I195" s="49">
        <f t="shared" si="7"/>
        <v>14.8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5">
      <c r="A196" s="50">
        <v>30</v>
      </c>
      <c r="B196" s="60">
        <v>177</v>
      </c>
      <c r="C196" s="60">
        <v>4</v>
      </c>
      <c r="D196" s="60">
        <v>35</v>
      </c>
      <c r="E196" s="51"/>
      <c r="F196" s="51"/>
      <c r="G196" s="51"/>
      <c r="H196" s="51">
        <v>1</v>
      </c>
      <c r="I196" s="49">
        <f t="shared" si="7"/>
        <v>14.2</v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5">
      <c r="A197" s="50">
        <v>35</v>
      </c>
      <c r="B197" s="60">
        <v>206</v>
      </c>
      <c r="C197" s="60">
        <v>5</v>
      </c>
      <c r="D197" s="60">
        <v>35</v>
      </c>
      <c r="E197" s="51">
        <v>1</v>
      </c>
      <c r="F197" s="51"/>
      <c r="G197" s="51"/>
      <c r="H197" s="51"/>
      <c r="I197" s="49">
        <f t="shared" si="7"/>
        <v>12.8</v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5">
      <c r="A198" s="50">
        <v>40</v>
      </c>
      <c r="B198" s="60">
        <v>228</v>
      </c>
      <c r="C198" s="60">
        <v>6</v>
      </c>
      <c r="D198" s="60">
        <v>35</v>
      </c>
      <c r="E198" s="51">
        <v>1</v>
      </c>
      <c r="F198" s="51"/>
      <c r="G198" s="51"/>
      <c r="H198" s="51"/>
      <c r="I198" s="49">
        <f t="shared" si="7"/>
        <v>11.4</v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5">
      <c r="A199" s="50">
        <v>45</v>
      </c>
      <c r="B199" s="50">
        <v>242</v>
      </c>
      <c r="C199" s="50">
        <v>7</v>
      </c>
      <c r="D199" s="50">
        <v>24</v>
      </c>
      <c r="E199" s="51">
        <v>1</v>
      </c>
      <c r="F199" s="51"/>
      <c r="G199" s="51"/>
      <c r="H199" s="51"/>
      <c r="I199" s="49">
        <f t="shared" si="7"/>
        <v>9.8000000000000007</v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5">
      <c r="A200" s="50">
        <v>50</v>
      </c>
      <c r="B200" s="50">
        <v>261</v>
      </c>
      <c r="C200" s="50">
        <v>8</v>
      </c>
      <c r="D200" s="50">
        <v>19</v>
      </c>
      <c r="E200" s="51">
        <v>1</v>
      </c>
      <c r="F200" s="51"/>
      <c r="G200" s="51"/>
      <c r="H200" s="51"/>
      <c r="I200" s="49">
        <f t="shared" si="7"/>
        <v>8.6</v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5">
      <c r="A201" s="50">
        <v>55</v>
      </c>
      <c r="B201" s="50">
        <v>279</v>
      </c>
      <c r="C201" s="50">
        <v>9</v>
      </c>
      <c r="D201" s="50">
        <v>16</v>
      </c>
      <c r="E201" s="51">
        <v>1</v>
      </c>
      <c r="F201" s="51"/>
      <c r="G201" s="51"/>
      <c r="H201" s="51"/>
      <c r="I201" s="49">
        <f t="shared" si="7"/>
        <v>7.4</v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5">
      <c r="A202" s="50">
        <v>60</v>
      </c>
      <c r="B202" s="50">
        <v>294</v>
      </c>
      <c r="C202" s="50">
        <v>10</v>
      </c>
      <c r="D202" s="50">
        <v>14</v>
      </c>
      <c r="E202" s="51">
        <v>1</v>
      </c>
      <c r="F202" s="51"/>
      <c r="G202" s="51"/>
      <c r="H202" s="51"/>
      <c r="I202" s="49">
        <f t="shared" si="7"/>
        <v>6.2</v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5">
      <c r="A203" s="50">
        <v>65</v>
      </c>
      <c r="B203" s="50">
        <v>306</v>
      </c>
      <c r="C203" s="50">
        <v>11</v>
      </c>
      <c r="D203" s="50">
        <v>13</v>
      </c>
      <c r="E203" s="51">
        <v>1</v>
      </c>
      <c r="F203" s="51"/>
      <c r="G203" s="51"/>
      <c r="H203" s="51"/>
      <c r="I203" s="49">
        <f t="shared" si="7"/>
        <v>5.2</v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5">
      <c r="A204" s="50">
        <v>70</v>
      </c>
      <c r="B204" s="50">
        <v>316</v>
      </c>
      <c r="C204" s="50">
        <v>12</v>
      </c>
      <c r="D204" s="50">
        <v>13</v>
      </c>
      <c r="E204" s="51">
        <v>1</v>
      </c>
      <c r="F204" s="51"/>
      <c r="G204" s="51"/>
      <c r="H204" s="51"/>
      <c r="I204" s="49">
        <f t="shared" si="7"/>
        <v>4.5999999999999996</v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5">
      <c r="A205" s="50">
        <v>75</v>
      </c>
      <c r="B205" s="50">
        <v>324</v>
      </c>
      <c r="C205" s="50">
        <v>13</v>
      </c>
      <c r="D205" s="50">
        <v>12</v>
      </c>
      <c r="E205" s="51">
        <v>1</v>
      </c>
      <c r="F205" s="51"/>
      <c r="G205" s="51"/>
      <c r="H205" s="51"/>
      <c r="I205" s="49">
        <f t="shared" si="7"/>
        <v>4.2</v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5">
      <c r="A206" s="50">
        <v>80</v>
      </c>
      <c r="B206" s="50">
        <v>330</v>
      </c>
      <c r="C206" s="50">
        <v>14</v>
      </c>
      <c r="D206" s="50">
        <v>11</v>
      </c>
      <c r="E206" s="51">
        <v>1</v>
      </c>
      <c r="F206" s="51"/>
      <c r="G206" s="51"/>
      <c r="H206" s="51"/>
      <c r="I206" s="49">
        <f t="shared" si="7"/>
        <v>3.6</v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5">
      <c r="A214" s="46" t="s">
        <v>172</v>
      </c>
      <c r="B214" s="52" t="str">
        <f>IF(B16="","",B16)</f>
        <v>Noyer</v>
      </c>
      <c r="D214" s="227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5">
      <c r="A215" s="46"/>
      <c r="B215" s="9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5">
      <c r="A216" s="4"/>
      <c r="B216" s="84" t="s">
        <v>185</v>
      </c>
      <c r="C216" s="267" t="s">
        <v>186</v>
      </c>
      <c r="D216" s="267"/>
      <c r="E216" s="268" t="s">
        <v>187</v>
      </c>
      <c r="F216" s="269"/>
      <c r="G216" s="269"/>
      <c r="H216" s="270"/>
      <c r="I216" s="93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5" x14ac:dyDescent="0.3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5">
      <c r="A218" s="50">
        <v>10</v>
      </c>
      <c r="B218" s="60">
        <v>11</v>
      </c>
      <c r="C218" s="50"/>
      <c r="D218" s="60">
        <v>0</v>
      </c>
      <c r="E218" s="63"/>
      <c r="F218" s="63"/>
      <c r="G218" s="63"/>
      <c r="H218" s="63"/>
      <c r="I218" s="53">
        <f>IFERROR(B218/A218,"")</f>
        <v>1.1000000000000001</v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5">
      <c r="A219" s="50">
        <v>15</v>
      </c>
      <c r="B219" s="60">
        <v>65</v>
      </c>
      <c r="C219" s="50">
        <v>1</v>
      </c>
      <c r="D219" s="60">
        <v>32</v>
      </c>
      <c r="E219" s="63"/>
      <c r="F219" s="63"/>
      <c r="G219" s="63"/>
      <c r="H219" s="63">
        <v>1</v>
      </c>
      <c r="I219" s="53">
        <f t="shared" ref="I219:I237" si="8">IF(A219&lt;&gt;0,(B219-(B218-D218))/(A219-A218),"")</f>
        <v>10.8</v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5">
      <c r="A220" s="50">
        <v>20</v>
      </c>
      <c r="B220" s="60">
        <v>102</v>
      </c>
      <c r="C220" s="50">
        <v>2</v>
      </c>
      <c r="D220" s="60">
        <v>35</v>
      </c>
      <c r="E220" s="63"/>
      <c r="F220" s="63"/>
      <c r="G220" s="63"/>
      <c r="H220" s="63">
        <v>1</v>
      </c>
      <c r="I220" s="53">
        <f t="shared" si="8"/>
        <v>13.8</v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5">
      <c r="A221" s="55">
        <v>25</v>
      </c>
      <c r="B221" s="55">
        <v>141</v>
      </c>
      <c r="C221" s="55">
        <v>3</v>
      </c>
      <c r="D221" s="55">
        <v>35</v>
      </c>
      <c r="E221" s="63"/>
      <c r="F221" s="63"/>
      <c r="G221" s="63"/>
      <c r="H221" s="63">
        <v>1</v>
      </c>
      <c r="I221" s="53">
        <f t="shared" si="8"/>
        <v>14.8</v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5">
      <c r="A222" s="55">
        <v>30</v>
      </c>
      <c r="B222" s="55">
        <v>177</v>
      </c>
      <c r="C222" s="55">
        <v>4</v>
      </c>
      <c r="D222" s="55">
        <v>35</v>
      </c>
      <c r="E222" s="63"/>
      <c r="F222" s="63"/>
      <c r="G222" s="63"/>
      <c r="H222" s="63">
        <v>1</v>
      </c>
      <c r="I222" s="53">
        <f t="shared" si="8"/>
        <v>14.2</v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5">
      <c r="A223" s="55">
        <v>35</v>
      </c>
      <c r="B223" s="55">
        <v>206</v>
      </c>
      <c r="C223" s="55">
        <v>5</v>
      </c>
      <c r="D223" s="55">
        <v>35</v>
      </c>
      <c r="E223" s="63">
        <v>1</v>
      </c>
      <c r="F223" s="63"/>
      <c r="G223" s="63"/>
      <c r="H223" s="63"/>
      <c r="I223" s="53">
        <f t="shared" si="8"/>
        <v>12.8</v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5">
      <c r="A224" s="55">
        <v>40</v>
      </c>
      <c r="B224" s="55">
        <v>228</v>
      </c>
      <c r="C224" s="55">
        <v>6</v>
      </c>
      <c r="D224" s="55">
        <v>35</v>
      </c>
      <c r="E224" s="63">
        <v>1</v>
      </c>
      <c r="F224" s="63"/>
      <c r="G224" s="63"/>
      <c r="H224" s="63"/>
      <c r="I224" s="53">
        <f t="shared" si="8"/>
        <v>11.4</v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5">
      <c r="A225" s="55">
        <v>45</v>
      </c>
      <c r="B225" s="55">
        <v>242</v>
      </c>
      <c r="C225" s="55">
        <v>7</v>
      </c>
      <c r="D225" s="55">
        <v>24</v>
      </c>
      <c r="E225" s="63">
        <v>1</v>
      </c>
      <c r="F225" s="63"/>
      <c r="G225" s="63"/>
      <c r="H225" s="63"/>
      <c r="I225" s="53">
        <f t="shared" si="8"/>
        <v>9.8000000000000007</v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5">
      <c r="A226" s="55">
        <v>50</v>
      </c>
      <c r="B226" s="55">
        <v>261</v>
      </c>
      <c r="C226" s="55">
        <v>8</v>
      </c>
      <c r="D226" s="55">
        <v>19</v>
      </c>
      <c r="E226" s="63">
        <v>1</v>
      </c>
      <c r="F226" s="63"/>
      <c r="G226" s="63"/>
      <c r="H226" s="63"/>
      <c r="I226" s="53">
        <f t="shared" si="8"/>
        <v>8.6</v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5">
      <c r="A227" s="55">
        <v>55</v>
      </c>
      <c r="B227" s="55">
        <v>279</v>
      </c>
      <c r="C227" s="55">
        <v>9</v>
      </c>
      <c r="D227" s="55">
        <v>16</v>
      </c>
      <c r="E227" s="63">
        <v>1</v>
      </c>
      <c r="F227" s="63"/>
      <c r="G227" s="63"/>
      <c r="H227" s="63"/>
      <c r="I227" s="53">
        <f t="shared" si="8"/>
        <v>7.4</v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5">
      <c r="A228" s="55">
        <v>60</v>
      </c>
      <c r="B228" s="55">
        <v>294</v>
      </c>
      <c r="C228" s="55">
        <v>10</v>
      </c>
      <c r="D228" s="55">
        <v>14</v>
      </c>
      <c r="E228" s="63">
        <v>1</v>
      </c>
      <c r="F228" s="63"/>
      <c r="G228" s="63"/>
      <c r="H228" s="63"/>
      <c r="I228" s="53">
        <f t="shared" si="8"/>
        <v>6.2</v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5">
      <c r="A229" s="55">
        <v>65</v>
      </c>
      <c r="B229" s="55">
        <v>306</v>
      </c>
      <c r="C229" s="55">
        <v>11</v>
      </c>
      <c r="D229" s="55">
        <v>13</v>
      </c>
      <c r="E229" s="63">
        <v>1</v>
      </c>
      <c r="F229" s="63"/>
      <c r="G229" s="63"/>
      <c r="H229" s="63"/>
      <c r="I229" s="53">
        <f t="shared" si="8"/>
        <v>5.2</v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5">
      <c r="A230" s="55">
        <v>70</v>
      </c>
      <c r="B230" s="55">
        <v>316</v>
      </c>
      <c r="C230" s="55">
        <v>12</v>
      </c>
      <c r="D230" s="55">
        <v>13</v>
      </c>
      <c r="E230" s="64">
        <v>1</v>
      </c>
      <c r="F230" s="64"/>
      <c r="G230" s="64"/>
      <c r="H230" s="64"/>
      <c r="I230" s="53">
        <f t="shared" si="8"/>
        <v>4.5999999999999996</v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5">
      <c r="A231" s="86">
        <v>75</v>
      </c>
      <c r="B231" s="60">
        <v>324</v>
      </c>
      <c r="C231" s="86">
        <v>13</v>
      </c>
      <c r="D231" s="60">
        <v>12</v>
      </c>
      <c r="E231" s="54">
        <v>1</v>
      </c>
      <c r="F231" s="54"/>
      <c r="G231" s="54"/>
      <c r="H231" s="54"/>
      <c r="I231" s="53">
        <f t="shared" si="8"/>
        <v>4.2</v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5">
      <c r="A232" s="50">
        <v>80</v>
      </c>
      <c r="B232" s="50">
        <v>330</v>
      </c>
      <c r="C232" s="50">
        <v>14</v>
      </c>
      <c r="D232" s="50">
        <v>11</v>
      </c>
      <c r="E232" s="54">
        <v>1</v>
      </c>
      <c r="F232" s="54"/>
      <c r="G232" s="54"/>
      <c r="H232" s="54"/>
      <c r="I232" s="53">
        <f t="shared" si="8"/>
        <v>3.6</v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5">
      <c r="A240" s="46" t="s">
        <v>173</v>
      </c>
      <c r="B240" s="52" t="str">
        <f>IF(B17="","",B17)</f>
        <v>Charme</v>
      </c>
      <c r="D240" s="227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5">
      <c r="A241" s="46"/>
      <c r="B241" s="9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5">
      <c r="A242" s="4"/>
      <c r="B242" s="84" t="s">
        <v>185</v>
      </c>
      <c r="C242" s="267" t="s">
        <v>186</v>
      </c>
      <c r="D242" s="267"/>
      <c r="E242" s="268" t="s">
        <v>187</v>
      </c>
      <c r="F242" s="269"/>
      <c r="G242" s="269"/>
      <c r="H242" s="270"/>
      <c r="I242" s="93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5" x14ac:dyDescent="0.3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5">
      <c r="A244" s="50">
        <v>30</v>
      </c>
      <c r="B244" s="60">
        <v>121.8846154</v>
      </c>
      <c r="C244" s="60"/>
      <c r="D244" s="60"/>
      <c r="E244" s="51"/>
      <c r="F244" s="51"/>
      <c r="G244" s="51"/>
      <c r="H244" s="63"/>
      <c r="I244" s="53">
        <f>IFERROR(B244/A244,"")</f>
        <v>4.0628205133333335</v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5">
      <c r="A245" s="50">
        <v>35</v>
      </c>
      <c r="B245" s="60">
        <v>201.29</v>
      </c>
      <c r="C245" s="60">
        <v>1</v>
      </c>
      <c r="D245" s="60">
        <v>69.58</v>
      </c>
      <c r="E245" s="63">
        <v>1</v>
      </c>
      <c r="F245" s="63"/>
      <c r="G245" s="63"/>
      <c r="H245" s="63"/>
      <c r="I245" s="53">
        <f>IF(A245&lt;&gt;0,(B245-(B244-D244))/(A245-A244),"")</f>
        <v>15.881076919999998</v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5">
      <c r="A246" s="50">
        <v>41</v>
      </c>
      <c r="B246" s="60">
        <v>208.88</v>
      </c>
      <c r="C246" s="60">
        <v>2</v>
      </c>
      <c r="D246" s="60">
        <v>47.41</v>
      </c>
      <c r="E246" s="63">
        <v>1</v>
      </c>
      <c r="F246" s="63"/>
      <c r="G246" s="63"/>
      <c r="H246" s="63"/>
      <c r="I246" s="53">
        <f>IF(A246&lt;&gt;0,(B246-(B245-D245))/(A246-A245),"")</f>
        <v>12.86166666666667</v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5">
      <c r="A247" s="50">
        <v>48</v>
      </c>
      <c r="B247" s="60">
        <v>252.89</v>
      </c>
      <c r="C247" s="60">
        <v>3</v>
      </c>
      <c r="D247" s="60">
        <v>61.12</v>
      </c>
      <c r="E247" s="63">
        <v>1</v>
      </c>
      <c r="F247" s="63"/>
      <c r="G247" s="63"/>
      <c r="H247" s="63"/>
      <c r="I247" s="53">
        <f t="shared" ref="I247:I263" si="9">IF(A247&lt;&gt;0,(B247-(B246-D246))/(A247-A246),"")</f>
        <v>13.059999999999999</v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5">
      <c r="A248" s="50">
        <v>55</v>
      </c>
      <c r="B248" s="60">
        <v>277.67</v>
      </c>
      <c r="C248" s="60">
        <v>4</v>
      </c>
      <c r="D248" s="60">
        <v>58.24</v>
      </c>
      <c r="E248" s="63">
        <v>1</v>
      </c>
      <c r="F248" s="63"/>
      <c r="G248" s="63"/>
      <c r="H248" s="63"/>
      <c r="I248" s="53">
        <f t="shared" si="9"/>
        <v>12.271428571428576</v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5">
      <c r="A249" s="50">
        <v>63</v>
      </c>
      <c r="B249" s="60">
        <v>312.58999999999997</v>
      </c>
      <c r="C249" s="60">
        <v>5</v>
      </c>
      <c r="D249" s="60">
        <v>54.21</v>
      </c>
      <c r="E249" s="63">
        <v>1</v>
      </c>
      <c r="F249" s="63"/>
      <c r="G249" s="63"/>
      <c r="H249" s="63"/>
      <c r="I249" s="53">
        <f t="shared" si="9"/>
        <v>11.644999999999996</v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5">
      <c r="A250" s="50">
        <v>71</v>
      </c>
      <c r="B250" s="60">
        <v>348.69</v>
      </c>
      <c r="C250" s="60">
        <v>6</v>
      </c>
      <c r="D250" s="60">
        <v>52.07</v>
      </c>
      <c r="E250" s="63">
        <v>1</v>
      </c>
      <c r="F250" s="63"/>
      <c r="G250" s="63"/>
      <c r="H250" s="63"/>
      <c r="I250" s="53">
        <f t="shared" si="9"/>
        <v>11.28875</v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5">
      <c r="A251" s="55">
        <v>80</v>
      </c>
      <c r="B251" s="55">
        <v>395.71</v>
      </c>
      <c r="C251" s="55">
        <v>7</v>
      </c>
      <c r="D251" s="55">
        <v>59.57</v>
      </c>
      <c r="E251" s="63">
        <v>1</v>
      </c>
      <c r="F251" s="63"/>
      <c r="G251" s="63"/>
      <c r="H251" s="63"/>
      <c r="I251" s="53">
        <f t="shared" si="9"/>
        <v>11.009999999999998</v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5">
      <c r="A252" s="55">
        <v>89</v>
      </c>
      <c r="B252" s="55">
        <v>429.83</v>
      </c>
      <c r="C252" s="55">
        <v>8</v>
      </c>
      <c r="D252" s="55">
        <v>64.5</v>
      </c>
      <c r="E252" s="63">
        <v>1</v>
      </c>
      <c r="F252" s="63"/>
      <c r="G252" s="63"/>
      <c r="H252" s="63"/>
      <c r="I252" s="53">
        <f t="shared" si="9"/>
        <v>10.41</v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5">
      <c r="A253" s="55">
        <v>99</v>
      </c>
      <c r="B253" s="55">
        <v>464.8</v>
      </c>
      <c r="C253" s="55">
        <v>9</v>
      </c>
      <c r="D253" s="55">
        <v>62.94</v>
      </c>
      <c r="E253" s="63">
        <v>1</v>
      </c>
      <c r="F253" s="63"/>
      <c r="G253" s="63"/>
      <c r="H253" s="63"/>
      <c r="I253" s="53">
        <f t="shared" si="9"/>
        <v>9.9470000000000027</v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5">
      <c r="A254" s="55">
        <v>109</v>
      </c>
      <c r="B254" s="55">
        <v>498.97</v>
      </c>
      <c r="C254" s="55">
        <v>10</v>
      </c>
      <c r="D254" s="55">
        <v>66.959999999999994</v>
      </c>
      <c r="E254" s="63">
        <v>1</v>
      </c>
      <c r="F254" s="63"/>
      <c r="G254" s="63"/>
      <c r="H254" s="63"/>
      <c r="I254" s="53">
        <f t="shared" si="9"/>
        <v>9.7110000000000021</v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5">
      <c r="A255" s="55">
        <v>119</v>
      </c>
      <c r="B255" s="55">
        <v>526.04</v>
      </c>
      <c r="C255" s="55">
        <v>11</v>
      </c>
      <c r="D255" s="55">
        <v>196.46</v>
      </c>
      <c r="E255" s="63">
        <v>1</v>
      </c>
      <c r="F255" s="63"/>
      <c r="G255" s="63"/>
      <c r="H255" s="63"/>
      <c r="I255" s="53">
        <f t="shared" si="9"/>
        <v>9.4029999999999916</v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5">
      <c r="A256" s="55">
        <v>123</v>
      </c>
      <c r="B256" s="55">
        <v>328.09</v>
      </c>
      <c r="C256" s="55">
        <v>12</v>
      </c>
      <c r="D256" s="55">
        <v>100.6</v>
      </c>
      <c r="E256" s="64">
        <v>1</v>
      </c>
      <c r="F256" s="64"/>
      <c r="G256" s="64"/>
      <c r="H256" s="64"/>
      <c r="I256" s="53">
        <f t="shared" si="9"/>
        <v>-0.37249999999998806</v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5">
      <c r="A257" s="86">
        <v>127</v>
      </c>
      <c r="B257" s="60">
        <v>228.28</v>
      </c>
      <c r="C257" s="86">
        <v>13</v>
      </c>
      <c r="D257" s="60">
        <v>65.02</v>
      </c>
      <c r="E257" s="54">
        <v>1</v>
      </c>
      <c r="F257" s="54"/>
      <c r="G257" s="54"/>
      <c r="H257" s="54"/>
      <c r="I257" s="53">
        <f t="shared" si="9"/>
        <v>0.19750000000000512</v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5">
      <c r="A258" s="50">
        <v>131</v>
      </c>
      <c r="B258" s="50">
        <v>163.65</v>
      </c>
      <c r="C258" s="50">
        <v>14</v>
      </c>
      <c r="D258" s="50">
        <v>143.84</v>
      </c>
      <c r="E258" s="54">
        <v>1</v>
      </c>
      <c r="F258" s="54"/>
      <c r="G258" s="54"/>
      <c r="H258" s="54"/>
      <c r="I258" s="53">
        <f t="shared" si="9"/>
        <v>9.7500000000003695E-2</v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5">
      <c r="A266" s="46" t="s">
        <v>174</v>
      </c>
      <c r="B266" s="52" t="str">
        <f>IF(B18="","",B18)</f>
        <v>Merisier</v>
      </c>
      <c r="D266" s="227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5">
      <c r="A267" s="46"/>
      <c r="B267" s="9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5">
      <c r="A268" s="4"/>
      <c r="B268" s="84" t="s">
        <v>185</v>
      </c>
      <c r="C268" s="267" t="s">
        <v>186</v>
      </c>
      <c r="D268" s="267"/>
      <c r="E268" s="268" t="s">
        <v>187</v>
      </c>
      <c r="F268" s="269"/>
      <c r="G268" s="269"/>
      <c r="H268" s="270"/>
      <c r="I268" s="93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5" x14ac:dyDescent="0.3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5">
      <c r="A270" s="50">
        <v>15</v>
      </c>
      <c r="B270" s="60">
        <v>40</v>
      </c>
      <c r="C270" s="50">
        <v>1</v>
      </c>
      <c r="D270" s="60">
        <v>3</v>
      </c>
      <c r="E270" s="51"/>
      <c r="F270" s="51"/>
      <c r="G270" s="51"/>
      <c r="H270" s="51">
        <v>1</v>
      </c>
      <c r="I270" s="53">
        <f>IFERROR(B270/A270,"")</f>
        <v>2.6666666666666665</v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5">
      <c r="A271" s="50">
        <v>20</v>
      </c>
      <c r="B271" s="60">
        <v>85</v>
      </c>
      <c r="C271" s="50">
        <v>2</v>
      </c>
      <c r="D271" s="60">
        <v>25</v>
      </c>
      <c r="E271" s="51"/>
      <c r="F271" s="51"/>
      <c r="G271" s="51"/>
      <c r="H271" s="51">
        <v>1</v>
      </c>
      <c r="I271" s="53">
        <f>IF(A271&lt;&gt;0,(B271-(B270-D270))/(A271-A270),"")</f>
        <v>9.6</v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5">
      <c r="A272" s="50">
        <v>25</v>
      </c>
      <c r="B272" s="60">
        <v>113</v>
      </c>
      <c r="C272" s="50">
        <v>3</v>
      </c>
      <c r="D272" s="60">
        <v>27</v>
      </c>
      <c r="E272" s="51"/>
      <c r="F272" s="51"/>
      <c r="G272" s="51"/>
      <c r="H272" s="51">
        <v>1</v>
      </c>
      <c r="I272" s="53">
        <f t="shared" ref="I272:I289" si="10">IF(A272&lt;&gt;0,(B272-(B271-D271))/(A272-A271),"")</f>
        <v>10.6</v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5">
      <c r="A273" s="50">
        <v>31</v>
      </c>
      <c r="B273" s="60">
        <v>155</v>
      </c>
      <c r="C273" s="50">
        <v>4</v>
      </c>
      <c r="D273" s="60">
        <v>36</v>
      </c>
      <c r="E273" s="51">
        <v>1</v>
      </c>
      <c r="F273" s="51"/>
      <c r="G273" s="51"/>
      <c r="H273" s="51"/>
      <c r="I273" s="53">
        <f t="shared" si="10"/>
        <v>11.5</v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5">
      <c r="A274" s="50">
        <v>37</v>
      </c>
      <c r="B274" s="60">
        <v>188</v>
      </c>
      <c r="C274" s="50">
        <v>5</v>
      </c>
      <c r="D274" s="60">
        <v>36</v>
      </c>
      <c r="E274" s="51">
        <v>1</v>
      </c>
      <c r="F274" s="51"/>
      <c r="G274" s="51"/>
      <c r="H274" s="51"/>
      <c r="I274" s="53">
        <f t="shared" si="10"/>
        <v>11.5</v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5">
      <c r="A275" s="50">
        <v>44</v>
      </c>
      <c r="B275" s="60">
        <v>230</v>
      </c>
      <c r="C275" s="50">
        <v>6</v>
      </c>
      <c r="D275" s="60">
        <v>43</v>
      </c>
      <c r="E275" s="63">
        <v>1</v>
      </c>
      <c r="F275" s="63"/>
      <c r="G275" s="63"/>
      <c r="H275" s="63"/>
      <c r="I275" s="53">
        <f t="shared" si="10"/>
        <v>11.142857142857142</v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5">
      <c r="A276" s="50">
        <v>52</v>
      </c>
      <c r="B276" s="60">
        <v>270</v>
      </c>
      <c r="C276" s="50">
        <v>7</v>
      </c>
      <c r="D276" s="60">
        <v>48</v>
      </c>
      <c r="E276" s="63">
        <v>1</v>
      </c>
      <c r="F276" s="63"/>
      <c r="G276" s="63"/>
      <c r="H276" s="63"/>
      <c r="I276" s="53">
        <f t="shared" si="10"/>
        <v>10.375</v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5">
      <c r="A277" s="55">
        <v>60</v>
      </c>
      <c r="B277" s="55">
        <v>297</v>
      </c>
      <c r="C277" s="55">
        <v>8</v>
      </c>
      <c r="D277" s="55">
        <v>47</v>
      </c>
      <c r="E277" s="63">
        <v>1</v>
      </c>
      <c r="F277" s="63"/>
      <c r="G277" s="63"/>
      <c r="H277" s="63"/>
      <c r="I277" s="53">
        <f t="shared" si="10"/>
        <v>9.375</v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5">
      <c r="A278" s="55">
        <v>69</v>
      </c>
      <c r="B278" s="55">
        <v>328</v>
      </c>
      <c r="C278" s="55"/>
      <c r="D278" s="55"/>
      <c r="E278" s="63"/>
      <c r="F278" s="63"/>
      <c r="G278" s="63"/>
      <c r="H278" s="63"/>
      <c r="I278" s="53">
        <f t="shared" si="10"/>
        <v>8.6666666666666661</v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5">
      <c r="A283" s="86"/>
      <c r="B283" s="60"/>
      <c r="C283" s="86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B1" zoomScale="115" zoomScaleNormal="115" workbookViewId="0">
      <selection activeCell="B17" sqref="B17"/>
    </sheetView>
  </sheetViews>
  <sheetFormatPr baseColWidth="10" defaultColWidth="11.453125" defaultRowHeight="14.5" x14ac:dyDescent="0.35"/>
  <cols>
    <col min="1" max="1" width="5.81640625" style="1" customWidth="1"/>
    <col min="2" max="2" width="14.08984375" style="1" customWidth="1"/>
    <col min="3" max="3" width="62.08984375" style="1" customWidth="1"/>
    <col min="4" max="5" width="4.36328125" style="1" customWidth="1"/>
    <col min="6" max="6" width="14.36328125" style="1" customWidth="1"/>
    <col min="7" max="7" width="73.36328125" style="1" bestFit="1" customWidth="1"/>
    <col min="8" max="10" width="11.453125" style="1"/>
    <col min="11" max="11" width="12.453125" style="1" customWidth="1"/>
    <col min="12" max="16384" width="11.453125" style="1"/>
  </cols>
  <sheetData>
    <row r="1" spans="1:38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95"/>
      <c r="K1" s="95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5" thickBot="1" x14ac:dyDescent="0.65">
      <c r="A2" s="4"/>
      <c r="B2" s="281" t="s">
        <v>191</v>
      </c>
      <c r="C2" s="282"/>
      <c r="D2" s="282"/>
      <c r="E2" s="282"/>
      <c r="F2" s="282"/>
      <c r="G2" s="283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5">
      <c r="A4" s="4"/>
      <c r="B4" s="280"/>
      <c r="C4" s="280"/>
      <c r="D4" s="280"/>
      <c r="E4" s="280"/>
      <c r="F4" s="280"/>
      <c r="G4" s="280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5">
      <c r="A5" s="4"/>
      <c r="B5" s="96" t="s">
        <v>296</v>
      </c>
      <c r="C5" s="96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5">
      <c r="A6" s="23"/>
      <c r="B6" s="215"/>
      <c r="C6" s="215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5">
      <c r="A7" s="97"/>
      <c r="B7" s="26" t="s">
        <v>295</v>
      </c>
      <c r="C7" s="98" t="s">
        <v>214</v>
      </c>
      <c r="D7" s="213"/>
      <c r="E7" s="99"/>
      <c r="F7" s="26" t="s">
        <v>295</v>
      </c>
      <c r="G7" s="98" t="s">
        <v>215</v>
      </c>
      <c r="H7" s="214"/>
      <c r="I7" s="214"/>
      <c r="J7" s="214"/>
      <c r="K7" s="214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</row>
    <row r="8" spans="1:38" ht="17.25" customHeight="1" x14ac:dyDescent="0.35">
      <c r="A8" s="103">
        <v>1</v>
      </c>
      <c r="B8" s="61">
        <v>1</v>
      </c>
      <c r="C8" s="49" t="s">
        <v>177</v>
      </c>
      <c r="D8" s="23"/>
      <c r="E8" s="103">
        <v>4</v>
      </c>
      <c r="F8" s="61">
        <v>0</v>
      </c>
      <c r="G8" s="100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5">
      <c r="A9" s="103">
        <v>2</v>
      </c>
      <c r="B9" s="61">
        <v>0</v>
      </c>
      <c r="C9" s="106" t="s">
        <v>216</v>
      </c>
      <c r="D9" s="23"/>
      <c r="E9" s="103">
        <v>5</v>
      </c>
      <c r="F9" s="61">
        <v>0</v>
      </c>
      <c r="G9" s="101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5">
      <c r="A10" s="103">
        <v>3</v>
      </c>
      <c r="B10" s="61">
        <v>0</v>
      </c>
      <c r="C10" s="107" t="s">
        <v>217</v>
      </c>
      <c r="D10" s="23"/>
      <c r="E10" s="4"/>
      <c r="F10" s="104">
        <f>SUM(F7:F9)</f>
        <v>0</v>
      </c>
      <c r="G10" s="102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5">
      <c r="A11" s="23"/>
      <c r="B11" s="104">
        <v>0</v>
      </c>
      <c r="C11" s="102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5">
      <c r="A13" s="214"/>
      <c r="B13" s="105"/>
      <c r="C13" s="96" t="s">
        <v>273</v>
      </c>
      <c r="D13" s="214"/>
      <c r="E13" s="97"/>
      <c r="F13" s="105"/>
      <c r="G13" s="96" t="s">
        <v>301</v>
      </c>
      <c r="H13" s="214"/>
      <c r="I13" s="214"/>
      <c r="J13" s="214"/>
      <c r="K13" s="214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</row>
    <row r="14" spans="1:38" s="3" customFormat="1" ht="21" customHeight="1" x14ac:dyDescent="0.35">
      <c r="A14" s="214"/>
      <c r="B14" s="105"/>
      <c r="C14" s="96" t="s">
        <v>309</v>
      </c>
      <c r="D14" s="214"/>
      <c r="E14" s="97"/>
      <c r="F14" s="105"/>
      <c r="G14" s="96" t="s">
        <v>294</v>
      </c>
      <c r="H14" s="214"/>
      <c r="I14" s="214"/>
      <c r="J14" s="214"/>
      <c r="K14" s="214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</row>
    <row r="15" spans="1:38" x14ac:dyDescent="0.35">
      <c r="A15" s="23"/>
      <c r="B15" s="26" t="s">
        <v>295</v>
      </c>
      <c r="C15" s="4"/>
      <c r="D15" s="23"/>
      <c r="E15" s="4"/>
      <c r="F15" s="4"/>
      <c r="G15" s="2" t="s">
        <v>19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5">
      <c r="A16" s="23"/>
      <c r="B16" s="61">
        <v>1</v>
      </c>
      <c r="C16" s="108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5">
      <c r="A17" s="23"/>
      <c r="B17" s="61">
        <v>0</v>
      </c>
      <c r="C17" s="108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5">
      <c r="A18" s="23"/>
      <c r="B18" s="61">
        <v>0</v>
      </c>
      <c r="C18" s="108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5">
      <c r="A19" s="23"/>
      <c r="B19" s="104">
        <f>SUM(B16:B18)</f>
        <v>1</v>
      </c>
      <c r="C19" s="102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5">
      <c r="C104" s="4"/>
      <c r="F104" s="4"/>
    </row>
    <row r="105" spans="3:35" x14ac:dyDescent="0.35">
      <c r="C105" s="4"/>
      <c r="F105" s="4"/>
    </row>
    <row r="106" spans="3:35" x14ac:dyDescent="0.35">
      <c r="C106" s="4"/>
      <c r="F106" s="4"/>
    </row>
    <row r="107" spans="3:35" x14ac:dyDescent="0.35">
      <c r="C107" s="4"/>
      <c r="F107" s="4"/>
    </row>
    <row r="108" spans="3:35" x14ac:dyDescent="0.35">
      <c r="C108" s="4"/>
      <c r="F108" s="4"/>
    </row>
    <row r="109" spans="3:35" x14ac:dyDescent="0.35">
      <c r="C109" s="4"/>
      <c r="F109" s="4"/>
    </row>
    <row r="110" spans="3:35" x14ac:dyDescent="0.35">
      <c r="C110" s="4"/>
      <c r="F110" s="4"/>
    </row>
    <row r="111" spans="3:35" x14ac:dyDescent="0.35">
      <c r="C111" s="4"/>
      <c r="F111" s="4"/>
    </row>
    <row r="112" spans="3:35" x14ac:dyDescent="0.35">
      <c r="C112" s="4"/>
      <c r="F112" s="4"/>
    </row>
    <row r="113" spans="3:6" x14ac:dyDescent="0.35">
      <c r="C113" s="4"/>
      <c r="F113" s="4"/>
    </row>
    <row r="114" spans="3:6" x14ac:dyDescent="0.35">
      <c r="C114" s="4"/>
      <c r="F114" s="4"/>
    </row>
    <row r="115" spans="3:6" x14ac:dyDescent="0.35">
      <c r="C115" s="4"/>
      <c r="F115" s="4"/>
    </row>
    <row r="116" spans="3:6" x14ac:dyDescent="0.35">
      <c r="C116" s="4"/>
      <c r="F116" s="4"/>
    </row>
    <row r="117" spans="3:6" x14ac:dyDescent="0.35">
      <c r="C117" s="4"/>
      <c r="F117" s="4"/>
    </row>
    <row r="118" spans="3:6" x14ac:dyDescent="0.35">
      <c r="C118" s="4"/>
      <c r="F118" s="4"/>
    </row>
    <row r="119" spans="3:6" x14ac:dyDescent="0.35">
      <c r="C119" s="4"/>
      <c r="F119" s="4"/>
    </row>
    <row r="120" spans="3:6" x14ac:dyDescent="0.35">
      <c r="C120" s="4"/>
      <c r="F120" s="4"/>
    </row>
    <row r="121" spans="3:6" x14ac:dyDescent="0.35">
      <c r="C121" s="4"/>
      <c r="F121" s="4"/>
    </row>
    <row r="122" spans="3:6" x14ac:dyDescent="0.35">
      <c r="C122" s="4"/>
      <c r="F122" s="4"/>
    </row>
    <row r="123" spans="3:6" x14ac:dyDescent="0.35">
      <c r="C123" s="4"/>
      <c r="F123" s="4"/>
    </row>
    <row r="124" spans="3:6" x14ac:dyDescent="0.35">
      <c r="C124" s="4"/>
      <c r="F124" s="4"/>
    </row>
    <row r="125" spans="3:6" x14ac:dyDescent="0.35">
      <c r="C125" s="4"/>
      <c r="F125" s="4"/>
    </row>
    <row r="126" spans="3:6" x14ac:dyDescent="0.35">
      <c r="C126" s="4"/>
      <c r="F126" s="4"/>
    </row>
    <row r="127" spans="3:6" x14ac:dyDescent="0.35">
      <c r="C127" s="4"/>
      <c r="F127" s="4"/>
    </row>
    <row r="128" spans="3:6" x14ac:dyDescent="0.35">
      <c r="C128" s="4"/>
      <c r="F128" s="4"/>
    </row>
    <row r="129" spans="3:6" x14ac:dyDescent="0.35">
      <c r="C129" s="4"/>
      <c r="F129" s="4"/>
    </row>
    <row r="130" spans="3:6" x14ac:dyDescent="0.35">
      <c r="C130" s="4"/>
      <c r="F130" s="4"/>
    </row>
    <row r="131" spans="3:6" x14ac:dyDescent="0.35">
      <c r="C131" s="4"/>
      <c r="F131" s="4"/>
    </row>
    <row r="132" spans="3:6" x14ac:dyDescent="0.35">
      <c r="F132" s="4"/>
    </row>
    <row r="133" spans="3:6" x14ac:dyDescent="0.35">
      <c r="F133" s="4"/>
    </row>
    <row r="134" spans="3:6" x14ac:dyDescent="0.35">
      <c r="F134" s="4"/>
    </row>
    <row r="135" spans="3:6" x14ac:dyDescent="0.35">
      <c r="F135" s="4"/>
    </row>
    <row r="136" spans="3:6" x14ac:dyDescent="0.35">
      <c r="F136" s="4"/>
    </row>
    <row r="137" spans="3:6" x14ac:dyDescent="0.35">
      <c r="F137" s="4"/>
    </row>
    <row r="138" spans="3:6" x14ac:dyDescent="0.35">
      <c r="F138" s="4"/>
    </row>
    <row r="139" spans="3:6" x14ac:dyDescent="0.35">
      <c r="F139" s="4"/>
    </row>
    <row r="140" spans="3:6" x14ac:dyDescent="0.35">
      <c r="F140" s="4"/>
    </row>
    <row r="141" spans="3:6" x14ac:dyDescent="0.35">
      <c r="F141" s="4"/>
    </row>
    <row r="142" spans="3:6" x14ac:dyDescent="0.35">
      <c r="F142" s="4"/>
    </row>
    <row r="143" spans="3:6" x14ac:dyDescent="0.35">
      <c r="F143" s="4"/>
    </row>
    <row r="144" spans="3:6" x14ac:dyDescent="0.35">
      <c r="F144" s="4"/>
    </row>
    <row r="145" spans="6:6" x14ac:dyDescent="0.35">
      <c r="F145" s="4"/>
    </row>
    <row r="146" spans="6:6" x14ac:dyDescent="0.35">
      <c r="F146" s="4"/>
    </row>
    <row r="147" spans="6:6" x14ac:dyDescent="0.35">
      <c r="F147" s="4"/>
    </row>
    <row r="148" spans="6:6" x14ac:dyDescent="0.35">
      <c r="F148" s="4"/>
    </row>
    <row r="149" spans="6:6" x14ac:dyDescent="0.35">
      <c r="F149" s="4"/>
    </row>
    <row r="150" spans="6:6" x14ac:dyDescent="0.35">
      <c r="F150" s="4"/>
    </row>
    <row r="151" spans="6:6" x14ac:dyDescent="0.35">
      <c r="F151" s="4"/>
    </row>
    <row r="152" spans="6:6" x14ac:dyDescent="0.35">
      <c r="F152" s="4"/>
    </row>
    <row r="153" spans="6:6" x14ac:dyDescent="0.35">
      <c r="F153" s="4"/>
    </row>
    <row r="154" spans="6:6" x14ac:dyDescent="0.35">
      <c r="F154" s="4"/>
    </row>
    <row r="155" spans="6:6" x14ac:dyDescent="0.35">
      <c r="F155" s="4"/>
    </row>
    <row r="156" spans="6:6" x14ac:dyDescent="0.35">
      <c r="F156" s="4"/>
    </row>
    <row r="157" spans="6:6" x14ac:dyDescent="0.35">
      <c r="F157" s="4"/>
    </row>
    <row r="158" spans="6:6" x14ac:dyDescent="0.35">
      <c r="F158" s="4"/>
    </row>
    <row r="159" spans="6:6" x14ac:dyDescent="0.35">
      <c r="F159" s="4"/>
    </row>
    <row r="160" spans="6:6" x14ac:dyDescent="0.35">
      <c r="F160" s="4"/>
    </row>
    <row r="161" spans="6:6" x14ac:dyDescent="0.35">
      <c r="F161" s="4"/>
    </row>
    <row r="162" spans="6:6" x14ac:dyDescent="0.35">
      <c r="F162" s="4"/>
    </row>
    <row r="163" spans="6:6" x14ac:dyDescent="0.3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53125" defaultRowHeight="14.5" x14ac:dyDescent="0.35"/>
  <cols>
    <col min="1" max="1" width="6.81640625" style="4" bestFit="1" customWidth="1"/>
    <col min="2" max="4" width="11.453125" style="4"/>
    <col min="5" max="5" width="9.453125" style="4" customWidth="1"/>
    <col min="6" max="7" width="11.453125" style="4"/>
    <col min="8" max="8" width="10.6328125" style="4" customWidth="1"/>
    <col min="9" max="9" width="9.453125" style="4" customWidth="1"/>
    <col min="10" max="11" width="10.453125" style="4" bestFit="1" customWidth="1"/>
    <col min="12" max="12" width="14" style="4" bestFit="1" customWidth="1"/>
    <col min="13" max="13" width="14" style="4" customWidth="1"/>
    <col min="14" max="23" width="11.453125" style="4"/>
    <col min="24" max="24" width="11.6328125" style="4" bestFit="1" customWidth="1"/>
    <col min="25" max="25" width="14.453125" style="4" bestFit="1" customWidth="1"/>
    <col min="26" max="26" width="12.453125" style="4" bestFit="1" customWidth="1"/>
    <col min="27" max="27" width="9.6328125" style="4" bestFit="1" customWidth="1"/>
    <col min="28" max="28" width="11" style="4" bestFit="1" customWidth="1"/>
    <col min="29" max="29" width="9.453125" style="4" bestFit="1" customWidth="1"/>
    <col min="30" max="31" width="9.453125" style="4" customWidth="1"/>
    <col min="32" max="32" width="11.453125" style="4"/>
    <col min="33" max="34" width="14" style="4" bestFit="1" customWidth="1"/>
    <col min="35" max="35" width="10.453125" style="4" bestFit="1" customWidth="1"/>
    <col min="36" max="36" width="9.453125" style="4" bestFit="1" customWidth="1"/>
    <col min="37" max="38" width="10.453125" style="4" bestFit="1" customWidth="1"/>
    <col min="39" max="41" width="10.453125" style="4" customWidth="1"/>
    <col min="42" max="42" width="9" style="4" bestFit="1" customWidth="1"/>
    <col min="43" max="43" width="10.453125" style="4" bestFit="1" customWidth="1"/>
    <col min="44" max="44" width="9.36328125" style="4" bestFit="1" customWidth="1"/>
    <col min="45" max="45" width="11.6328125" style="4" bestFit="1" customWidth="1"/>
    <col min="46" max="46" width="8.453125" style="4" bestFit="1" customWidth="1"/>
    <col min="47" max="47" width="9.453125" style="4" bestFit="1" customWidth="1"/>
    <col min="48" max="48" width="9.6328125" style="4" bestFit="1" customWidth="1"/>
    <col min="49" max="49" width="11" style="4" bestFit="1" customWidth="1"/>
    <col min="50" max="50" width="9.453125" style="4" bestFit="1" customWidth="1"/>
    <col min="51" max="52" width="9.453125" style="4" customWidth="1"/>
    <col min="53" max="53" width="10.453125" style="4" bestFit="1" customWidth="1"/>
    <col min="54" max="54" width="14.36328125" style="4" customWidth="1"/>
    <col min="55" max="55" width="14" style="4" customWidth="1"/>
    <col min="56" max="56" width="10.453125" style="4" bestFit="1" customWidth="1"/>
    <col min="57" max="57" width="9.453125" style="4" bestFit="1" customWidth="1"/>
    <col min="58" max="59" width="10.453125" style="4" bestFit="1" customWidth="1"/>
    <col min="60" max="62" width="10.453125" style="4" customWidth="1"/>
    <col min="63" max="63" width="9" style="4" bestFit="1" customWidth="1"/>
    <col min="64" max="64" width="10.453125" style="4" bestFit="1" customWidth="1"/>
    <col min="65" max="65" width="9.36328125" style="4" bestFit="1" customWidth="1"/>
    <col min="66" max="66" width="11.6328125" style="4" bestFit="1" customWidth="1"/>
    <col min="67" max="67" width="8.453125" style="4" bestFit="1" customWidth="1"/>
    <col min="68" max="68" width="9.453125" style="4" bestFit="1" customWidth="1"/>
    <col min="69" max="69" width="9.6328125" style="4" bestFit="1" customWidth="1"/>
    <col min="70" max="70" width="11" style="4" bestFit="1" customWidth="1"/>
    <col min="71" max="71" width="9.453125" style="4" bestFit="1" customWidth="1"/>
    <col min="72" max="73" width="9.453125" style="4" customWidth="1"/>
    <col min="74" max="74" width="10.453125" style="4" bestFit="1" customWidth="1"/>
    <col min="75" max="75" width="14" style="4" bestFit="1" customWidth="1"/>
    <col min="76" max="76" width="13.81640625" style="4" customWidth="1"/>
    <col min="77" max="77" width="10.453125" style="4" bestFit="1" customWidth="1"/>
    <col min="78" max="78" width="9.453125" style="4" bestFit="1" customWidth="1"/>
    <col min="79" max="80" width="10.453125" style="4" bestFit="1" customWidth="1"/>
    <col min="81" max="83" width="10.453125" style="4" customWidth="1"/>
    <col min="84" max="84" width="11.453125" style="4"/>
    <col min="85" max="85" width="10.453125" style="4" bestFit="1" customWidth="1"/>
    <col min="86" max="86" width="9.36328125" style="4" bestFit="1" customWidth="1"/>
    <col min="87" max="87" width="11.6328125" style="4" bestFit="1" customWidth="1"/>
    <col min="88" max="88" width="8.453125" style="4" bestFit="1" customWidth="1"/>
    <col min="89" max="89" width="9.453125" style="4" bestFit="1" customWidth="1"/>
    <col min="90" max="90" width="9.6328125" style="4" bestFit="1" customWidth="1"/>
    <col min="91" max="91" width="11" style="4" bestFit="1" customWidth="1"/>
    <col min="92" max="92" width="9.453125" style="4" bestFit="1" customWidth="1"/>
    <col min="93" max="94" width="9.453125" style="4" customWidth="1"/>
    <col min="95" max="95" width="11.453125" style="4"/>
    <col min="96" max="97" width="14" style="4" customWidth="1"/>
    <col min="98" max="98" width="10.453125" style="4" bestFit="1" customWidth="1"/>
    <col min="99" max="99" width="9.453125" style="4" bestFit="1" customWidth="1"/>
    <col min="100" max="101" width="10.453125" style="4" bestFit="1" customWidth="1"/>
    <col min="102" max="104" width="10.453125" style="4" customWidth="1"/>
    <col min="105" max="105" width="9" style="4" bestFit="1" customWidth="1"/>
    <col min="106" max="106" width="10.453125" style="4" bestFit="1" customWidth="1"/>
    <col min="107" max="107" width="9.36328125" style="4" bestFit="1" customWidth="1"/>
    <col min="108" max="108" width="11.6328125" style="4" bestFit="1" customWidth="1"/>
    <col min="109" max="109" width="8.453125" style="4" bestFit="1" customWidth="1"/>
    <col min="110" max="110" width="9.453125" style="4" bestFit="1" customWidth="1"/>
    <col min="111" max="111" width="9.6328125" style="4" bestFit="1" customWidth="1"/>
    <col min="112" max="112" width="11" style="4" bestFit="1" customWidth="1"/>
    <col min="113" max="113" width="9.453125" style="4" bestFit="1" customWidth="1"/>
    <col min="114" max="115" width="9.453125" style="4" customWidth="1"/>
    <col min="116" max="116" width="10.453125" style="4" bestFit="1" customWidth="1"/>
    <col min="117" max="117" width="14.36328125" style="4" customWidth="1"/>
    <col min="118" max="118" width="14" style="4" bestFit="1" customWidth="1"/>
    <col min="119" max="119" width="10.453125" style="4" bestFit="1" customWidth="1"/>
    <col min="120" max="120" width="9.453125" style="4" bestFit="1" customWidth="1"/>
    <col min="121" max="122" width="10.453125" style="4" bestFit="1" customWidth="1"/>
    <col min="123" max="125" width="10.453125" style="4" customWidth="1"/>
    <col min="126" max="126" width="9" style="4" bestFit="1" customWidth="1"/>
    <col min="127" max="127" width="10.453125" style="4" bestFit="1" customWidth="1"/>
    <col min="128" max="128" width="9.36328125" style="4" bestFit="1" customWidth="1"/>
    <col min="129" max="129" width="11.6328125" style="4" bestFit="1" customWidth="1"/>
    <col min="130" max="130" width="8.453125" style="4" bestFit="1" customWidth="1"/>
    <col min="131" max="131" width="9.453125" style="4" bestFit="1" customWidth="1"/>
    <col min="132" max="132" width="9.6328125" style="4" bestFit="1" customWidth="1"/>
    <col min="133" max="133" width="11" style="4" bestFit="1" customWidth="1"/>
    <col min="134" max="134" width="9.453125" style="4" bestFit="1" customWidth="1"/>
    <col min="135" max="136" width="9.453125" style="4" customWidth="1"/>
    <col min="137" max="137" width="10.453125" style="4" bestFit="1" customWidth="1"/>
    <col min="138" max="139" width="14" style="4" customWidth="1"/>
    <col min="140" max="140" width="10.453125" style="4" bestFit="1" customWidth="1"/>
    <col min="141" max="141" width="9.453125" style="4" bestFit="1" customWidth="1"/>
    <col min="142" max="143" width="10.453125" style="4" bestFit="1" customWidth="1"/>
    <col min="144" max="146" width="10.453125" style="4" customWidth="1"/>
    <col min="147" max="147" width="9" style="4" bestFit="1" customWidth="1"/>
    <col min="148" max="148" width="10.453125" style="4" bestFit="1" customWidth="1"/>
    <col min="149" max="149" width="9.36328125" style="4" bestFit="1" customWidth="1"/>
    <col min="150" max="150" width="11.6328125" style="4" bestFit="1" customWidth="1"/>
    <col min="151" max="151" width="8.453125" style="4" bestFit="1" customWidth="1"/>
    <col min="152" max="152" width="9.453125" style="4" bestFit="1" customWidth="1"/>
    <col min="153" max="153" width="9.6328125" style="4" bestFit="1" customWidth="1"/>
    <col min="154" max="154" width="11" style="4" bestFit="1" customWidth="1"/>
    <col min="155" max="155" width="9.453125" style="4" bestFit="1" customWidth="1"/>
    <col min="156" max="157" width="9.453125" style="4" customWidth="1"/>
    <col min="158" max="158" width="11.453125" style="4"/>
    <col min="159" max="160" width="14" style="4" bestFit="1" customWidth="1"/>
    <col min="161" max="161" width="10.453125" style="4" bestFit="1" customWidth="1"/>
    <col min="162" max="162" width="9.453125" style="4" bestFit="1" customWidth="1"/>
    <col min="163" max="164" width="10.453125" style="4" bestFit="1" customWidth="1"/>
    <col min="165" max="167" width="10.453125" style="4" customWidth="1"/>
    <col min="168" max="168" width="9" style="4" bestFit="1" customWidth="1"/>
    <col min="169" max="169" width="10.453125" style="4" bestFit="1" customWidth="1"/>
    <col min="170" max="170" width="9.36328125" style="4" bestFit="1" customWidth="1"/>
    <col min="171" max="171" width="11.6328125" style="4" bestFit="1" customWidth="1"/>
    <col min="172" max="172" width="8.08984375" style="4" bestFit="1" customWidth="1"/>
    <col min="173" max="173" width="9.453125" style="4" bestFit="1" customWidth="1"/>
    <col min="174" max="174" width="9.6328125" style="4" bestFit="1" customWidth="1"/>
    <col min="175" max="175" width="11" style="4" bestFit="1" customWidth="1"/>
    <col min="176" max="176" width="9.453125" style="4" bestFit="1" customWidth="1"/>
    <col min="177" max="178" width="9.453125" style="4" customWidth="1"/>
    <col min="179" max="179" width="10.453125" style="4" bestFit="1" customWidth="1"/>
    <col min="180" max="181" width="14" style="4" bestFit="1" customWidth="1"/>
    <col min="182" max="182" width="10.453125" style="4" bestFit="1" customWidth="1"/>
    <col min="183" max="183" width="9.453125" style="4" bestFit="1" customWidth="1"/>
    <col min="184" max="185" width="10.453125" style="4" bestFit="1" customWidth="1"/>
    <col min="186" max="188" width="10.453125" style="4" customWidth="1"/>
    <col min="189" max="189" width="9" style="4" bestFit="1" customWidth="1"/>
    <col min="190" max="190" width="10.453125" style="4" bestFit="1" customWidth="1"/>
    <col min="191" max="191" width="9.36328125" style="4" bestFit="1" customWidth="1"/>
    <col min="192" max="192" width="11.453125" style="4"/>
    <col min="193" max="193" width="8.453125" style="4" bestFit="1" customWidth="1"/>
    <col min="194" max="194" width="9.453125" style="4" bestFit="1" customWidth="1"/>
    <col min="195" max="195" width="9.6328125" style="4" bestFit="1" customWidth="1"/>
    <col min="196" max="196" width="11" style="4" bestFit="1" customWidth="1"/>
    <col min="197" max="197" width="9.453125" style="4" bestFit="1" customWidth="1"/>
    <col min="198" max="199" width="9.453125" style="4" customWidth="1"/>
    <col min="200" max="200" width="10.453125" style="4" bestFit="1" customWidth="1"/>
    <col min="201" max="201" width="14" style="4" customWidth="1"/>
    <col min="202" max="202" width="14.36328125" style="4" customWidth="1"/>
    <col min="203" max="203" width="10.453125" style="4" bestFit="1" customWidth="1"/>
    <col min="204" max="204" width="9.453125" style="4" bestFit="1" customWidth="1"/>
    <col min="205" max="206" width="10.453125" style="4" bestFit="1" customWidth="1"/>
    <col min="207" max="209" width="10.453125" style="4" customWidth="1"/>
    <col min="210" max="210" width="9" style="4" bestFit="1" customWidth="1"/>
    <col min="211" max="211" width="10.453125" style="4" bestFit="1" customWidth="1"/>
    <col min="212" max="212" width="9.36328125" style="4" bestFit="1" customWidth="1"/>
    <col min="213" max="213" width="11.6328125" style="4" bestFit="1" customWidth="1"/>
    <col min="214" max="214" width="8.453125" style="4" bestFit="1" customWidth="1"/>
    <col min="215" max="215" width="9.453125" style="4" bestFit="1" customWidth="1"/>
    <col min="216" max="216" width="9.6328125" style="4" bestFit="1" customWidth="1"/>
    <col min="217" max="217" width="11" style="4" bestFit="1" customWidth="1"/>
    <col min="218" max="218" width="9.453125" style="4" bestFit="1" customWidth="1"/>
    <col min="219" max="16384" width="11.453125" style="4"/>
  </cols>
  <sheetData>
    <row r="1" spans="1:218" ht="26.5" thickBot="1" x14ac:dyDescent="0.65">
      <c r="B1" s="287" t="s">
        <v>176</v>
      </c>
      <c r="C1" s="288"/>
      <c r="D1" s="288"/>
      <c r="E1" s="288"/>
      <c r="F1" s="288"/>
      <c r="G1" s="288"/>
      <c r="H1" s="289"/>
      <c r="I1" s="284" t="str">
        <f>IF('Données projet'!$B$9="","",'Données projet'!$B$9)</f>
        <v>Chêne sessile</v>
      </c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  <c r="Y1" s="285"/>
      <c r="Z1" s="285"/>
      <c r="AA1" s="285"/>
      <c r="AB1" s="285"/>
      <c r="AC1" s="286"/>
      <c r="AD1" s="285" t="str">
        <f>IF('Données projet'!$B$10="","",'Données projet'!$B$10)</f>
        <v>Chêne pubescent</v>
      </c>
      <c r="AE1" s="285"/>
      <c r="AF1" s="285"/>
      <c r="AG1" s="285"/>
      <c r="AH1" s="285"/>
      <c r="AI1" s="285"/>
      <c r="AJ1" s="285"/>
      <c r="AK1" s="285"/>
      <c r="AL1" s="285"/>
      <c r="AM1" s="285"/>
      <c r="AN1" s="285"/>
      <c r="AO1" s="285"/>
      <c r="AP1" s="285"/>
      <c r="AQ1" s="285"/>
      <c r="AR1" s="285"/>
      <c r="AS1" s="285"/>
      <c r="AT1" s="285"/>
      <c r="AU1" s="285"/>
      <c r="AV1" s="285"/>
      <c r="AW1" s="285"/>
      <c r="AX1" s="286"/>
      <c r="AY1" s="284" t="str">
        <f>IF('Données projet'!$B$11="","",'Données projet'!$B$11)</f>
        <v>Hêtre</v>
      </c>
      <c r="AZ1" s="285"/>
      <c r="BA1" s="285"/>
      <c r="BB1" s="285"/>
      <c r="BC1" s="285"/>
      <c r="BD1" s="285"/>
      <c r="BE1" s="285"/>
      <c r="BF1" s="285"/>
      <c r="BG1" s="285"/>
      <c r="BH1" s="285"/>
      <c r="BI1" s="285"/>
      <c r="BJ1" s="285"/>
      <c r="BK1" s="285"/>
      <c r="BL1" s="285"/>
      <c r="BM1" s="285"/>
      <c r="BN1" s="285"/>
      <c r="BO1" s="285"/>
      <c r="BP1" s="285"/>
      <c r="BQ1" s="285"/>
      <c r="BR1" s="285"/>
      <c r="BS1" s="286"/>
      <c r="BT1" s="284" t="str">
        <f>IF('Données projet'!$B$12="","",'Données projet'!$B$12)</f>
        <v>Cèdre de l'Atlas</v>
      </c>
      <c r="BU1" s="285"/>
      <c r="BV1" s="285"/>
      <c r="BW1" s="285"/>
      <c r="BX1" s="285"/>
      <c r="BY1" s="285"/>
      <c r="BZ1" s="285"/>
      <c r="CA1" s="285"/>
      <c r="CB1" s="285"/>
      <c r="CC1" s="285"/>
      <c r="CD1" s="285"/>
      <c r="CE1" s="285"/>
      <c r="CF1" s="285"/>
      <c r="CG1" s="285"/>
      <c r="CH1" s="285"/>
      <c r="CI1" s="285"/>
      <c r="CJ1" s="285"/>
      <c r="CK1" s="285"/>
      <c r="CL1" s="285"/>
      <c r="CM1" s="285"/>
      <c r="CN1" s="286"/>
      <c r="CO1" s="284" t="str">
        <f>IF('Données projet'!$B$13="","",'Données projet'!$B$13)</f>
        <v>Châtaignier</v>
      </c>
      <c r="CP1" s="285"/>
      <c r="CQ1" s="285"/>
      <c r="CR1" s="285"/>
      <c r="CS1" s="285"/>
      <c r="CT1" s="285"/>
      <c r="CU1" s="285"/>
      <c r="CV1" s="285"/>
      <c r="CW1" s="285"/>
      <c r="CX1" s="285"/>
      <c r="CY1" s="285"/>
      <c r="CZ1" s="285"/>
      <c r="DA1" s="285"/>
      <c r="DB1" s="285"/>
      <c r="DC1" s="285"/>
      <c r="DD1" s="285"/>
      <c r="DE1" s="285"/>
      <c r="DF1" s="285"/>
      <c r="DG1" s="285"/>
      <c r="DH1" s="285"/>
      <c r="DI1" s="286"/>
      <c r="DJ1" s="284" t="str">
        <f>IF('Données projet'!$B$14="","",'Données projet'!$B$14)</f>
        <v>Tilleul</v>
      </c>
      <c r="DK1" s="285"/>
      <c r="DL1" s="285"/>
      <c r="DM1" s="285"/>
      <c r="DN1" s="285"/>
      <c r="DO1" s="285"/>
      <c r="DP1" s="285"/>
      <c r="DQ1" s="285"/>
      <c r="DR1" s="285"/>
      <c r="DS1" s="285"/>
      <c r="DT1" s="285"/>
      <c r="DU1" s="285"/>
      <c r="DV1" s="285"/>
      <c r="DW1" s="285"/>
      <c r="DX1" s="285"/>
      <c r="DY1" s="285"/>
      <c r="DZ1" s="285"/>
      <c r="EA1" s="285"/>
      <c r="EB1" s="285"/>
      <c r="EC1" s="285"/>
      <c r="ED1" s="286"/>
      <c r="EE1" s="284" t="str">
        <f>IF('Données projet'!$B$15="","",'Données projet'!$B$15)</f>
        <v>Erable sycomore</v>
      </c>
      <c r="EF1" s="285"/>
      <c r="EG1" s="285"/>
      <c r="EH1" s="285"/>
      <c r="EI1" s="285"/>
      <c r="EJ1" s="285"/>
      <c r="EK1" s="285"/>
      <c r="EL1" s="285"/>
      <c r="EM1" s="285"/>
      <c r="EN1" s="285"/>
      <c r="EO1" s="285"/>
      <c r="EP1" s="285"/>
      <c r="EQ1" s="285"/>
      <c r="ER1" s="285"/>
      <c r="ES1" s="285"/>
      <c r="ET1" s="285"/>
      <c r="EU1" s="285"/>
      <c r="EV1" s="285"/>
      <c r="EW1" s="285"/>
      <c r="EX1" s="285"/>
      <c r="EY1" s="286"/>
      <c r="EZ1" s="284" t="str">
        <f>IF('Données projet'!$B$16="","",'Données projet'!$B$16)</f>
        <v>Noyer</v>
      </c>
      <c r="FA1" s="285"/>
      <c r="FB1" s="285"/>
      <c r="FC1" s="285"/>
      <c r="FD1" s="285"/>
      <c r="FE1" s="285"/>
      <c r="FF1" s="285"/>
      <c r="FG1" s="285"/>
      <c r="FH1" s="285"/>
      <c r="FI1" s="285"/>
      <c r="FJ1" s="285"/>
      <c r="FK1" s="285"/>
      <c r="FL1" s="285"/>
      <c r="FM1" s="285"/>
      <c r="FN1" s="285"/>
      <c r="FO1" s="285"/>
      <c r="FP1" s="285"/>
      <c r="FQ1" s="285"/>
      <c r="FR1" s="285"/>
      <c r="FS1" s="285"/>
      <c r="FT1" s="286"/>
      <c r="FU1" s="284" t="str">
        <f>IF('Données projet'!$B$17="","",'Données projet'!$B$17)</f>
        <v>Charme</v>
      </c>
      <c r="FV1" s="285"/>
      <c r="FW1" s="285"/>
      <c r="FX1" s="285"/>
      <c r="FY1" s="285"/>
      <c r="FZ1" s="285"/>
      <c r="GA1" s="285"/>
      <c r="GB1" s="285"/>
      <c r="GC1" s="285"/>
      <c r="GD1" s="285"/>
      <c r="GE1" s="285"/>
      <c r="GF1" s="285"/>
      <c r="GG1" s="285"/>
      <c r="GH1" s="285"/>
      <c r="GI1" s="285"/>
      <c r="GJ1" s="285"/>
      <c r="GK1" s="285"/>
      <c r="GL1" s="285"/>
      <c r="GM1" s="285"/>
      <c r="GN1" s="285"/>
      <c r="GO1" s="286"/>
      <c r="GP1" s="284" t="str">
        <f>IF('Données projet'!$B$18="","",'Données projet'!$B$18)</f>
        <v>Merisier</v>
      </c>
      <c r="GQ1" s="285"/>
      <c r="GR1" s="285"/>
      <c r="GS1" s="285"/>
      <c r="GT1" s="285"/>
      <c r="GU1" s="285"/>
      <c r="GV1" s="285"/>
      <c r="GW1" s="285"/>
      <c r="GX1" s="285"/>
      <c r="GY1" s="285"/>
      <c r="GZ1" s="285"/>
      <c r="HA1" s="285"/>
      <c r="HB1" s="285"/>
      <c r="HC1" s="285"/>
      <c r="HD1" s="285"/>
      <c r="HE1" s="285"/>
      <c r="HF1" s="285"/>
      <c r="HG1" s="285"/>
      <c r="HH1" s="285"/>
      <c r="HI1" s="285"/>
      <c r="HJ1" s="286"/>
    </row>
    <row r="2" spans="1:218" ht="58.5" thickBot="1" x14ac:dyDescent="0.4">
      <c r="A2" s="70" t="s">
        <v>178</v>
      </c>
      <c r="B2" s="71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5" t="s">
        <v>299</v>
      </c>
      <c r="I2" s="67" t="s">
        <v>298</v>
      </c>
      <c r="J2" s="68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8" t="s">
        <v>298</v>
      </c>
      <c r="AE2" s="68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7" t="s">
        <v>298</v>
      </c>
      <c r="AZ2" s="68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7" t="s">
        <v>298</v>
      </c>
      <c r="BU2" s="68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7" t="s">
        <v>298</v>
      </c>
      <c r="CP2" s="68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7" t="s">
        <v>298</v>
      </c>
      <c r="DK2" s="68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7" t="s">
        <v>298</v>
      </c>
      <c r="EF2" s="68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7" t="s">
        <v>298</v>
      </c>
      <c r="FA2" s="68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7" t="s">
        <v>298</v>
      </c>
      <c r="FV2" s="68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7" t="s">
        <v>298</v>
      </c>
      <c r="GQ2" s="68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5">
      <c r="A3" s="10">
        <v>0</v>
      </c>
      <c r="B3" s="72">
        <f>'Scénario référence'!$B$16*5+'Scénario référence'!$B$17*0+'Scénario référence'!$B$18*5</f>
        <v>5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66">
        <f>(B3+E3+F3)*44/12+(C3+D3)*0.475*44/12</f>
        <v>183.33333333333334</v>
      </c>
      <c r="I3" s="6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165</v>
      </c>
      <c r="S3" s="59">
        <f ca="1">AVERAGE(OFFSET($R$3,0,0,'Données projet'!$E$9+1,1))-AVERAGE(OFFSET($H$3,0,0,'Données projet'!$E$9+1,1))</f>
        <v>567.42635821507474</v>
      </c>
      <c r="T3" s="59">
        <f>IF('Données projet'!E9&gt;30,$R$33-$H$33,LOOKUP('Données projet'!$E$9,$A$3:$A$203,R3:R203)-LOOKUP('Données projet'!$E$9,$A$3:$A$203,$H$3:$H$203))</f>
        <v>299.04735309930152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165</v>
      </c>
      <c r="AN3" s="59">
        <f ca="1">AVERAGE(OFFSET($AM$3,0,0,'Données projet'!$E$10+1,1))-AVERAGE(OFFSET($H$3,0,0,'Données projet'!$E$10+1,1))</f>
        <v>626.09203985591455</v>
      </c>
      <c r="AO3" s="59">
        <f>IF('Données projet'!E10&gt;30,$AM$33-$H$33,LOOKUP('Données projet'!$E$10,$A$3:$A$203,AM3:AM203)-LOOKUP('Données projet'!$E$10,$A$3:$A$203,$H$3:$H$203))</f>
        <v>327.65191296575199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165</v>
      </c>
      <c r="BI3" s="59">
        <f ca="1">AVERAGE(OFFSET($BH$3,0,0,'Données projet'!$E$11+1,1))-AVERAGE(OFFSET($H$3,0,0,'Données projet'!$E$11+1,1))</f>
        <v>481.23392184981651</v>
      </c>
      <c r="BJ3" s="59">
        <f>IF('Données projet'!E11&gt;30,$BH$33-$H$33,LOOKUP('Données projet'!$E$11,$A$3:$A$203,BH3:BH203)-LOOKUP('Données projet'!$E$11,$A$3:$A$203,$H$3:$H$203))</f>
        <v>275.88160405468193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165</v>
      </c>
      <c r="CD3" s="59">
        <f ca="1">AVERAGE(OFFSET($CC$3,0,0,'Données projet'!$E$12+1,1))-AVERAGE(OFFSET($H$3,0,0,'Données projet'!$E$12+1,1))</f>
        <v>331.86732359395467</v>
      </c>
      <c r="CE3" s="59">
        <f>IF('Données projet'!E12&gt;30,$CC$33-$H$33,LOOKUP('Données projet'!$E$12,$A$3:$A$203,CC3:CC203)-LOOKUP('Données projet'!$E$12,$A$3:$A$203,$H$3:$H$203))</f>
        <v>208.64489375183106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165</v>
      </c>
      <c r="CY3" s="59">
        <f ca="1">AVERAGE(OFFSET($CX$3,0,0,'Données projet'!$E$13+1,1))-AVERAGE(OFFSET($H$3,0,0,'Données projet'!$E$13+1,1))</f>
        <v>352.45777291109863</v>
      </c>
      <c r="CZ3" s="59">
        <f>IF('Données projet'!E13&gt;30,$CX$33-$H$33,LOOKUP('Données projet'!$E$13,$A$3:$A$203,CX3:CX203)-LOOKUP('Données projet'!$E$13,$A$3:$A$203,$H$3:$H$203))</f>
        <v>340.92165104349181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165</v>
      </c>
      <c r="DT3" s="59">
        <f ca="1">AVERAGE(OFFSET($DS$3,0,0,'Données projet'!$E$14+1,1))-AVERAGE(OFFSET($H$3,0,0,'Données projet'!$E$14+1,1))</f>
        <v>441.20130048888439</v>
      </c>
      <c r="DU3" s="59">
        <f>IF('Données projet'!E14&gt;30,$DS$33-$H$33,LOOKUP('Données projet'!$E$14,$A$3:$A$203,DS3:DS203)-LOOKUP('Données projet'!$E$14,$A$3:$A$203,$H$3:$H$203))</f>
        <v>237.47732532183946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>
        <f>EJ3*VLOOKUP('Données projet'!$B$15,Paramètres!$A$1:$I$89,3,0)*VLOOKUP('Données projet'!$B$15,Paramètres!$A$1:$I$89,5,0)</f>
        <v>0</v>
      </c>
      <c r="EL3" s="12">
        <v>0</v>
      </c>
      <c r="EM3" s="14">
        <f>(EK3+EL3)*0.475*44/12</f>
        <v>0</v>
      </c>
      <c r="EN3" s="59">
        <f>EM3+(EE3+EF3)*44/12</f>
        <v>165</v>
      </c>
      <c r="EO3" s="59">
        <f ca="1">AVERAGE(OFFSET($EN$3,0,0,'Données projet'!$E$15+1,1))-AVERAGE(OFFSET($H$3,0,0,'Données projet'!$E$15+1,1))</f>
        <v>377.27600411578322</v>
      </c>
      <c r="EP3" s="59">
        <f>IF('Données projet'!E15&gt;30,$EN$33-$H$33,LOOKUP('Données projet'!$E$15,$A$3:$A$203,EN3:EN203)-LOOKUP('Données projet'!$E$15,$A$3:$A$203,$H$3:$H$203))</f>
        <v>364.58250627635425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>
        <f>FE3*VLOOKUP('Données projet'!$B$16,Paramètres!$A$1:$I$89,3,0)*VLOOKUP('Données projet'!$B$16,Paramètres!$A$1:$I$89,5,0)</f>
        <v>0</v>
      </c>
      <c r="FG3" s="12">
        <v>0</v>
      </c>
      <c r="FH3" s="14">
        <f>(FF3+FG3)*0.475*44/12</f>
        <v>0</v>
      </c>
      <c r="FI3" s="59">
        <f>FH3+(EZ3+FA3)*44/12</f>
        <v>165</v>
      </c>
      <c r="FJ3" s="59">
        <f ca="1">AVERAGE(OFFSET($FI$3,0,0,'Données projet'!$E$16+1,1))-AVERAGE(OFFSET($H$3,0,0,'Données projet'!$E$16+1,1))</f>
        <v>383.47399633251354</v>
      </c>
      <c r="FK3" s="59">
        <f>IF('Données projet'!E16&gt;30,$FI$33-$H$33,LOOKUP('Données projet'!$E$16,$A$3:$A$203,FI3:FI203)-LOOKUP('Données projet'!$E$16,$A$3:$A$203,$H$3:$H$203))</f>
        <v>370.49129421395628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>
        <f>FZ3*VLOOKUP('Données projet'!$B$17,Paramètres!$A$1:$I$89,3,0)*VLOOKUP('Données projet'!$B$17,Paramètres!$A$1:$I$89,5,0)</f>
        <v>0</v>
      </c>
      <c r="GB3" s="12">
        <v>0</v>
      </c>
      <c r="GC3" s="14">
        <f>(GA3+GB3)*0.475*44/12</f>
        <v>0</v>
      </c>
      <c r="GD3" s="59">
        <f>GC3+(FU3+FV3)*44/12</f>
        <v>165</v>
      </c>
      <c r="GE3" s="59">
        <f ca="1">AVERAGE(OFFSET($GD$3,0,0,'Données projet'!$E$17+1,1))-AVERAGE(OFFSET($H$3,0,0,'Données projet'!$E$17+1,1))</f>
        <v>592.58528889137358</v>
      </c>
      <c r="GF3" s="59">
        <f>IF('Données projet'!E17&gt;30,$GD$33-$H$33,LOOKUP('Données projet'!$E$17,$A$3:$A$203,GD3:GD203)-LOOKUP('Données projet'!$E$17,$A$3:$A$203,$H$3:$H$203))</f>
        <v>311.31528020403709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>
        <f>GU3*VLOOKUP('Données projet'!$B$18,Paramètres!$A$1:$I$89,3,0)*VLOOKUP('Données projet'!$B$18,Paramètres!$A$1:$I$89,5,0)</f>
        <v>0</v>
      </c>
      <c r="GW3" s="12">
        <v>0</v>
      </c>
      <c r="GX3" s="14">
        <f>(GV3+GW3)*0.475*44/12</f>
        <v>0</v>
      </c>
      <c r="GY3" s="59">
        <f>GX3+(GP3+GQ3)*44/12</f>
        <v>165</v>
      </c>
      <c r="GZ3" s="59">
        <f ca="1">AVERAGE(OFFSET($GY$3,0,0,'Données projet'!$E$18+1,1))-AVERAGE(OFFSET($H$3,0,0,'Données projet'!$E$18+1,1))</f>
        <v>308.85018589589453</v>
      </c>
      <c r="HA3" s="59">
        <f>IF('Données projet'!E18&gt;30,$GY$33-$H$33,LOOKUP('Données projet'!$E$18,$A$3:$A$203,GY3:GY203)-LOOKUP('Données projet'!$E$18,$A$3:$A$203,$H$3:$H$203))</f>
        <v>302.59481222418219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5">
      <c r="A4" s="10">
        <f>A3+1</f>
        <v>1</v>
      </c>
      <c r="B4" s="72">
        <f>'Scénario référence'!$B$16*5+'Scénario référence'!$B$17*0+'Scénario référence'!$B$18*5</f>
        <v>5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66">
        <f t="shared" ref="H4:H67" si="1">(B4+E4+F4)*44/12+(C4+D4)*0.475*44/12</f>
        <v>183.33333333333334</v>
      </c>
      <c r="I4" s="6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4.0628205133333335</v>
      </c>
      <c r="N4" s="13">
        <f>IF('Données projet'!$A$36&gt;35,N3+M4-V3,IF(A4&lt;'Données projet'!$A$36,$K$205^A4,IF(A4='Données projet'!$A$36,'Données projet'!$B$36,N3+M4-V3)))</f>
        <v>1.1736311550493581</v>
      </c>
      <c r="O4" s="13">
        <f>N4*VLOOKUP('Données projet'!$B$9,Paramètres!$A$1:$I$89,3,0)*VLOOKUP('Données projet'!$B$9,Paramètres!$A$1:$I$89,5,0)</f>
        <v>1.0619014690886592</v>
      </c>
      <c r="P4" s="13">
        <f>EXP(-1.0587+0.8836*LN(O4)+0.284)</f>
        <v>0.48595950733071469</v>
      </c>
      <c r="Q4" s="20">
        <f t="shared" ref="Q4:Q34" si="2">(O4+P4)*0.475*44/12</f>
        <v>2.6958578672637423</v>
      </c>
      <c r="R4" s="59">
        <f t="shared" si="0"/>
        <v>170.50829182018759</v>
      </c>
      <c r="S4" s="59">
        <f ca="1">AVERAGE(OFFSET($R$3,0,0,'Données projet'!$E$9+1,1))-AVERAGE(OFFSET($H$3,0,0,'Données projet'!$E$9+1,1))</f>
        <v>567.42635821507474</v>
      </c>
      <c r="T4" s="59">
        <f>$T$3</f>
        <v>299.04735309930152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4.0628205133333335</v>
      </c>
      <c r="AI4" s="13">
        <f>IF('Données projet'!$A$62&gt;35,AI3+AH4-AQ3,IF(A4&lt;'Données projet'!$A$62,$AF$205^A4,IF(A4='Données projet'!$A$62,'Données projet'!$B$62,AI3+AH4-AQ3)))</f>
        <v>1.1736311550493581</v>
      </c>
      <c r="AJ4" s="13">
        <f>AI4*VLOOKUP('Données projet'!$B$10,Paramètres!$A$1:$I$89,3,0)*VLOOKUP('Données projet'!$B$10,Paramètres!$A$1:$I$89,5,0)</f>
        <v>1.1900619912200492</v>
      </c>
      <c r="AK4" s="13">
        <f>EXP(-1.0587+0.8836*LN(AJ4)+0.284)</f>
        <v>0.53743426225495639</v>
      </c>
      <c r="AL4" s="20">
        <f t="shared" ref="AL4:AL67" si="4">(AJ4+AK4)*0.475*44/12</f>
        <v>3.0087226414689678</v>
      </c>
      <c r="AM4" s="59">
        <f t="shared" ref="AM4:AM67" si="5">AL4+(AD4+AE4)*44/12</f>
        <v>170.82115659439282</v>
      </c>
      <c r="AN4" s="59">
        <f ca="1">AVERAGE(OFFSET($AM$3,0,0,'Données projet'!$E$10+1,1))-AVERAGE(OFFSET($H$3,0,0,'Données projet'!$E$10+1,1))</f>
        <v>626.09203985591455</v>
      </c>
      <c r="AO4" s="59">
        <f>$AO$3</f>
        <v>327.65191296575199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1.6</v>
      </c>
      <c r="BD4" s="12">
        <f>IF('Données projet'!$A$88&gt;35,BD3+BC4-BL3,IF(A4&lt;'Données projet'!$A$88,$BA$205^A4,IF(A4='Données projet'!$A$88,'Données projet'!$B$88,BD3+BC4-BL3)))</f>
        <v>1.189207115002721</v>
      </c>
      <c r="BE4" s="13">
        <f>BD4*VLOOKUP('Données projet'!$B$11,Paramètres!$A$1:$I$89,3,0)*VLOOKUP('Données projet'!$B$11,Paramètres!$A$1:$I$89,5,0)</f>
        <v>1.0203397046723348</v>
      </c>
      <c r="BF4" s="13">
        <f>EXP(-1.0587+0.8836*LN(BE4)+0.284)</f>
        <v>0.46911460970544039</v>
      </c>
      <c r="BG4" s="20">
        <f t="shared" ref="BG4:BG67" si="7">(BE4+BF4)*0.475*44/12</f>
        <v>2.594132930874625</v>
      </c>
      <c r="BH4" s="59">
        <f t="shared" ref="BH4:BH67" si="8">BG4+(AY4+AZ4)*44/12</f>
        <v>170.40656688379846</v>
      </c>
      <c r="BI4" s="59">
        <f ca="1">AVERAGE(OFFSET($BH$3,0,0,'Données projet'!$E$11+1,1))-AVERAGE(OFFSET($H$3,0,0,'Données projet'!$E$11+1,1))</f>
        <v>481.23392184981651</v>
      </c>
      <c r="BJ4" s="59">
        <f>$BJ$3</f>
        <v>275.88160405468193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4.8773333333333335</v>
      </c>
      <c r="BY4" s="12">
        <f>IF('Données projet'!$A$114&gt;35,BY3+BX4-CG3,IF(A4&lt;'Données projet'!$A$114,$BV$205^A4,IF(A4='Données projet'!$A$114,'Données projet'!$B$114,BY3+BX4-CG3)))</f>
        <v>1.1808012106418171</v>
      </c>
      <c r="BZ4" s="13">
        <f>BY4*VLOOKUP('Données projet'!$B$12,Paramètres!$A$1:$I$89,3,0)*VLOOKUP('Données projet'!$B$12,Paramètres!$A$1:$I$89,5,0)</f>
        <v>0.55261496658037046</v>
      </c>
      <c r="CA4" s="13">
        <f>EXP(-1.0587+0.8836*LN(BZ4)+0.284)</f>
        <v>0.27287057878313026</v>
      </c>
      <c r="CB4" s="20">
        <f t="shared" ref="CB4:CB67" si="10">(BZ4+CA4)*0.475*44/12</f>
        <v>1.4377206581747635</v>
      </c>
      <c r="CC4" s="59">
        <f t="shared" ref="CC4:CC67" si="11">CB4+(BT4+BU4)*44/12</f>
        <v>169.25015461109859</v>
      </c>
      <c r="CD4" s="59">
        <f ca="1">AVERAGE(OFFSET($CC$3,0,0,'Données projet'!$E$12+1,1))-AVERAGE(OFFSET($H$3,0,0,'Données projet'!$E$12+1,1))</f>
        <v>331.86732359395467</v>
      </c>
      <c r="CE4" s="59">
        <f>$CE$3</f>
        <v>208.64489375183106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1.1000000000000001</v>
      </c>
      <c r="CT4" s="12">
        <f>IF('Données projet'!$A$140&gt;35,CT3+CS4-DB3,IF(A4&lt;'Données projet'!$A$140,$CQ$205^A4,IF(A4='Données projet'!$A$140,'Données projet'!$B$140,CT3+CS4-DB3)))</f>
        <v>1.2709816152101407</v>
      </c>
      <c r="CU4" s="17">
        <f>CT4*VLOOKUP('Données projet'!$B$13,Paramètres!$A$1:$I$89,3,0)*VLOOKUP('Données projet'!$B$13,Paramètres!$A$1:$I$89,5,0)</f>
        <v>0.93188372027207511</v>
      </c>
      <c r="CV4" s="13">
        <f>EXP(-1.0587+0.8836*LN(CU4)+0.284)</f>
        <v>0.43299221190803017</v>
      </c>
      <c r="CW4" s="20">
        <f t="shared" ref="CW4:CW67" si="13">(CU4+CV4)*0.475*44/12</f>
        <v>2.3771589152136832</v>
      </c>
      <c r="CX4" s="59">
        <f t="shared" ref="CX4:CX67" si="14">CW4+(CO4+CP4)*44/12</f>
        <v>170.18959286813751</v>
      </c>
      <c r="CY4" s="59">
        <f ca="1">AVERAGE(OFFSET($CX$3,0,0,'Données projet'!$E$13+1,1))-AVERAGE(OFFSET($H$3,0,0,'Données projet'!$E$13+1,1))</f>
        <v>352.45777291109863</v>
      </c>
      <c r="CZ4" s="59">
        <f>$CZ$3</f>
        <v>340.92165104349181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4.0628205133333335</v>
      </c>
      <c r="DO4" s="12">
        <f>IF('Données projet'!$A$166&gt;35,DO3+DN4-DW3,IF(A4&lt;'Données projet'!$A$166,$DL$205^A4,IF(A4='Données projet'!$A$166,'Données projet'!$B$166,DO3+DN4-DW3)))</f>
        <v>1.1736311550493581</v>
      </c>
      <c r="DP4" s="17">
        <f>DO4*VLOOKUP('Données projet'!$B$14,Paramètres!$A$1:$I$89,3,0)*VLOOKUP('Données projet'!$B$14,Paramètres!$A$1:$I$89,5,0)</f>
        <v>0.78727177880710952</v>
      </c>
      <c r="DQ4" s="13">
        <f>EXP(-1.0587+0.8836*LN(DP4)+0.284)</f>
        <v>0.37305067946279791</v>
      </c>
      <c r="DR4" s="20">
        <f t="shared" ref="DR4:DR67" si="16">(DP4+DQ4)*0.475*44/12</f>
        <v>2.0208949481534222</v>
      </c>
      <c r="DS4" s="59">
        <f t="shared" ref="DS4:DS67" si="17">DR4+(DJ4+DK4)*44/12</f>
        <v>169.83332890107727</v>
      </c>
      <c r="DT4" s="59">
        <f ca="1">AVERAGE(OFFSET($DS$3,0,0,'Données projet'!$E$14+1,1))-AVERAGE(OFFSET($H$3,0,0,'Données projet'!$E$14+1,1))</f>
        <v>441.20130048888439</v>
      </c>
      <c r="DU4" s="59">
        <f>$DU$3</f>
        <v>237.47732532183946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1.1000000000000001</v>
      </c>
      <c r="EJ4" s="12">
        <f>IF('Données projet'!$A$192&gt;35,EJ3+EI4-ER3,IF(A4&lt;'Données projet'!$A$192,$EG$205^A4,IF(A4='Données projet'!$A$192,'Données projet'!$B$192,EJ3+EI4-ER3)))</f>
        <v>1.2709816152101407</v>
      </c>
      <c r="EK4" s="17">
        <f>EJ4*VLOOKUP('Données projet'!$B$15,Paramètres!$A$1:$I$89,3,0)*VLOOKUP('Données projet'!$B$15,Paramètres!$A$1:$I$89,5,0)</f>
        <v>1.0111929730611879</v>
      </c>
      <c r="EL4" s="13">
        <f>EXP(-1.0587+0.8836*LN(EK4)+0.284)</f>
        <v>0.46539683474213156</v>
      </c>
      <c r="EM4" s="20">
        <f t="shared" ref="EM4:EM67" si="19">(EK4+EL4)*0.475*44/12</f>
        <v>2.5717272485907814</v>
      </c>
      <c r="EN4" s="59">
        <f t="shared" ref="EN4:EN67" si="20">EM4+(EE4+EF4)*44/12</f>
        <v>170.38416120151462</v>
      </c>
      <c r="EO4" s="59">
        <f ca="1">AVERAGE(OFFSET($EN$3,0,0,'Données projet'!$E$15+1,1))-AVERAGE(OFFSET($H$3,0,0,'Données projet'!$E$15+1,1))</f>
        <v>377.27600411578322</v>
      </c>
      <c r="EP4" s="59">
        <f>$EP$3</f>
        <v>364.58250627635425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>
        <f>EXP(-LN(2)/35)*EV3+(1-EXP(-LN(2)/35))/(LN(2)/35)*ER4*ES4*VLOOKUP('Données projet'!$B$15,Paramètres!$A$1:$I$89,3,0)*0.475*44/12</f>
        <v>0</v>
      </c>
      <c r="EW4" s="21">
        <f>EXP(-LN(2)/25)*EW3+(1-EXP(-LN(2)/25))/(LN(2)/25)*Calculateur!ER4*Calculateur!ET4*VLOOKUP('Données projet'!$B$15,Paramètres!$A$1:$I$89,3,0)*0.475*44/12</f>
        <v>0</v>
      </c>
      <c r="EX4" s="21">
        <f>EXP(-LN(2)/2)*EX3+(1-EXP(-LN(2)/2))/(LN(2)/2)*ER4*EU4*VLOOKUP('Données projet'!$B$15,Paramètres!$A$1:$I$89,3,0)*0.475*44/12</f>
        <v>0</v>
      </c>
      <c r="EY4" s="22">
        <f t="shared" ref="EY4:EY67" si="21">SUM(EV4:EX4)</f>
        <v>0</v>
      </c>
      <c r="EZ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1.1000000000000001</v>
      </c>
      <c r="FE4" s="12">
        <f>IF('Données projet'!$A$218&gt;35,FE3+FD4-FM3,IF(A4&lt;'Données projet'!$A$218,$FB$205^A4,IF(A4='Données projet'!$A$218,'Données projet'!$B$218,FE3+FD4-FM3)))</f>
        <v>1.2709816152101407</v>
      </c>
      <c r="FF4" s="17">
        <f>FE4*VLOOKUP('Données projet'!$B$16,Paramètres!$A$1:$I$89,3,0)*VLOOKUP('Données projet'!$B$16,Paramètres!$A$1:$I$89,5,0)</f>
        <v>1.0310202862584663</v>
      </c>
      <c r="FG4" s="13">
        <f>EXP(-1.0587+0.8836*LN(FF4)+0.284)</f>
        <v>0.47345092792653765</v>
      </c>
      <c r="FH4" s="20">
        <f t="shared" ref="FH4:FH67" si="22">(FF4+FG4)*0.475*44/12</f>
        <v>2.6202873647055487</v>
      </c>
      <c r="FI4" s="59">
        <f t="shared" ref="FI4:FI67" si="23">FH4+(EZ4+FA4)*44/12</f>
        <v>170.43272131762939</v>
      </c>
      <c r="FJ4" s="59">
        <f ca="1">AVERAGE(OFFSET($FI$3,0,0,'Données projet'!$E$16+1,1))-AVERAGE(OFFSET($H$3,0,0,'Données projet'!$E$16+1,1))</f>
        <v>383.47399633251354</v>
      </c>
      <c r="FK4" s="59">
        <f>$FK$3</f>
        <v>370.49129421395628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>
        <f>EXP(-LN(2)/35)*FQ3+(1-EXP(-LN(2)/35))/(LN(2)/35)*FM4*FN4*VLOOKUP('Données projet'!$B$16,Paramètres!$A$1:$I$89,3,0)*0.475*44/12</f>
        <v>0</v>
      </c>
      <c r="FR4" s="21">
        <f>EXP(-LN(2)/25)*FR3+(1-EXP(-LN(2)/25))/(LN(2)/25)*Calculateur!FM4*Calculateur!FO4*VLOOKUP('Données projet'!$B$16,Paramètres!$A$1:$I$89,3,0)*0.475*44/12</f>
        <v>0</v>
      </c>
      <c r="FS4" s="21">
        <f>EXP(-LN(2)/2)*FS3+(1-EXP(-LN(2)/2))/(LN(2)/2)*FM4*FP4*VLOOKUP('Données projet'!$B$16,Paramètres!$A$1:$I$89,3,0)*0.475*44/12</f>
        <v>0</v>
      </c>
      <c r="FT4" s="22">
        <f t="shared" ref="FT4:FT67" si="24">SUM(FQ4:FS4)</f>
        <v>0</v>
      </c>
      <c r="FU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4.0628205133333335</v>
      </c>
      <c r="FZ4" s="12">
        <f>IF('Données projet'!$A$244&gt;35,FZ3+FY4-GH3,IF(A4&lt;'Données projet'!$A$244,$FW$205^A4,IF(A4='Données projet'!$A$244,'Données projet'!$B$244,FZ3+FY4-GH3)))</f>
        <v>1.1736311550493581</v>
      </c>
      <c r="GA4" s="17">
        <f>FZ4*VLOOKUP('Données projet'!$B$17,Paramètres!$A$1:$I$89,3,0)*VLOOKUP('Données projet'!$B$17,Paramètres!$A$1:$I$89,5,0)</f>
        <v>1.1168274071449693</v>
      </c>
      <c r="GB4" s="13">
        <f>EXP(-1.0587+0.8836*LN(GA4)+0.284)</f>
        <v>0.50810392551691341</v>
      </c>
      <c r="GC4" s="20">
        <f t="shared" ref="GC4:GC67" si="25">(GA4+GB4)*0.475*44/12</f>
        <v>2.8300887377194459</v>
      </c>
      <c r="GD4" s="59">
        <f t="shared" ref="GD4:GD67" si="26">GC4+(FU4+FV4)*44/12</f>
        <v>170.64252269064329</v>
      </c>
      <c r="GE4" s="59">
        <f ca="1">AVERAGE(OFFSET($GD$3,0,0,'Données projet'!$E$17+1,1))-AVERAGE(OFFSET($H$3,0,0,'Données projet'!$E$17+1,1))</f>
        <v>592.58528889137358</v>
      </c>
      <c r="GF4" s="59">
        <f>$GF$3</f>
        <v>311.31528020403709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>
        <f>EXP(-LN(2)/35)*GL3+(1-EXP(-LN(2)/35))/(LN(2)/35)*GH4*GI4*VLOOKUP('Données projet'!$B$17,Paramètres!$A$1:$I$89,3,0)*0.475*44/12</f>
        <v>0</v>
      </c>
      <c r="GM4" s="21">
        <f>EXP(-LN(2)/25)*GM3+(1-EXP(-LN(2)/25))/(LN(2)/25)*Calculateur!GH4*Calculateur!GJ4*VLOOKUP('Données projet'!$B$17,Paramètres!$A$1:$I$89,3,0)*0.475*44/12</f>
        <v>0</v>
      </c>
      <c r="GN4" s="21">
        <f>EXP(-LN(2)/2)*GN3+(1-EXP(-LN(2)/2))/(LN(2)/2)*GH4*GK4*VLOOKUP('Données projet'!$B$17,Paramètres!$A$1:$I$89,3,0)*0.475*44/12</f>
        <v>0</v>
      </c>
      <c r="GO4" s="21">
        <f t="shared" ref="GO4:GO67" si="27">SUM(GL4:GN4)</f>
        <v>0</v>
      </c>
      <c r="GP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2.6666666666666665</v>
      </c>
      <c r="GU4" s="12">
        <f>IF('Données projet'!$A$270&gt;35,GU3+GT4-HC3,IF(A4&lt;'Données projet'!$A$270,$GR$205^A4,IF(A4='Données projet'!$A$270,'Données projet'!$B$270,GU3+GT4-HC3)))</f>
        <v>1.2788040393997409</v>
      </c>
      <c r="GV4" s="17">
        <f>GU4*VLOOKUP('Données projet'!$B$18,Paramètres!$A$1:$I$89,3,0)*VLOOKUP('Données projet'!$B$18,Paramètres!$A$1:$I$89,5,0)</f>
        <v>0.99746715073179792</v>
      </c>
      <c r="GW4" s="13">
        <f>EXP(-1.0587+0.8836*LN(GV4)+0.284)</f>
        <v>0.45981048445793882</v>
      </c>
      <c r="GX4" s="20">
        <f t="shared" ref="GX4:GX67" si="28">(GV4+GW4)*0.475*44/12</f>
        <v>2.5380918812887914</v>
      </c>
      <c r="GY4" s="59">
        <f t="shared" ref="GY4:GY67" si="29">GX4+(GP4+GQ4)*44/12</f>
        <v>170.35052583421262</v>
      </c>
      <c r="GZ4" s="59">
        <f ca="1">AVERAGE(OFFSET($GY$3,0,0,'Données projet'!$E$18+1,1))-AVERAGE(OFFSET($H$3,0,0,'Données projet'!$E$18+1,1))</f>
        <v>308.85018589589453</v>
      </c>
      <c r="HA4" s="59">
        <f>$HA$3</f>
        <v>302.59481222418219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>
        <f>EXP(-LN(2)/35)*HG3+(1-EXP(-LN(2)/35))/(LN(2)/35)*HC4*HD4*VLOOKUP('Données projet'!$B$18,Paramètres!$A$1:$I$89,3,0)*0.475*44/12</f>
        <v>0</v>
      </c>
      <c r="HH4" s="21">
        <f>EXP(-LN(2)/25)*HH3+(1-EXP(-LN(2)/25))/(LN(2)/25)*Calculateur!HC4*Calculateur!HE4*VLOOKUP('Données projet'!$B$18,Paramètres!$A$1:$I$89,3,0)*0.475*44/12</f>
        <v>0</v>
      </c>
      <c r="HI4" s="21">
        <f>EXP(-LN(2)/2)*HI3+(1-EXP(-LN(2)/2))/(LN(2)/2)*HC4*HF4*VLOOKUP('Données projet'!$B$18,Paramètres!$A$1:$I$89,3,0)*0.475*44/12</f>
        <v>0</v>
      </c>
      <c r="HJ4" s="22">
        <f t="shared" ref="HJ4:HJ67" si="30">SUM(HG4:HI4)</f>
        <v>0</v>
      </c>
    </row>
    <row r="5" spans="1:218" x14ac:dyDescent="0.35">
      <c r="A5" s="10">
        <f t="shared" ref="A5:A68" si="31">A4+1</f>
        <v>2</v>
      </c>
      <c r="B5" s="72">
        <f>'Scénario référence'!$B$16*5+'Scénario référence'!$B$17*0+'Scénario référence'!$B$18*5</f>
        <v>5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66">
        <f t="shared" si="1"/>
        <v>183.33333333333334</v>
      </c>
      <c r="I5" s="6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4.0628205133333335</v>
      </c>
      <c r="N5" s="13">
        <f>IF('Données projet'!$A$36&gt;35,N4+M5-V4,IF(A5&lt;'Données projet'!$A$36,$K$205^A5,IF(A5='Données projet'!$A$36,'Données projet'!$B$36,N4+M5-V4)))</f>
        <v>1.3774100881024904</v>
      </c>
      <c r="O5" s="13">
        <f>N5*VLOOKUP('Données projet'!$B$9,Paramètres!$A$1:$I$89,3,0)*VLOOKUP('Données projet'!$B$9,Paramètres!$A$1:$I$89,5,0)</f>
        <v>1.2462806477151334</v>
      </c>
      <c r="P5" s="13">
        <f t="shared" ref="P5:P68" si="33">EXP(-1.0587+0.8836*LN(O5)+0.284)</f>
        <v>0.55980687934033857</v>
      </c>
      <c r="Q5" s="20">
        <f t="shared" si="2"/>
        <v>3.1456024429549463</v>
      </c>
      <c r="R5" s="59">
        <f t="shared" si="0"/>
        <v>173.74288373045579</v>
      </c>
      <c r="S5" s="59">
        <f ca="1">AVERAGE(OFFSET($R$3,0,0,'Données projet'!$E$9+1,1))-AVERAGE(OFFSET($H$3,0,0,'Données projet'!$E$9+1,1))</f>
        <v>567.42635821507474</v>
      </c>
      <c r="T5" s="59">
        <f t="shared" ref="T5:T68" si="34">$T$3</f>
        <v>299.04735309930152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4.0628205133333335</v>
      </c>
      <c r="AI5" s="13">
        <f>IF('Données projet'!$A$62&gt;35,AI4+AH5-AQ4,IF(A5&lt;'Données projet'!$A$62,$AF$205^A5,IF(A5='Données projet'!$A$62,'Données projet'!$B$62,AI4+AH5-AQ4)))</f>
        <v>1.3774100881024904</v>
      </c>
      <c r="AJ5" s="13">
        <f>AI5*VLOOKUP('Données projet'!$B$10,Paramètres!$A$1:$I$89,3,0)*VLOOKUP('Données projet'!$B$10,Paramètres!$A$1:$I$89,5,0)</f>
        <v>1.3966938293359255</v>
      </c>
      <c r="AK5" s="13">
        <f t="shared" ref="AK5:AK68" si="35">EXP(-1.0587+0.8836*LN(AJ5)+0.284)</f>
        <v>0.61910384026868615</v>
      </c>
      <c r="AL5" s="20">
        <f t="shared" si="4"/>
        <v>3.5108476078946986</v>
      </c>
      <c r="AM5" s="59">
        <f t="shared" si="5"/>
        <v>174.10812889539554</v>
      </c>
      <c r="AN5" s="59">
        <f ca="1">AVERAGE(OFFSET($AM$3,0,0,'Données projet'!$E$10+1,1))-AVERAGE(OFFSET($H$3,0,0,'Données projet'!$E$10+1,1))</f>
        <v>626.09203985591455</v>
      </c>
      <c r="AO5" s="59">
        <f t="shared" ref="AO5:AO68" si="36">$AO$3</f>
        <v>327.65191296575199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1.6</v>
      </c>
      <c r="BD5" s="12">
        <f>IF('Données projet'!$A$88&gt;35,BD4+BC5-BL4,IF(A5&lt;'Données projet'!$A$88,$BA$205^A5,IF(A5='Données projet'!$A$88,'Données projet'!$B$88,BD4+BC5-BL4)))</f>
        <v>1.4142135623730949</v>
      </c>
      <c r="BE5" s="13">
        <f>BD5*VLOOKUP('Données projet'!$B$11,Paramètres!$A$1:$I$89,3,0)*VLOOKUP('Données projet'!$B$11,Paramètres!$A$1:$I$89,5,0)</f>
        <v>1.2133952365161156</v>
      </c>
      <c r="BF5" s="13">
        <f t="shared" ref="BF5:BF68" si="37">EXP(-1.0587+0.8836*LN(BE5)+0.284)</f>
        <v>0.54673450619692521</v>
      </c>
      <c r="BG5" s="20">
        <f t="shared" si="7"/>
        <v>3.0655593018918794</v>
      </c>
      <c r="BH5" s="59">
        <f t="shared" si="8"/>
        <v>173.66284058939272</v>
      </c>
      <c r="BI5" s="59">
        <f ca="1">AVERAGE(OFFSET($BH$3,0,0,'Données projet'!$E$11+1,1))-AVERAGE(OFFSET($H$3,0,0,'Données projet'!$E$11+1,1))</f>
        <v>481.23392184981651</v>
      </c>
      <c r="BJ5" s="59">
        <f t="shared" ref="BJ5:BJ68" si="38">$BJ$3</f>
        <v>275.88160405468193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4.8773333333333335</v>
      </c>
      <c r="BY5" s="12">
        <f>IF('Données projet'!$A$114&gt;35,BY4+BX5-CG4,IF(A5&lt;'Données projet'!$A$114,$BV$205^A5,IF(A5='Données projet'!$A$114,'Données projet'!$B$114,BY4+BX5-CG4)))</f>
        <v>1.3942914990531809</v>
      </c>
      <c r="BZ5" s="13">
        <f>BY5*VLOOKUP('Données projet'!$B$12,Paramètres!$A$1:$I$89,3,0)*VLOOKUP('Données projet'!$B$12,Paramètres!$A$1:$I$89,5,0)</f>
        <v>0.65252842155688862</v>
      </c>
      <c r="CA5" s="13">
        <f t="shared" ref="CA5:CA68" si="39">EXP(-1.0587+0.8836*LN(BZ5)+0.284)</f>
        <v>0.31603277419850306</v>
      </c>
      <c r="CB5" s="20">
        <f t="shared" si="10"/>
        <v>1.6869107492739737</v>
      </c>
      <c r="CC5" s="59">
        <f t="shared" si="11"/>
        <v>172.28419203677481</v>
      </c>
      <c r="CD5" s="59">
        <f ca="1">AVERAGE(OFFSET($CC$3,0,0,'Données projet'!$E$12+1,1))-AVERAGE(OFFSET($H$3,0,0,'Données projet'!$E$12+1,1))</f>
        <v>331.86732359395467</v>
      </c>
      <c r="CE5" s="59">
        <f t="shared" ref="CE5:CE68" si="40">$CE$3</f>
        <v>208.64489375183106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1.1000000000000001</v>
      </c>
      <c r="CT5" s="12">
        <f>IF('Données projet'!$A$140&gt;35,CT4+CS5-DB4,IF(A5&lt;'Données projet'!$A$140,$CQ$205^A5,IF(A5='Données projet'!$A$140,'Données projet'!$B$140,CT4+CS5-DB4)))</f>
        <v>1.6153942662021783</v>
      </c>
      <c r="CU5" s="17">
        <f>CT5*VLOOKUP('Données projet'!$B$13,Paramètres!$A$1:$I$89,3,0)*VLOOKUP('Données projet'!$B$13,Paramètres!$A$1:$I$89,5,0)</f>
        <v>1.1844070759794372</v>
      </c>
      <c r="CV5" s="13">
        <f t="shared" ref="CV5:CV68" si="41">EXP(-1.0587+0.8836*LN(CU5)+0.284)</f>
        <v>0.53517712549257934</v>
      </c>
      <c r="CW5" s="20">
        <f t="shared" si="13"/>
        <v>2.9949424842304286</v>
      </c>
      <c r="CX5" s="59">
        <f t="shared" si="14"/>
        <v>173.59222377173126</v>
      </c>
      <c r="CY5" s="59">
        <f ca="1">AVERAGE(OFFSET($CX$3,0,0,'Données projet'!$E$13+1,1))-AVERAGE(OFFSET($H$3,0,0,'Données projet'!$E$13+1,1))</f>
        <v>352.45777291109863</v>
      </c>
      <c r="CZ5" s="59">
        <f t="shared" ref="CZ5:CZ68" si="42">$CZ$3</f>
        <v>340.92165104349181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4.0628205133333335</v>
      </c>
      <c r="DO5" s="12">
        <f>IF('Données projet'!$A$166&gt;35,DO4+DN5-DW4,IF(A5&lt;'Données projet'!$A$166,$DL$205^A5,IF(A5='Données projet'!$A$166,'Données projet'!$B$166,DO4+DN5-DW4)))</f>
        <v>1.3774100881024904</v>
      </c>
      <c r="DP5" s="17">
        <f>DO5*VLOOKUP('Données projet'!$B$14,Paramètres!$A$1:$I$89,3,0)*VLOOKUP('Données projet'!$B$14,Paramètres!$A$1:$I$89,5,0)</f>
        <v>0.92396668709915064</v>
      </c>
      <c r="DQ5" s="13">
        <f t="shared" ref="DQ5:DQ68" si="43">EXP(-1.0587+0.8836*LN(DP5)+0.284)</f>
        <v>0.42974020171549071</v>
      </c>
      <c r="DR5" s="20">
        <f t="shared" si="16"/>
        <v>2.3577061646855002</v>
      </c>
      <c r="DS5" s="59">
        <f t="shared" si="17"/>
        <v>172.95498745218634</v>
      </c>
      <c r="DT5" s="59">
        <f ca="1">AVERAGE(OFFSET($DS$3,0,0,'Données projet'!$E$14+1,1))-AVERAGE(OFFSET($H$3,0,0,'Données projet'!$E$14+1,1))</f>
        <v>441.20130048888439</v>
      </c>
      <c r="DU5" s="59">
        <f t="shared" ref="DU5:DU68" si="44">$DU$3</f>
        <v>237.47732532183946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1.1000000000000001</v>
      </c>
      <c r="EJ5" s="12">
        <f>IF('Données projet'!$A$192&gt;35,EJ4+EI5-ER4,IF(A5&lt;'Données projet'!$A$192,$EG$205^A5,IF(A5='Données projet'!$A$192,'Données projet'!$B$192,EJ4+EI5-ER4)))</f>
        <v>1.6153942662021783</v>
      </c>
      <c r="EK5" s="17">
        <f>EJ5*VLOOKUP('Données projet'!$B$15,Paramètres!$A$1:$I$89,3,0)*VLOOKUP('Données projet'!$B$15,Paramètres!$A$1:$I$89,5,0)</f>
        <v>1.2852076781904531</v>
      </c>
      <c r="EL5" s="13">
        <f t="shared" ref="EL5:EL68" si="45">EXP(-1.0587+0.8836*LN(EK5)+0.284)</f>
        <v>0.57522914588482876</v>
      </c>
      <c r="EM5" s="20">
        <f t="shared" si="19"/>
        <v>3.2402608019311159</v>
      </c>
      <c r="EN5" s="59">
        <f t="shared" si="20"/>
        <v>173.83754208943196</v>
      </c>
      <c r="EO5" s="59">
        <f ca="1">AVERAGE(OFFSET($EN$3,0,0,'Données projet'!$E$15+1,1))-AVERAGE(OFFSET($H$3,0,0,'Données projet'!$E$15+1,1))</f>
        <v>377.27600411578322</v>
      </c>
      <c r="EP5" s="59">
        <f t="shared" ref="EP5:EP68" si="46">$EP$3</f>
        <v>364.58250627635425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>
        <f>EXP(-LN(2)/35)*EV4+(1-EXP(-LN(2)/35))/(LN(2)/35)*ER5*ES5*VLOOKUP('Données projet'!$B$15,Paramètres!$A$1:$I$89,3,0)*0.475*44/12</f>
        <v>0</v>
      </c>
      <c r="EW5" s="21">
        <f>EXP(-LN(2)/25)*EW4+(1-EXP(-LN(2)/25))/(LN(2)/25)*Calculateur!ER5*Calculateur!ET5*VLOOKUP('Données projet'!$B$15,Paramètres!$A$1:$I$89,3,0)*0.475*44/12</f>
        <v>0</v>
      </c>
      <c r="EX5" s="21">
        <f>EXP(-LN(2)/2)*EX4+(1-EXP(-LN(2)/2))/(LN(2)/2)*ER5*EU5*VLOOKUP('Données projet'!$B$15,Paramètres!$A$1:$I$89,3,0)*0.475*44/12</f>
        <v>0</v>
      </c>
      <c r="EY5" s="22">
        <f t="shared" si="21"/>
        <v>0</v>
      </c>
      <c r="EZ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1.1000000000000001</v>
      </c>
      <c r="FE5" s="12">
        <f>IF('Données projet'!$A$218&gt;35,FE4+FD5-FM4,IF(A5&lt;'Données projet'!$A$218,$FB$205^A5,IF(A5='Données projet'!$A$218,'Données projet'!$B$218,FE4+FD5-FM4)))</f>
        <v>1.6153942662021783</v>
      </c>
      <c r="FF5" s="17">
        <f>FE5*VLOOKUP('Données projet'!$B$16,Paramètres!$A$1:$I$89,3,0)*VLOOKUP('Données projet'!$B$16,Paramètres!$A$1:$I$89,5,0)</f>
        <v>1.310407828743207</v>
      </c>
      <c r="FG5" s="13">
        <f t="shared" ref="FG5:FG68" si="47">EXP(-1.0587+0.8836*LN(FF5)+0.284)</f>
        <v>0.58518398183877263</v>
      </c>
      <c r="FH5" s="20">
        <f t="shared" si="22"/>
        <v>3.3014890700969475</v>
      </c>
      <c r="FI5" s="59">
        <f t="shared" si="23"/>
        <v>173.89877035759778</v>
      </c>
      <c r="FJ5" s="59">
        <f ca="1">AVERAGE(OFFSET($FI$3,0,0,'Données projet'!$E$16+1,1))-AVERAGE(OFFSET($H$3,0,0,'Données projet'!$E$16+1,1))</f>
        <v>383.47399633251354</v>
      </c>
      <c r="FK5" s="59">
        <f t="shared" ref="FK5:FK68" si="48">$FK$3</f>
        <v>370.49129421395628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>
        <f>EXP(-LN(2)/35)*FQ4+(1-EXP(-LN(2)/35))/(LN(2)/35)*FM5*FN5*VLOOKUP('Données projet'!$B$16,Paramètres!$A$1:$I$89,3,0)*0.475*44/12</f>
        <v>0</v>
      </c>
      <c r="FR5" s="21">
        <f>EXP(-LN(2)/25)*FR4+(1-EXP(-LN(2)/25))/(LN(2)/25)*Calculateur!FM5*Calculateur!FO5*VLOOKUP('Données projet'!$B$16,Paramètres!$A$1:$I$89,3,0)*0.475*44/12</f>
        <v>0</v>
      </c>
      <c r="FS5" s="21">
        <f>EXP(-LN(2)/2)*FS4+(1-EXP(-LN(2)/2))/(LN(2)/2)*FM5*FP5*VLOOKUP('Données projet'!$B$16,Paramètres!$A$1:$I$89,3,0)*0.475*44/12</f>
        <v>0</v>
      </c>
      <c r="FT5" s="22">
        <f t="shared" si="24"/>
        <v>0</v>
      </c>
      <c r="FU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4.0628205133333335</v>
      </c>
      <c r="FZ5" s="12">
        <f>IF('Données projet'!$A$244&gt;35,FZ4+FY5-GH4,IF(A5&lt;'Données projet'!$A$244,$FW$205^A5,IF(A5='Données projet'!$A$244,'Données projet'!$B$244,FZ4+FY5-GH4)))</f>
        <v>1.3774100881024904</v>
      </c>
      <c r="GA5" s="17">
        <f>FZ5*VLOOKUP('Données projet'!$B$17,Paramètres!$A$1:$I$89,3,0)*VLOOKUP('Données projet'!$B$17,Paramètres!$A$1:$I$89,5,0)</f>
        <v>1.31074343983833</v>
      </c>
      <c r="GB5" s="13">
        <f t="shared" ref="GB5:GB68" si="49">EXP(-1.0587+0.8836*LN(GA5)+0.284)</f>
        <v>0.5853164073002205</v>
      </c>
      <c r="GC5" s="20">
        <f t="shared" si="25"/>
        <v>3.3023042337663089</v>
      </c>
      <c r="GD5" s="59">
        <f t="shared" si="26"/>
        <v>173.89958552126714</v>
      </c>
      <c r="GE5" s="59">
        <f ca="1">AVERAGE(OFFSET($GD$3,0,0,'Données projet'!$E$17+1,1))-AVERAGE(OFFSET($H$3,0,0,'Données projet'!$E$17+1,1))</f>
        <v>592.58528889137358</v>
      </c>
      <c r="GF5" s="59">
        <f t="shared" ref="GF5:GF68" si="50">$GF$3</f>
        <v>311.31528020403709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>
        <f>EXP(-LN(2)/35)*GL4+(1-EXP(-LN(2)/35))/(LN(2)/35)*GH5*GI5*VLOOKUP('Données projet'!$B$17,Paramètres!$A$1:$I$89,3,0)*0.475*44/12</f>
        <v>0</v>
      </c>
      <c r="GM5" s="21">
        <f>EXP(-LN(2)/25)*GM4+(1-EXP(-LN(2)/25))/(LN(2)/25)*Calculateur!GH5*Calculateur!GJ5*VLOOKUP('Données projet'!$B$17,Paramètres!$A$1:$I$89,3,0)*0.475*44/12</f>
        <v>0</v>
      </c>
      <c r="GN5" s="21">
        <f>EXP(-LN(2)/2)*GN4+(1-EXP(-LN(2)/2))/(LN(2)/2)*GH5*GK5*VLOOKUP('Données projet'!$B$17,Paramètres!$A$1:$I$89,3,0)*0.475*44/12</f>
        <v>0</v>
      </c>
      <c r="GO5" s="21">
        <f t="shared" si="27"/>
        <v>0</v>
      </c>
      <c r="GP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2.6666666666666665</v>
      </c>
      <c r="GU5" s="12">
        <f>IF('Données projet'!$A$270&gt;35,GU4+GT5-HC4,IF(A5&lt;'Données projet'!$A$270,$GR$205^A5,IF(A5='Données projet'!$A$270,'Données projet'!$B$270,GU4+GT5-HC4)))</f>
        <v>1.6353397711850939</v>
      </c>
      <c r="GV5" s="17">
        <f>GU5*VLOOKUP('Données projet'!$B$18,Paramètres!$A$1:$I$89,3,0)*VLOOKUP('Données projet'!$B$18,Paramètres!$A$1:$I$89,5,0)</f>
        <v>1.2755650215243732</v>
      </c>
      <c r="GW5" s="13">
        <f t="shared" ref="GW5:GW68" si="51">EXP(-1.0587+0.8836*LN(GV5)+0.284)</f>
        <v>0.57141400910743001</v>
      </c>
      <c r="GX5" s="20">
        <f t="shared" si="28"/>
        <v>3.2168218116837237</v>
      </c>
      <c r="GY5" s="59">
        <f t="shared" si="29"/>
        <v>173.81410309918456</v>
      </c>
      <c r="GZ5" s="59">
        <f ca="1">AVERAGE(OFFSET($GY$3,0,0,'Données projet'!$E$18+1,1))-AVERAGE(OFFSET($H$3,0,0,'Données projet'!$E$18+1,1))</f>
        <v>308.85018589589453</v>
      </c>
      <c r="HA5" s="59">
        <f t="shared" ref="HA5:HA68" si="52">$HA$3</f>
        <v>302.59481222418219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>
        <f>EXP(-LN(2)/35)*HG4+(1-EXP(-LN(2)/35))/(LN(2)/35)*HC5*HD5*VLOOKUP('Données projet'!$B$18,Paramètres!$A$1:$I$89,3,0)*0.475*44/12</f>
        <v>0</v>
      </c>
      <c r="HH5" s="21">
        <f>EXP(-LN(2)/25)*HH4+(1-EXP(-LN(2)/25))/(LN(2)/25)*Calculateur!HC5*Calculateur!HE5*VLOOKUP('Données projet'!$B$18,Paramètres!$A$1:$I$89,3,0)*0.475*44/12</f>
        <v>0</v>
      </c>
      <c r="HI5" s="21">
        <f>EXP(-LN(2)/2)*HI4+(1-EXP(-LN(2)/2))/(LN(2)/2)*HC5*HF5*VLOOKUP('Données projet'!$B$18,Paramètres!$A$1:$I$89,3,0)*0.475*44/12</f>
        <v>0</v>
      </c>
      <c r="HJ5" s="22">
        <f t="shared" si="30"/>
        <v>0</v>
      </c>
    </row>
    <row r="6" spans="1:218" x14ac:dyDescent="0.35">
      <c r="A6" s="10">
        <f t="shared" si="31"/>
        <v>3</v>
      </c>
      <c r="B6" s="72">
        <f>'Scénario référence'!$B$16*5+'Scénario référence'!$B$17*0+'Scénario référence'!$B$18*5</f>
        <v>5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66">
        <f t="shared" si="1"/>
        <v>183.33333333333334</v>
      </c>
      <c r="I6" s="6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4.0628205133333335</v>
      </c>
      <c r="N6" s="13">
        <f>IF('Données projet'!$A$36&gt;35,N5+M6-V5,IF(A6&lt;'Données projet'!$A$36,$K$205^A6,IF(A6='Données projet'!$A$36,'Données projet'!$B$36,N5+M6-V5)))</f>
        <v>1.6165713926763641</v>
      </c>
      <c r="O6" s="13">
        <f>N6*VLOOKUP('Données projet'!$B$9,Paramètres!$A$1:$I$89,3,0)*VLOOKUP('Données projet'!$B$9,Paramètres!$A$1:$I$89,5,0)</f>
        <v>1.4626737960935743</v>
      </c>
      <c r="P6" s="13">
        <f t="shared" si="33"/>
        <v>0.64487624468574989</v>
      </c>
      <c r="Q6" s="20">
        <f t="shared" si="2"/>
        <v>3.670649654357323</v>
      </c>
      <c r="R6" s="59">
        <f t="shared" si="0"/>
        <v>177.02567022424222</v>
      </c>
      <c r="S6" s="59">
        <f ca="1">AVERAGE(OFFSET($R$3,0,0,'Données projet'!$E$9+1,1))-AVERAGE(OFFSET($H$3,0,0,'Données projet'!$E$9+1,1))</f>
        <v>567.42635821507474</v>
      </c>
      <c r="T6" s="59">
        <f t="shared" si="34"/>
        <v>299.04735309930152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4.0628205133333335</v>
      </c>
      <c r="AI6" s="13">
        <f>IF('Données projet'!$A$62&gt;35,AI5+AH6-AQ5,IF(A6&lt;'Données projet'!$A$62,$AF$205^A6,IF(A6='Données projet'!$A$62,'Données projet'!$B$62,AI5+AH6-AQ5)))</f>
        <v>1.6165713926763641</v>
      </c>
      <c r="AJ6" s="13">
        <f>AI6*VLOOKUP('Données projet'!$B$10,Paramètres!$A$1:$I$89,3,0)*VLOOKUP('Données projet'!$B$10,Paramètres!$A$1:$I$89,5,0)</f>
        <v>1.6392033921738332</v>
      </c>
      <c r="AK6" s="13">
        <f t="shared" si="35"/>
        <v>0.71318408958006496</v>
      </c>
      <c r="AL6" s="20">
        <f t="shared" si="4"/>
        <v>4.0970748640547061</v>
      </c>
      <c r="AM6" s="59">
        <f t="shared" si="5"/>
        <v>177.4520954339396</v>
      </c>
      <c r="AN6" s="59">
        <f ca="1">AVERAGE(OFFSET($AM$3,0,0,'Données projet'!$E$10+1,1))-AVERAGE(OFFSET($H$3,0,0,'Données projet'!$E$10+1,1))</f>
        <v>626.09203985591455</v>
      </c>
      <c r="AO6" s="59">
        <f t="shared" si="36"/>
        <v>327.65191296575199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1.6</v>
      </c>
      <c r="BD6" s="12">
        <f>IF('Données projet'!$A$88&gt;35,BD5+BC6-BL5,IF(A6&lt;'Données projet'!$A$88,$BA$205^A6,IF(A6='Données projet'!$A$88,'Données projet'!$B$88,BD5+BC6-BL5)))</f>
        <v>1.6817928305074288</v>
      </c>
      <c r="BE6" s="13">
        <f>BD6*VLOOKUP('Données projet'!$B$11,Paramètres!$A$1:$I$89,3,0)*VLOOKUP('Données projet'!$B$11,Paramètres!$A$1:$I$89,5,0)</f>
        <v>1.4429782485753739</v>
      </c>
      <c r="BF6" s="13">
        <f t="shared" si="37"/>
        <v>0.6371974227238163</v>
      </c>
      <c r="BG6" s="20">
        <f t="shared" si="7"/>
        <v>3.6229726275127558</v>
      </c>
      <c r="BH6" s="59">
        <f t="shared" si="8"/>
        <v>176.97799319739764</v>
      </c>
      <c r="BI6" s="59">
        <f ca="1">AVERAGE(OFFSET($BH$3,0,0,'Données projet'!$E$11+1,1))-AVERAGE(OFFSET($H$3,0,0,'Données projet'!$E$11+1,1))</f>
        <v>481.23392184981651</v>
      </c>
      <c r="BJ6" s="59">
        <f t="shared" si="38"/>
        <v>275.88160405468193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4.8773333333333335</v>
      </c>
      <c r="BY6" s="12">
        <f>IF('Données projet'!$A$114&gt;35,BY5+BX6-CG5,IF(A6&lt;'Données projet'!$A$114,$BV$205^A6,IF(A6='Données projet'!$A$114,'Données projet'!$B$114,BY5+BX6-CG5)))</f>
        <v>1.6463810900695901</v>
      </c>
      <c r="BZ6" s="13">
        <f>BY6*VLOOKUP('Données projet'!$B$12,Paramètres!$A$1:$I$89,3,0)*VLOOKUP('Données projet'!$B$12,Paramètres!$A$1:$I$89,5,0)</f>
        <v>0.77050635015256808</v>
      </c>
      <c r="CA6" s="13">
        <f t="shared" si="39"/>
        <v>0.36602229090803245</v>
      </c>
      <c r="CB6" s="20">
        <f t="shared" si="10"/>
        <v>1.9794540498472124</v>
      </c>
      <c r="CC6" s="59">
        <f t="shared" si="11"/>
        <v>175.33447461973211</v>
      </c>
      <c r="CD6" s="59">
        <f ca="1">AVERAGE(OFFSET($CC$3,0,0,'Données projet'!$E$12+1,1))-AVERAGE(OFFSET($H$3,0,0,'Données projet'!$E$12+1,1))</f>
        <v>331.86732359395467</v>
      </c>
      <c r="CE6" s="59">
        <f t="shared" si="40"/>
        <v>208.64489375183106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1.1000000000000001</v>
      </c>
      <c r="CT6" s="12">
        <f>IF('Données projet'!$A$140&gt;35,CT5+CS6-DB5,IF(A6&lt;'Données projet'!$A$140,$CQ$205^A6,IF(A6='Données projet'!$A$140,'Données projet'!$B$140,CT5+CS6-DB5)))</f>
        <v>2.0531364136588448</v>
      </c>
      <c r="CU6" s="17">
        <f>CT6*VLOOKUP('Données projet'!$B$13,Paramètres!$A$1:$I$89,3,0)*VLOOKUP('Données projet'!$B$13,Paramètres!$A$1:$I$89,5,0)</f>
        <v>1.5053596184946649</v>
      </c>
      <c r="CV6" s="13">
        <f t="shared" si="41"/>
        <v>0.66147738405820555</v>
      </c>
      <c r="CW6" s="20">
        <f t="shared" si="13"/>
        <v>3.7739077794462492</v>
      </c>
      <c r="CX6" s="59">
        <f t="shared" si="14"/>
        <v>177.12892834933115</v>
      </c>
      <c r="CY6" s="59">
        <f ca="1">AVERAGE(OFFSET($CX$3,0,0,'Données projet'!$E$13+1,1))-AVERAGE(OFFSET($H$3,0,0,'Données projet'!$E$13+1,1))</f>
        <v>352.45777291109863</v>
      </c>
      <c r="CZ6" s="59">
        <f t="shared" si="42"/>
        <v>340.92165104349181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4.0628205133333335</v>
      </c>
      <c r="DO6" s="12">
        <f>IF('Données projet'!$A$166&gt;35,DO5+DN6-DW5,IF(A6&lt;'Données projet'!$A$166,$DL$205^A6,IF(A6='Données projet'!$A$166,'Données projet'!$B$166,DO5+DN6-DW5)))</f>
        <v>1.6165713926763641</v>
      </c>
      <c r="DP6" s="17">
        <f>DO6*VLOOKUP('Données projet'!$B$14,Paramètres!$A$1:$I$89,3,0)*VLOOKUP('Données projet'!$B$14,Paramètres!$A$1:$I$89,5,0)</f>
        <v>1.0843960902073051</v>
      </c>
      <c r="DQ6" s="13">
        <f t="shared" si="43"/>
        <v>0.49504437637376653</v>
      </c>
      <c r="DR6" s="20">
        <f t="shared" si="16"/>
        <v>2.7508588126286995</v>
      </c>
      <c r="DS6" s="59">
        <f t="shared" si="17"/>
        <v>176.10587938251359</v>
      </c>
      <c r="DT6" s="59">
        <f ca="1">AVERAGE(OFFSET($DS$3,0,0,'Données projet'!$E$14+1,1))-AVERAGE(OFFSET($H$3,0,0,'Données projet'!$E$14+1,1))</f>
        <v>441.20130048888439</v>
      </c>
      <c r="DU6" s="59">
        <f t="shared" si="44"/>
        <v>237.47732532183946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1.1000000000000001</v>
      </c>
      <c r="EJ6" s="12">
        <f>IF('Données projet'!$A$192&gt;35,EJ5+EI6-ER5,IF(A6&lt;'Données projet'!$A$192,$EG$205^A6,IF(A6='Données projet'!$A$192,'Données projet'!$B$192,EJ5+EI6-ER5)))</f>
        <v>2.0531364136588448</v>
      </c>
      <c r="EK6" s="17">
        <f>EJ6*VLOOKUP('Données projet'!$B$15,Paramètres!$A$1:$I$89,3,0)*VLOOKUP('Données projet'!$B$15,Paramètres!$A$1:$I$89,5,0)</f>
        <v>1.6334753307069771</v>
      </c>
      <c r="EL6" s="13">
        <f t="shared" si="45"/>
        <v>0.71098156578295024</v>
      </c>
      <c r="EM6" s="20">
        <f t="shared" si="19"/>
        <v>4.0832624280532892</v>
      </c>
      <c r="EN6" s="59">
        <f t="shared" si="20"/>
        <v>177.43828299793819</v>
      </c>
      <c r="EO6" s="59">
        <f ca="1">AVERAGE(OFFSET($EN$3,0,0,'Données projet'!$E$15+1,1))-AVERAGE(OFFSET($H$3,0,0,'Données projet'!$E$15+1,1))</f>
        <v>377.27600411578322</v>
      </c>
      <c r="EP6" s="59">
        <f t="shared" si="46"/>
        <v>364.58250627635425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>
        <f>EXP(-LN(2)/35)*EV5+(1-EXP(-LN(2)/35))/(LN(2)/35)*ER6*ES6*VLOOKUP('Données projet'!$B$15,Paramètres!$A$1:$I$89,3,0)*0.475*44/12</f>
        <v>0</v>
      </c>
      <c r="EW6" s="21">
        <f>EXP(-LN(2)/25)*EW5+(1-EXP(-LN(2)/25))/(LN(2)/25)*Calculateur!ER6*Calculateur!ET6*VLOOKUP('Données projet'!$B$15,Paramètres!$A$1:$I$89,3,0)*0.475*44/12</f>
        <v>0</v>
      </c>
      <c r="EX6" s="21">
        <f>EXP(-LN(2)/2)*EX5+(1-EXP(-LN(2)/2))/(LN(2)/2)*ER6*EU6*VLOOKUP('Données projet'!$B$15,Paramètres!$A$1:$I$89,3,0)*0.475*44/12</f>
        <v>0</v>
      </c>
      <c r="EY6" s="22">
        <f t="shared" si="21"/>
        <v>0</v>
      </c>
      <c r="EZ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1.1000000000000001</v>
      </c>
      <c r="FE6" s="12">
        <f>IF('Données projet'!$A$218&gt;35,FE5+FD6-FM5,IF(A6&lt;'Données projet'!$A$218,$FB$205^A6,IF(A6='Données projet'!$A$218,'Données projet'!$B$218,FE5+FD6-FM5)))</f>
        <v>2.0531364136588448</v>
      </c>
      <c r="FF6" s="17">
        <f>FE6*VLOOKUP('Données projet'!$B$16,Paramètres!$A$1:$I$89,3,0)*VLOOKUP('Données projet'!$B$16,Paramètres!$A$1:$I$89,5,0)</f>
        <v>1.6655042587600553</v>
      </c>
      <c r="FG6" s="13">
        <f t="shared" si="47"/>
        <v>0.72328571431972233</v>
      </c>
      <c r="FH6" s="20">
        <f t="shared" si="22"/>
        <v>4.1604758697806128</v>
      </c>
      <c r="FI6" s="59">
        <f t="shared" si="23"/>
        <v>177.5154964396655</v>
      </c>
      <c r="FJ6" s="59">
        <f ca="1">AVERAGE(OFFSET($FI$3,0,0,'Données projet'!$E$16+1,1))-AVERAGE(OFFSET($H$3,0,0,'Données projet'!$E$16+1,1))</f>
        <v>383.47399633251354</v>
      </c>
      <c r="FK6" s="59">
        <f t="shared" si="48"/>
        <v>370.49129421395628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>
        <f>EXP(-LN(2)/35)*FQ5+(1-EXP(-LN(2)/35))/(LN(2)/35)*FM6*FN6*VLOOKUP('Données projet'!$B$16,Paramètres!$A$1:$I$89,3,0)*0.475*44/12</f>
        <v>0</v>
      </c>
      <c r="FR6" s="21">
        <f>EXP(-LN(2)/25)*FR5+(1-EXP(-LN(2)/25))/(LN(2)/25)*Calculateur!FM6*Calculateur!FO6*VLOOKUP('Données projet'!$B$16,Paramètres!$A$1:$I$89,3,0)*0.475*44/12</f>
        <v>0</v>
      </c>
      <c r="FS6" s="21">
        <f>EXP(-LN(2)/2)*FS5+(1-EXP(-LN(2)/2))/(LN(2)/2)*FM6*FP6*VLOOKUP('Données projet'!$B$16,Paramètres!$A$1:$I$89,3,0)*0.475*44/12</f>
        <v>0</v>
      </c>
      <c r="FT6" s="22">
        <f t="shared" si="24"/>
        <v>0</v>
      </c>
      <c r="FU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4.0628205133333335</v>
      </c>
      <c r="FZ6" s="12">
        <f>IF('Données projet'!$A$244&gt;35,FZ5+FY6-GH5,IF(A6&lt;'Données projet'!$A$244,$FW$205^A6,IF(A6='Données projet'!$A$244,'Données projet'!$B$244,FZ5+FY6-GH5)))</f>
        <v>1.6165713926763641</v>
      </c>
      <c r="GA6" s="17">
        <f>FZ6*VLOOKUP('Données projet'!$B$17,Paramètres!$A$1:$I$89,3,0)*VLOOKUP('Données projet'!$B$17,Paramètres!$A$1:$I$89,5,0)</f>
        <v>1.5383293372708282</v>
      </c>
      <c r="GB6" s="13">
        <f t="shared" si="49"/>
        <v>0.67426225118474037</v>
      </c>
      <c r="GC6" s="20">
        <f t="shared" si="25"/>
        <v>3.8535970165601152</v>
      </c>
      <c r="GD6" s="59">
        <f t="shared" si="26"/>
        <v>177.208617586445</v>
      </c>
      <c r="GE6" s="59">
        <f ca="1">AVERAGE(OFFSET($GD$3,0,0,'Données projet'!$E$17+1,1))-AVERAGE(OFFSET($H$3,0,0,'Données projet'!$E$17+1,1))</f>
        <v>592.58528889137358</v>
      </c>
      <c r="GF6" s="59">
        <f t="shared" si="50"/>
        <v>311.31528020403709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>
        <f>EXP(-LN(2)/35)*GL5+(1-EXP(-LN(2)/35))/(LN(2)/35)*GH6*GI6*VLOOKUP('Données projet'!$B$17,Paramètres!$A$1:$I$89,3,0)*0.475*44/12</f>
        <v>0</v>
      </c>
      <c r="GM6" s="21">
        <f>EXP(-LN(2)/25)*GM5+(1-EXP(-LN(2)/25))/(LN(2)/25)*Calculateur!GH6*Calculateur!GJ6*VLOOKUP('Données projet'!$B$17,Paramètres!$A$1:$I$89,3,0)*0.475*44/12</f>
        <v>0</v>
      </c>
      <c r="GN6" s="21">
        <f>EXP(-LN(2)/2)*GN5+(1-EXP(-LN(2)/2))/(LN(2)/2)*GH6*GK6*VLOOKUP('Données projet'!$B$17,Paramètres!$A$1:$I$89,3,0)*0.475*44/12</f>
        <v>0</v>
      </c>
      <c r="GO6" s="21">
        <f t="shared" si="27"/>
        <v>0</v>
      </c>
      <c r="GP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2.6666666666666665</v>
      </c>
      <c r="GU6" s="12">
        <f>IF('Données projet'!$A$270&gt;35,GU5+GT6-HC5,IF(A6&lt;'Données projet'!$A$270,$GR$205^A6,IF(A6='Données projet'!$A$270,'Données projet'!$B$270,GU5+GT6-HC5)))</f>
        <v>2.0912791051825459</v>
      </c>
      <c r="GV6" s="17">
        <f>GU6*VLOOKUP('Données projet'!$B$18,Paramètres!$A$1:$I$89,3,0)*VLOOKUP('Données projet'!$B$18,Paramètres!$A$1:$I$89,5,0)</f>
        <v>1.6311977020423858</v>
      </c>
      <c r="GW6" s="13">
        <f t="shared" si="51"/>
        <v>0.71010553443370616</v>
      </c>
      <c r="GX6" s="20">
        <f t="shared" si="28"/>
        <v>4.0777698035291934</v>
      </c>
      <c r="GY6" s="59">
        <f t="shared" si="29"/>
        <v>177.43279037341409</v>
      </c>
      <c r="GZ6" s="59">
        <f ca="1">AVERAGE(OFFSET($GY$3,0,0,'Données projet'!$E$18+1,1))-AVERAGE(OFFSET($H$3,0,0,'Données projet'!$E$18+1,1))</f>
        <v>308.85018589589453</v>
      </c>
      <c r="HA6" s="59">
        <f t="shared" si="52"/>
        <v>302.59481222418219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>
        <f>EXP(-LN(2)/35)*HG5+(1-EXP(-LN(2)/35))/(LN(2)/35)*HC6*HD6*VLOOKUP('Données projet'!$B$18,Paramètres!$A$1:$I$89,3,0)*0.475*44/12</f>
        <v>0</v>
      </c>
      <c r="HH6" s="21">
        <f>EXP(-LN(2)/25)*HH5+(1-EXP(-LN(2)/25))/(LN(2)/25)*Calculateur!HC6*Calculateur!HE6*VLOOKUP('Données projet'!$B$18,Paramètres!$A$1:$I$89,3,0)*0.475*44/12</f>
        <v>0</v>
      </c>
      <c r="HI6" s="21">
        <f>EXP(-LN(2)/2)*HI5+(1-EXP(-LN(2)/2))/(LN(2)/2)*HC6*HF6*VLOOKUP('Données projet'!$B$18,Paramètres!$A$1:$I$89,3,0)*0.475*44/12</f>
        <v>0</v>
      </c>
      <c r="HJ6" s="22">
        <f t="shared" si="30"/>
        <v>0</v>
      </c>
    </row>
    <row r="7" spans="1:218" x14ac:dyDescent="0.35">
      <c r="A7" s="10">
        <f t="shared" si="31"/>
        <v>4</v>
      </c>
      <c r="B7" s="72">
        <f>'Scénario référence'!$B$16*5+'Scénario référence'!$B$17*0+'Scénario référence'!$B$18*5</f>
        <v>5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66">
        <f t="shared" si="1"/>
        <v>183.33333333333334</v>
      </c>
      <c r="I7" s="6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4.0628205133333335</v>
      </c>
      <c r="N7" s="13">
        <f>IF('Données projet'!$A$36&gt;35,N6+M7-V6,IF(A7&lt;'Données projet'!$A$36,$K$205^A7,IF(A7='Données projet'!$A$36,'Données projet'!$B$36,N6+M7-V6)))</f>
        <v>1.8972585508065105</v>
      </c>
      <c r="O7" s="13">
        <f>N7*VLOOKUP('Données projet'!$B$9,Paramètres!$A$1:$I$89,3,0)*VLOOKUP('Données projet'!$B$9,Paramètres!$A$1:$I$89,5,0)</f>
        <v>1.7166395367697307</v>
      </c>
      <c r="P7" s="13">
        <f t="shared" si="33"/>
        <v>0.74287291976482961</v>
      </c>
      <c r="Q7" s="20">
        <f t="shared" si="2"/>
        <v>4.2836508617976925</v>
      </c>
      <c r="R7" s="59">
        <f t="shared" si="0"/>
        <v>180.36977292597464</v>
      </c>
      <c r="S7" s="59">
        <f ca="1">AVERAGE(OFFSET($R$3,0,0,'Données projet'!$E$9+1,1))-AVERAGE(OFFSET($H$3,0,0,'Données projet'!$E$9+1,1))</f>
        <v>567.42635821507474</v>
      </c>
      <c r="T7" s="59">
        <f t="shared" si="34"/>
        <v>299.04735309930152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4.0628205133333335</v>
      </c>
      <c r="AI7" s="13">
        <f>IF('Données projet'!$A$62&gt;35,AI6+AH7-AQ6,IF(A7&lt;'Données projet'!$A$62,$AF$205^A7,IF(A7='Données projet'!$A$62,'Données projet'!$B$62,AI6+AH7-AQ6)))</f>
        <v>1.8972585508065105</v>
      </c>
      <c r="AJ7" s="13">
        <f>AI7*VLOOKUP('Données projet'!$B$10,Paramètres!$A$1:$I$89,3,0)*VLOOKUP('Données projet'!$B$10,Paramètres!$A$1:$I$89,5,0)</f>
        <v>1.9238201705178017</v>
      </c>
      <c r="AK7" s="13">
        <f t="shared" si="35"/>
        <v>0.82156096045116445</v>
      </c>
      <c r="AL7" s="20">
        <f t="shared" si="4"/>
        <v>4.7815388031042829</v>
      </c>
      <c r="AM7" s="59">
        <f t="shared" si="5"/>
        <v>180.86766086728124</v>
      </c>
      <c r="AN7" s="59">
        <f ca="1">AVERAGE(OFFSET($AM$3,0,0,'Données projet'!$E$10+1,1))-AVERAGE(OFFSET($H$3,0,0,'Données projet'!$E$10+1,1))</f>
        <v>626.09203985591455</v>
      </c>
      <c r="AO7" s="59">
        <f t="shared" si="36"/>
        <v>327.65191296575199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1.6</v>
      </c>
      <c r="BD7" s="12">
        <f>IF('Données projet'!$A$88&gt;35,BD6+BC7-BL6,IF(A7&lt;'Données projet'!$A$88,$BA$205^A7,IF(A7='Données projet'!$A$88,'Données projet'!$B$88,BD6+BC7-BL6)))</f>
        <v>1.9999999999999996</v>
      </c>
      <c r="BE7" s="13">
        <f>BD7*VLOOKUP('Données projet'!$B$11,Paramètres!$A$1:$I$89,3,0)*VLOOKUP('Données projet'!$B$11,Paramètres!$A$1:$I$89,5,0)</f>
        <v>1.7159999999999997</v>
      </c>
      <c r="BF7" s="13">
        <f t="shared" si="37"/>
        <v>0.74262837066960552</v>
      </c>
      <c r="BG7" s="20">
        <f t="shared" si="7"/>
        <v>4.2821110789162296</v>
      </c>
      <c r="BH7" s="59">
        <f t="shared" si="8"/>
        <v>180.36823314309316</v>
      </c>
      <c r="BI7" s="59">
        <f ca="1">AVERAGE(OFFSET($BH$3,0,0,'Données projet'!$E$11+1,1))-AVERAGE(OFFSET($H$3,0,0,'Données projet'!$E$11+1,1))</f>
        <v>481.23392184981651</v>
      </c>
      <c r="BJ7" s="59">
        <f t="shared" si="38"/>
        <v>275.88160405468193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4.8773333333333335</v>
      </c>
      <c r="BY7" s="12">
        <f>IF('Données projet'!$A$114&gt;35,BY6+BX7-CG6,IF(A7&lt;'Données projet'!$A$114,$BV$205^A7,IF(A7='Données projet'!$A$114,'Données projet'!$B$114,BY6+BX7-CG6)))</f>
        <v>1.9440487843319665</v>
      </c>
      <c r="BZ7" s="13">
        <f>BY7*VLOOKUP('Données projet'!$B$12,Paramètres!$A$1:$I$89,3,0)*VLOOKUP('Données projet'!$B$12,Paramètres!$A$1:$I$89,5,0)</f>
        <v>0.90981483106736027</v>
      </c>
      <c r="CA7" s="13">
        <f t="shared" si="39"/>
        <v>0.42391906276598723</v>
      </c>
      <c r="CB7" s="20">
        <f t="shared" si="10"/>
        <v>2.32291986509308</v>
      </c>
      <c r="CC7" s="59">
        <f t="shared" si="11"/>
        <v>178.40904192927002</v>
      </c>
      <c r="CD7" s="59">
        <f ca="1">AVERAGE(OFFSET($CC$3,0,0,'Données projet'!$E$12+1,1))-AVERAGE(OFFSET($H$3,0,0,'Données projet'!$E$12+1,1))</f>
        <v>331.86732359395467</v>
      </c>
      <c r="CE7" s="59">
        <f t="shared" si="40"/>
        <v>208.64489375183106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1.1000000000000001</v>
      </c>
      <c r="CT7" s="12">
        <f>IF('Données projet'!$A$140&gt;35,CT6+CS7-DB6,IF(A7&lt;'Données projet'!$A$140,$CQ$205^A7,IF(A7='Données projet'!$A$140,'Données projet'!$B$140,CT6+CS7-DB6)))</f>
        <v>2.6094986352788743</v>
      </c>
      <c r="CU7" s="17">
        <f>CT7*VLOOKUP('Données projet'!$B$13,Paramètres!$A$1:$I$89,3,0)*VLOOKUP('Données projet'!$B$13,Paramètres!$A$1:$I$89,5,0)</f>
        <v>1.9132843993864705</v>
      </c>
      <c r="CV7" s="13">
        <f t="shared" si="41"/>
        <v>0.81758413948982178</v>
      </c>
      <c r="CW7" s="20">
        <f t="shared" si="13"/>
        <v>4.7562627052095419</v>
      </c>
      <c r="CX7" s="59">
        <f t="shared" si="14"/>
        <v>180.84238476938648</v>
      </c>
      <c r="CY7" s="59">
        <f ca="1">AVERAGE(OFFSET($CX$3,0,0,'Données projet'!$E$13+1,1))-AVERAGE(OFFSET($H$3,0,0,'Données projet'!$E$13+1,1))</f>
        <v>352.45777291109863</v>
      </c>
      <c r="CZ7" s="59">
        <f t="shared" si="42"/>
        <v>340.92165104349181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4.0628205133333335</v>
      </c>
      <c r="DO7" s="12">
        <f>IF('Données projet'!$A$166&gt;35,DO6+DN7-DW6,IF(A7&lt;'Données projet'!$A$166,$DL$205^A7,IF(A7='Données projet'!$A$166,'Données projet'!$B$166,DO6+DN7-DW6)))</f>
        <v>1.8972585508065105</v>
      </c>
      <c r="DP7" s="17">
        <f>DO7*VLOOKUP('Données projet'!$B$14,Paramètres!$A$1:$I$89,3,0)*VLOOKUP('Données projet'!$B$14,Paramètres!$A$1:$I$89,5,0)</f>
        <v>1.2726810358810074</v>
      </c>
      <c r="DQ7" s="13">
        <f t="shared" si="43"/>
        <v>0.5702723031287148</v>
      </c>
      <c r="DR7" s="20">
        <f t="shared" si="16"/>
        <v>3.2098103987752662</v>
      </c>
      <c r="DS7" s="59">
        <f t="shared" si="17"/>
        <v>179.29593246295221</v>
      </c>
      <c r="DT7" s="59">
        <f ca="1">AVERAGE(OFFSET($DS$3,0,0,'Données projet'!$E$14+1,1))-AVERAGE(OFFSET($H$3,0,0,'Données projet'!$E$14+1,1))</f>
        <v>441.20130048888439</v>
      </c>
      <c r="DU7" s="59">
        <f t="shared" si="44"/>
        <v>237.47732532183946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1.1000000000000001</v>
      </c>
      <c r="EJ7" s="12">
        <f>IF('Données projet'!$A$192&gt;35,EJ6+EI7-ER6,IF(A7&lt;'Données projet'!$A$192,$EG$205^A7,IF(A7='Données projet'!$A$192,'Données projet'!$B$192,EJ6+EI7-ER6)))</f>
        <v>2.6094986352788743</v>
      </c>
      <c r="EK7" s="17">
        <f>EJ7*VLOOKUP('Données projet'!$B$15,Paramètres!$A$1:$I$89,3,0)*VLOOKUP('Données projet'!$B$15,Paramètres!$A$1:$I$89,5,0)</f>
        <v>2.0761171142278725</v>
      </c>
      <c r="EL7" s="13">
        <f t="shared" si="45"/>
        <v>0.87877116536856548</v>
      </c>
      <c r="EM7" s="20">
        <f t="shared" si="19"/>
        <v>5.14643042029713</v>
      </c>
      <c r="EN7" s="59">
        <f t="shared" si="20"/>
        <v>181.23255248447407</v>
      </c>
      <c r="EO7" s="59">
        <f ca="1">AVERAGE(OFFSET($EN$3,0,0,'Données projet'!$E$15+1,1))-AVERAGE(OFFSET($H$3,0,0,'Données projet'!$E$15+1,1))</f>
        <v>377.27600411578322</v>
      </c>
      <c r="EP7" s="59">
        <f t="shared" si="46"/>
        <v>364.58250627635425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>
        <f>EXP(-LN(2)/35)*EV6+(1-EXP(-LN(2)/35))/(LN(2)/35)*ER7*ES7*VLOOKUP('Données projet'!$B$15,Paramètres!$A$1:$I$89,3,0)*0.475*44/12</f>
        <v>0</v>
      </c>
      <c r="EW7" s="21">
        <f>EXP(-LN(2)/25)*EW6+(1-EXP(-LN(2)/25))/(LN(2)/25)*Calculateur!ER7*Calculateur!ET7*VLOOKUP('Données projet'!$B$15,Paramètres!$A$1:$I$89,3,0)*0.475*44/12</f>
        <v>0</v>
      </c>
      <c r="EX7" s="21">
        <f>EXP(-LN(2)/2)*EX6+(1-EXP(-LN(2)/2))/(LN(2)/2)*ER7*EU7*VLOOKUP('Données projet'!$B$15,Paramètres!$A$1:$I$89,3,0)*0.475*44/12</f>
        <v>0</v>
      </c>
      <c r="EY7" s="22">
        <f t="shared" si="21"/>
        <v>0</v>
      </c>
      <c r="EZ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1.1000000000000001</v>
      </c>
      <c r="FE7" s="12">
        <f>IF('Données projet'!$A$218&gt;35,FE6+FD7-FM6,IF(A7&lt;'Données projet'!$A$218,$FB$205^A7,IF(A7='Données projet'!$A$218,'Données projet'!$B$218,FE6+FD7-FM6)))</f>
        <v>2.6094986352788743</v>
      </c>
      <c r="FF7" s="17">
        <f>FE7*VLOOKUP('Données projet'!$B$16,Paramètres!$A$1:$I$89,3,0)*VLOOKUP('Données projet'!$B$16,Paramètres!$A$1:$I$89,5,0)</f>
        <v>2.116825292938223</v>
      </c>
      <c r="FG7" s="13">
        <f t="shared" si="47"/>
        <v>0.89397905748405238</v>
      </c>
      <c r="FH7" s="20">
        <f t="shared" si="22"/>
        <v>5.2438175769854629</v>
      </c>
      <c r="FI7" s="59">
        <f t="shared" si="23"/>
        <v>181.32993964116241</v>
      </c>
      <c r="FJ7" s="59">
        <f ca="1">AVERAGE(OFFSET($FI$3,0,0,'Données projet'!$E$16+1,1))-AVERAGE(OFFSET($H$3,0,0,'Données projet'!$E$16+1,1))</f>
        <v>383.47399633251354</v>
      </c>
      <c r="FK7" s="59">
        <f t="shared" si="48"/>
        <v>370.49129421395628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>
        <f>EXP(-LN(2)/35)*FQ6+(1-EXP(-LN(2)/35))/(LN(2)/35)*FM7*FN7*VLOOKUP('Données projet'!$B$16,Paramètres!$A$1:$I$89,3,0)*0.475*44/12</f>
        <v>0</v>
      </c>
      <c r="FR7" s="21">
        <f>EXP(-LN(2)/25)*FR6+(1-EXP(-LN(2)/25))/(LN(2)/25)*Calculateur!FM7*Calculateur!FO7*VLOOKUP('Données projet'!$B$16,Paramètres!$A$1:$I$89,3,0)*0.475*44/12</f>
        <v>0</v>
      </c>
      <c r="FS7" s="21">
        <f>EXP(-LN(2)/2)*FS6+(1-EXP(-LN(2)/2))/(LN(2)/2)*FM7*FP7*VLOOKUP('Données projet'!$B$16,Paramètres!$A$1:$I$89,3,0)*0.475*44/12</f>
        <v>0</v>
      </c>
      <c r="FT7" s="22">
        <f t="shared" si="24"/>
        <v>0</v>
      </c>
      <c r="FU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4.0628205133333335</v>
      </c>
      <c r="FZ7" s="12">
        <f>IF('Données projet'!$A$244&gt;35,FZ6+FY7-GH6,IF(A7&lt;'Données projet'!$A$244,$FW$205^A7,IF(A7='Données projet'!$A$244,'Données projet'!$B$244,FZ6+FY7-GH6)))</f>
        <v>1.8972585508065105</v>
      </c>
      <c r="GA7" s="17">
        <f>FZ7*VLOOKUP('Données projet'!$B$17,Paramètres!$A$1:$I$89,3,0)*VLOOKUP('Données projet'!$B$17,Paramètres!$A$1:$I$89,5,0)</f>
        <v>1.8054312369474756</v>
      </c>
      <c r="GB7" s="13">
        <f t="shared" si="49"/>
        <v>0.7767244821816951</v>
      </c>
      <c r="GC7" s="20">
        <f t="shared" si="25"/>
        <v>4.4972545441499721</v>
      </c>
      <c r="GD7" s="59">
        <f t="shared" si="26"/>
        <v>180.58337660832692</v>
      </c>
      <c r="GE7" s="59">
        <f ca="1">AVERAGE(OFFSET($GD$3,0,0,'Données projet'!$E$17+1,1))-AVERAGE(OFFSET($H$3,0,0,'Données projet'!$E$17+1,1))</f>
        <v>592.58528889137358</v>
      </c>
      <c r="GF7" s="59">
        <f t="shared" si="50"/>
        <v>311.31528020403709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>
        <f>EXP(-LN(2)/35)*GL6+(1-EXP(-LN(2)/35))/(LN(2)/35)*GH7*GI7*VLOOKUP('Données projet'!$B$17,Paramètres!$A$1:$I$89,3,0)*0.475*44/12</f>
        <v>0</v>
      </c>
      <c r="GM7" s="21">
        <f>EXP(-LN(2)/25)*GM6+(1-EXP(-LN(2)/25))/(LN(2)/25)*Calculateur!GH7*Calculateur!GJ7*VLOOKUP('Données projet'!$B$17,Paramètres!$A$1:$I$89,3,0)*0.475*44/12</f>
        <v>0</v>
      </c>
      <c r="GN7" s="21">
        <f>EXP(-LN(2)/2)*GN6+(1-EXP(-LN(2)/2))/(LN(2)/2)*GH7*GK7*VLOOKUP('Données projet'!$B$17,Paramètres!$A$1:$I$89,3,0)*0.475*44/12</f>
        <v>0</v>
      </c>
      <c r="GO7" s="21">
        <f t="shared" si="27"/>
        <v>0</v>
      </c>
      <c r="GP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2.6666666666666665</v>
      </c>
      <c r="GU7" s="12">
        <f>IF('Données projet'!$A$270&gt;35,GU6+GT7-HC6,IF(A7&lt;'Données projet'!$A$270,$GR$205^A7,IF(A7='Données projet'!$A$270,'Données projet'!$B$270,GU6+GT7-HC6)))</f>
        <v>2.6743361672197152</v>
      </c>
      <c r="GV7" s="17">
        <f>GU7*VLOOKUP('Données projet'!$B$18,Paramètres!$A$1:$I$89,3,0)*VLOOKUP('Données projet'!$B$18,Paramètres!$A$1:$I$89,5,0)</f>
        <v>2.0859822104313781</v>
      </c>
      <c r="GW7" s="13">
        <f t="shared" si="51"/>
        <v>0.88245976121767966</v>
      </c>
      <c r="GX7" s="20">
        <f t="shared" si="28"/>
        <v>5.1700364339554419</v>
      </c>
      <c r="GY7" s="59">
        <f t="shared" si="29"/>
        <v>181.25615849813238</v>
      </c>
      <c r="GZ7" s="59">
        <f ca="1">AVERAGE(OFFSET($GY$3,0,0,'Données projet'!$E$18+1,1))-AVERAGE(OFFSET($H$3,0,0,'Données projet'!$E$18+1,1))</f>
        <v>308.85018589589453</v>
      </c>
      <c r="HA7" s="59">
        <f t="shared" si="52"/>
        <v>302.59481222418219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>
        <f>EXP(-LN(2)/35)*HG6+(1-EXP(-LN(2)/35))/(LN(2)/35)*HC7*HD7*VLOOKUP('Données projet'!$B$18,Paramètres!$A$1:$I$89,3,0)*0.475*44/12</f>
        <v>0</v>
      </c>
      <c r="HH7" s="21">
        <f>EXP(-LN(2)/25)*HH6+(1-EXP(-LN(2)/25))/(LN(2)/25)*Calculateur!HC7*Calculateur!HE7*VLOOKUP('Données projet'!$B$18,Paramètres!$A$1:$I$89,3,0)*0.475*44/12</f>
        <v>0</v>
      </c>
      <c r="HI7" s="21">
        <f>EXP(-LN(2)/2)*HI6+(1-EXP(-LN(2)/2))/(LN(2)/2)*HC7*HF7*VLOOKUP('Données projet'!$B$18,Paramètres!$A$1:$I$89,3,0)*0.475*44/12</f>
        <v>0</v>
      </c>
      <c r="HJ7" s="22">
        <f t="shared" si="30"/>
        <v>0</v>
      </c>
    </row>
    <row r="8" spans="1:218" x14ac:dyDescent="0.35">
      <c r="A8" s="10">
        <f t="shared" si="31"/>
        <v>5</v>
      </c>
      <c r="B8" s="72">
        <f>'Scénario référence'!$B$16*5+'Scénario référence'!$B$17*0+'Scénario référence'!$B$18*5</f>
        <v>5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66">
        <f t="shared" si="1"/>
        <v>183.33333333333334</v>
      </c>
      <c r="I8" s="6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4.0628205133333335</v>
      </c>
      <c r="N8" s="13">
        <f>IF('Données projet'!$A$36&gt;35,N7+M8-V7,IF(A8&lt;'Données projet'!$A$36,$K$205^A8,IF(A8='Données projet'!$A$36,'Données projet'!$B$36,N7+M8-V7)))</f>
        <v>2.2266817444103162</v>
      </c>
      <c r="O8" s="13">
        <f>N8*VLOOKUP('Données projet'!$B$9,Paramètres!$A$1:$I$89,3,0)*VLOOKUP('Données projet'!$B$9,Paramètres!$A$1:$I$89,5,0)</f>
        <v>2.014701642342454</v>
      </c>
      <c r="P8" s="13">
        <f t="shared" si="33"/>
        <v>0.85576136424260163</v>
      </c>
      <c r="Q8" s="20">
        <f t="shared" si="2"/>
        <v>4.999389736468971</v>
      </c>
      <c r="R8" s="59">
        <f t="shared" si="0"/>
        <v>183.79043761291632</v>
      </c>
      <c r="S8" s="59">
        <f ca="1">AVERAGE(OFFSET($R$3,0,0,'Données projet'!$E$9+1,1))-AVERAGE(OFFSET($H$3,0,0,'Données projet'!$E$9+1,1))</f>
        <v>567.42635821507474</v>
      </c>
      <c r="T8" s="59">
        <f t="shared" si="34"/>
        <v>299.04735309930152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4.0628205133333335</v>
      </c>
      <c r="AI8" s="13">
        <f>IF('Données projet'!$A$62&gt;35,AI7+AH8-AQ7,IF(A8&lt;'Données projet'!$A$62,$AF$205^A8,IF(A8='Données projet'!$A$62,'Données projet'!$B$62,AI7+AH8-AQ7)))</f>
        <v>2.2266817444103162</v>
      </c>
      <c r="AJ8" s="13">
        <f>AI8*VLOOKUP('Données projet'!$B$10,Paramètres!$A$1:$I$89,3,0)*VLOOKUP('Données projet'!$B$10,Paramètres!$A$1:$I$89,5,0)</f>
        <v>2.2578552888320607</v>
      </c>
      <c r="AK8" s="13">
        <f t="shared" si="35"/>
        <v>0.94640699589199906</v>
      </c>
      <c r="AL8" s="20">
        <f t="shared" si="4"/>
        <v>5.58075681256107</v>
      </c>
      <c r="AM8" s="59">
        <f t="shared" si="5"/>
        <v>184.37180468900843</v>
      </c>
      <c r="AN8" s="59">
        <f ca="1">AVERAGE(OFFSET($AM$3,0,0,'Données projet'!$E$10+1,1))-AVERAGE(OFFSET($H$3,0,0,'Données projet'!$E$10+1,1))</f>
        <v>626.09203985591455</v>
      </c>
      <c r="AO8" s="59">
        <f t="shared" si="36"/>
        <v>327.65191296575199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1.6</v>
      </c>
      <c r="BD8" s="12">
        <f>IF('Données projet'!$A$88&gt;35,BD7+BC8-BL7,IF(A8&lt;'Données projet'!$A$88,$BA$205^A8,IF(A8='Données projet'!$A$88,'Données projet'!$B$88,BD7+BC8-BL7)))</f>
        <v>2.3784142300054416</v>
      </c>
      <c r="BE8" s="13">
        <f>BD8*VLOOKUP('Données projet'!$B$11,Paramètres!$A$1:$I$89,3,0)*VLOOKUP('Données projet'!$B$11,Paramètres!$A$1:$I$89,5,0)</f>
        <v>2.0406794093446692</v>
      </c>
      <c r="BF8" s="13">
        <f t="shared" si="37"/>
        <v>0.86550396667632346</v>
      </c>
      <c r="BG8" s="20">
        <f t="shared" si="7"/>
        <v>5.061602713236562</v>
      </c>
      <c r="BH8" s="59">
        <f t="shared" si="8"/>
        <v>183.85265058968392</v>
      </c>
      <c r="BI8" s="59">
        <f ca="1">AVERAGE(OFFSET($BH$3,0,0,'Données projet'!$E$11+1,1))-AVERAGE(OFFSET($H$3,0,0,'Données projet'!$E$11+1,1))</f>
        <v>481.23392184981651</v>
      </c>
      <c r="BJ8" s="59">
        <f t="shared" si="38"/>
        <v>275.88160405468193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4.8773333333333335</v>
      </c>
      <c r="BY8" s="12">
        <f>IF('Données projet'!$A$114&gt;35,BY7+BX8-CG7,IF(A8&lt;'Données projet'!$A$114,$BV$205^A8,IF(A8='Données projet'!$A$114,'Données projet'!$B$114,BY7+BX8-CG7)))</f>
        <v>2.2955351580859387</v>
      </c>
      <c r="BZ8" s="13">
        <f>BY8*VLOOKUP('Données projet'!$B$12,Paramètres!$A$1:$I$89,3,0)*VLOOKUP('Données projet'!$B$12,Paramètres!$A$1:$I$89,5,0)</f>
        <v>1.0743104539842192</v>
      </c>
      <c r="CA8" s="13">
        <f t="shared" si="39"/>
        <v>0.49097384569276598</v>
      </c>
      <c r="CB8" s="20">
        <f t="shared" si="10"/>
        <v>2.726203488604082</v>
      </c>
      <c r="CC8" s="59">
        <f t="shared" si="11"/>
        <v>181.51725136505144</v>
      </c>
      <c r="CD8" s="59">
        <f ca="1">AVERAGE(OFFSET($CC$3,0,0,'Données projet'!$E$12+1,1))-AVERAGE(OFFSET($H$3,0,0,'Données projet'!$E$12+1,1))</f>
        <v>331.86732359395467</v>
      </c>
      <c r="CE8" s="59">
        <f t="shared" si="40"/>
        <v>208.64489375183106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1.1000000000000001</v>
      </c>
      <c r="CT8" s="12">
        <f>IF('Données projet'!$A$140&gt;35,CT7+CS8-DB7,IF(A8&lt;'Données projet'!$A$140,$CQ$205^A8,IF(A8='Données projet'!$A$140,'Données projet'!$B$140,CT7+CS8-DB7)))</f>
        <v>3.3166247903554016</v>
      </c>
      <c r="CU8" s="17">
        <f>CT8*VLOOKUP('Données projet'!$B$13,Paramètres!$A$1:$I$89,3,0)*VLOOKUP('Données projet'!$B$13,Paramètres!$A$1:$I$89,5,0)</f>
        <v>2.4317492962885807</v>
      </c>
      <c r="CV8" s="13">
        <f t="shared" si="41"/>
        <v>1.010531639108154</v>
      </c>
      <c r="CW8" s="20">
        <f t="shared" si="13"/>
        <v>5.9953059624826457</v>
      </c>
      <c r="CX8" s="59">
        <f t="shared" si="14"/>
        <v>184.78635383892998</v>
      </c>
      <c r="CY8" s="59">
        <f ca="1">AVERAGE(OFFSET($CX$3,0,0,'Données projet'!$E$13+1,1))-AVERAGE(OFFSET($H$3,0,0,'Données projet'!$E$13+1,1))</f>
        <v>352.45777291109863</v>
      </c>
      <c r="CZ8" s="59">
        <f t="shared" si="42"/>
        <v>340.92165104349181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4.0628205133333335</v>
      </c>
      <c r="DO8" s="12">
        <f>IF('Données projet'!$A$166&gt;35,DO7+DN8-DW7,IF(A8&lt;'Données projet'!$A$166,$DL$205^A8,IF(A8='Données projet'!$A$166,'Données projet'!$B$166,DO7+DN8-DW7)))</f>
        <v>2.2266817444103162</v>
      </c>
      <c r="DP8" s="17">
        <f>DO8*VLOOKUP('Données projet'!$B$14,Paramètres!$A$1:$I$89,3,0)*VLOOKUP('Données projet'!$B$14,Paramètres!$A$1:$I$89,5,0)</f>
        <v>1.4936581141504401</v>
      </c>
      <c r="DQ8" s="13">
        <f t="shared" si="43"/>
        <v>0.65693201506078647</v>
      </c>
      <c r="DR8" s="20">
        <f t="shared" si="16"/>
        <v>3.7456111417095532</v>
      </c>
      <c r="DS8" s="59">
        <f t="shared" si="17"/>
        <v>182.53665901815691</v>
      </c>
      <c r="DT8" s="59">
        <f ca="1">AVERAGE(OFFSET($DS$3,0,0,'Données projet'!$E$14+1,1))-AVERAGE(OFFSET($H$3,0,0,'Données projet'!$E$14+1,1))</f>
        <v>441.20130048888439</v>
      </c>
      <c r="DU8" s="59">
        <f t="shared" si="44"/>
        <v>237.47732532183946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1.1000000000000001</v>
      </c>
      <c r="EJ8" s="12">
        <f>IF('Données projet'!$A$192&gt;35,EJ7+EI8-ER7,IF(A8&lt;'Données projet'!$A$192,$EG$205^A8,IF(A8='Données projet'!$A$192,'Données projet'!$B$192,EJ7+EI8-ER7)))</f>
        <v>3.3166247903554016</v>
      </c>
      <c r="EK8" s="17">
        <f>EJ8*VLOOKUP('Données projet'!$B$15,Paramètres!$A$1:$I$89,3,0)*VLOOKUP('Données projet'!$B$15,Paramètres!$A$1:$I$89,5,0)</f>
        <v>2.6387066832067574</v>
      </c>
      <c r="EL8" s="13">
        <f t="shared" si="45"/>
        <v>1.0861586266766543</v>
      </c>
      <c r="EM8" s="20">
        <f t="shared" si="19"/>
        <v>6.4874737480469413</v>
      </c>
      <c r="EN8" s="59">
        <f t="shared" si="20"/>
        <v>185.27852162449429</v>
      </c>
      <c r="EO8" s="59">
        <f ca="1">AVERAGE(OFFSET($EN$3,0,0,'Données projet'!$E$15+1,1))-AVERAGE(OFFSET($H$3,0,0,'Données projet'!$E$15+1,1))</f>
        <v>377.27600411578322</v>
      </c>
      <c r="EP8" s="59">
        <f t="shared" si="46"/>
        <v>364.58250627635425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>
        <f>EXP(-LN(2)/35)*EV7+(1-EXP(-LN(2)/35))/(LN(2)/35)*ER8*ES8*VLOOKUP('Données projet'!$B$15,Paramètres!$A$1:$I$89,3,0)*0.475*44/12</f>
        <v>0</v>
      </c>
      <c r="EW8" s="21">
        <f>EXP(-LN(2)/25)*EW7+(1-EXP(-LN(2)/25))/(LN(2)/25)*Calculateur!ER8*Calculateur!ET8*VLOOKUP('Données projet'!$B$15,Paramètres!$A$1:$I$89,3,0)*0.475*44/12</f>
        <v>0</v>
      </c>
      <c r="EX8" s="21">
        <f>EXP(-LN(2)/2)*EX7+(1-EXP(-LN(2)/2))/(LN(2)/2)*ER8*EU8*VLOOKUP('Données projet'!$B$15,Paramètres!$A$1:$I$89,3,0)*0.475*44/12</f>
        <v>0</v>
      </c>
      <c r="EY8" s="22">
        <f t="shared" si="21"/>
        <v>0</v>
      </c>
      <c r="EZ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1.1000000000000001</v>
      </c>
      <c r="FE8" s="12">
        <f>IF('Données projet'!$A$218&gt;35,FE7+FD8-FM7,IF(A8&lt;'Données projet'!$A$218,$FB$205^A8,IF(A8='Données projet'!$A$218,'Données projet'!$B$218,FE7+FD8-FM7)))</f>
        <v>3.3166247903554016</v>
      </c>
      <c r="FF8" s="17">
        <f>FE8*VLOOKUP('Données projet'!$B$16,Paramètres!$A$1:$I$89,3,0)*VLOOKUP('Données projet'!$B$16,Paramètres!$A$1:$I$89,5,0)</f>
        <v>2.690446029936302</v>
      </c>
      <c r="FG8" s="13">
        <f t="shared" si="47"/>
        <v>1.1049555374832079</v>
      </c>
      <c r="FH8" s="20">
        <f t="shared" si="22"/>
        <v>6.6103243965889789</v>
      </c>
      <c r="FI8" s="59">
        <f t="shared" si="23"/>
        <v>185.40137227303632</v>
      </c>
      <c r="FJ8" s="59">
        <f ca="1">AVERAGE(OFFSET($FI$3,0,0,'Données projet'!$E$16+1,1))-AVERAGE(OFFSET($H$3,0,0,'Données projet'!$E$16+1,1))</f>
        <v>383.47399633251354</v>
      </c>
      <c r="FK8" s="59">
        <f t="shared" si="48"/>
        <v>370.49129421395628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>
        <f>EXP(-LN(2)/35)*FQ7+(1-EXP(-LN(2)/35))/(LN(2)/35)*FM8*FN8*VLOOKUP('Données projet'!$B$16,Paramètres!$A$1:$I$89,3,0)*0.475*44/12</f>
        <v>0</v>
      </c>
      <c r="FR8" s="21">
        <f>EXP(-LN(2)/25)*FR7+(1-EXP(-LN(2)/25))/(LN(2)/25)*Calculateur!FM8*Calculateur!FO8*VLOOKUP('Données projet'!$B$16,Paramètres!$A$1:$I$89,3,0)*0.475*44/12</f>
        <v>0</v>
      </c>
      <c r="FS8" s="21">
        <f>EXP(-LN(2)/2)*FS7+(1-EXP(-LN(2)/2))/(LN(2)/2)*FM8*FP8*VLOOKUP('Données projet'!$B$16,Paramètres!$A$1:$I$89,3,0)*0.475*44/12</f>
        <v>0</v>
      </c>
      <c r="FT8" s="22">
        <f t="shared" si="24"/>
        <v>0</v>
      </c>
      <c r="FU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4.0628205133333335</v>
      </c>
      <c r="FZ8" s="12">
        <f>IF('Données projet'!$A$244&gt;35,FZ7+FY8-GH7,IF(A8&lt;'Données projet'!$A$244,$FW$205^A8,IF(A8='Données projet'!$A$244,'Données projet'!$B$244,FZ7+FY8-GH7)))</f>
        <v>2.2266817444103162</v>
      </c>
      <c r="GA8" s="17">
        <f>FZ8*VLOOKUP('Données projet'!$B$17,Paramètres!$A$1:$I$89,3,0)*VLOOKUP('Données projet'!$B$17,Paramètres!$A$1:$I$89,5,0)</f>
        <v>2.1189103479808566</v>
      </c>
      <c r="GB8" s="13">
        <f t="shared" si="49"/>
        <v>0.8947570773246869</v>
      </c>
      <c r="GC8" s="20">
        <f t="shared" si="25"/>
        <v>5.248804099073821</v>
      </c>
      <c r="GD8" s="59">
        <f t="shared" si="26"/>
        <v>184.03985197552117</v>
      </c>
      <c r="GE8" s="59">
        <f ca="1">AVERAGE(OFFSET($GD$3,0,0,'Données projet'!$E$17+1,1))-AVERAGE(OFFSET($H$3,0,0,'Données projet'!$E$17+1,1))</f>
        <v>592.58528889137358</v>
      </c>
      <c r="GF8" s="59">
        <f t="shared" si="50"/>
        <v>311.31528020403709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>
        <f>EXP(-LN(2)/35)*GL7+(1-EXP(-LN(2)/35))/(LN(2)/35)*GH8*GI8*VLOOKUP('Données projet'!$B$17,Paramètres!$A$1:$I$89,3,0)*0.475*44/12</f>
        <v>0</v>
      </c>
      <c r="GM8" s="21">
        <f>EXP(-LN(2)/25)*GM7+(1-EXP(-LN(2)/25))/(LN(2)/25)*Calculateur!GH8*Calculateur!GJ8*VLOOKUP('Données projet'!$B$17,Paramètres!$A$1:$I$89,3,0)*0.475*44/12</f>
        <v>0</v>
      </c>
      <c r="GN8" s="21">
        <f>EXP(-LN(2)/2)*GN7+(1-EXP(-LN(2)/2))/(LN(2)/2)*GH8*GK8*VLOOKUP('Données projet'!$B$17,Paramètres!$A$1:$I$89,3,0)*0.475*44/12</f>
        <v>0</v>
      </c>
      <c r="GO8" s="21">
        <f t="shared" si="27"/>
        <v>0</v>
      </c>
      <c r="GP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2.6666666666666665</v>
      </c>
      <c r="GU8" s="12">
        <f>IF('Données projet'!$A$270&gt;35,GU7+GT8-HC7,IF(A8&lt;'Données projet'!$A$270,$GR$205^A8,IF(A8='Données projet'!$A$270,'Données projet'!$B$270,GU7+GT8-HC7)))</f>
        <v>3.4199518933533928</v>
      </c>
      <c r="GV8" s="17">
        <f>GU8*VLOOKUP('Données projet'!$B$18,Paramètres!$A$1:$I$89,3,0)*VLOOKUP('Données projet'!$B$18,Paramètres!$A$1:$I$89,5,0)</f>
        <v>2.6675624768156463</v>
      </c>
      <c r="GW8" s="13">
        <f t="shared" si="51"/>
        <v>1.0966471776471767</v>
      </c>
      <c r="GX8" s="20">
        <f t="shared" si="28"/>
        <v>6.5559984815227494</v>
      </c>
      <c r="GY8" s="59">
        <f t="shared" si="29"/>
        <v>185.3470463579701</v>
      </c>
      <c r="GZ8" s="59">
        <f ca="1">AVERAGE(OFFSET($GY$3,0,0,'Données projet'!$E$18+1,1))-AVERAGE(OFFSET($H$3,0,0,'Données projet'!$E$18+1,1))</f>
        <v>308.85018589589453</v>
      </c>
      <c r="HA8" s="59">
        <f t="shared" si="52"/>
        <v>302.59481222418219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>
        <f>EXP(-LN(2)/35)*HG7+(1-EXP(-LN(2)/35))/(LN(2)/35)*HC8*HD8*VLOOKUP('Données projet'!$B$18,Paramètres!$A$1:$I$89,3,0)*0.475*44/12</f>
        <v>0</v>
      </c>
      <c r="HH8" s="21">
        <f>EXP(-LN(2)/25)*HH7+(1-EXP(-LN(2)/25))/(LN(2)/25)*Calculateur!HC8*Calculateur!HE8*VLOOKUP('Données projet'!$B$18,Paramètres!$A$1:$I$89,3,0)*0.475*44/12</f>
        <v>0</v>
      </c>
      <c r="HI8" s="21">
        <f>EXP(-LN(2)/2)*HI7+(1-EXP(-LN(2)/2))/(LN(2)/2)*HC8*HF8*VLOOKUP('Données projet'!$B$18,Paramètres!$A$1:$I$89,3,0)*0.475*44/12</f>
        <v>0</v>
      </c>
      <c r="HJ8" s="22">
        <f t="shared" si="30"/>
        <v>0</v>
      </c>
    </row>
    <row r="9" spans="1:218" x14ac:dyDescent="0.35">
      <c r="A9" s="10">
        <f t="shared" si="31"/>
        <v>6</v>
      </c>
      <c r="B9" s="72">
        <f>'Scénario référence'!$B$16*5+'Scénario référence'!$B$17*0+'Scénario référence'!$B$18*5</f>
        <v>5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66">
        <f t="shared" si="1"/>
        <v>183.33333333333334</v>
      </c>
      <c r="I9" s="6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4.0628205133333335</v>
      </c>
      <c r="N9" s="13">
        <f>IF('Données projet'!$A$36&gt;35,N8+M9-V8,IF(A9&lt;'Données projet'!$A$36,$K$205^A9,IF(A9='Données projet'!$A$36,'Données projet'!$B$36,N8+M9-V8)))</f>
        <v>2.613303067619599</v>
      </c>
      <c r="O9" s="13">
        <f>N9*VLOOKUP('Données projet'!$B$9,Paramètres!$A$1:$I$89,3,0)*VLOOKUP('Données projet'!$B$9,Paramètres!$A$1:$I$89,5,0)</f>
        <v>2.3645166155822133</v>
      </c>
      <c r="P9" s="13">
        <f t="shared" si="33"/>
        <v>0.98580456097685032</v>
      </c>
      <c r="Q9" s="20">
        <f t="shared" si="2"/>
        <v>5.8351427158403695</v>
      </c>
      <c r="R9" s="59">
        <f t="shared" si="0"/>
        <v>187.30539481209934</v>
      </c>
      <c r="S9" s="59">
        <f ca="1">AVERAGE(OFFSET($R$3,0,0,'Données projet'!$E$9+1,1))-AVERAGE(OFFSET($H$3,0,0,'Données projet'!$E$9+1,1))</f>
        <v>567.42635821507474</v>
      </c>
      <c r="T9" s="59">
        <f t="shared" si="34"/>
        <v>299.04735309930152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4.0628205133333335</v>
      </c>
      <c r="AI9" s="13">
        <f>IF('Données projet'!$A$62&gt;35,AI8+AH9-AQ8,IF(A9&lt;'Données projet'!$A$62,$AF$205^A9,IF(A9='Données projet'!$A$62,'Données projet'!$B$62,AI8+AH9-AQ8)))</f>
        <v>2.613303067619599</v>
      </c>
      <c r="AJ9" s="13">
        <f>AI9*VLOOKUP('Données projet'!$B$10,Paramètres!$A$1:$I$89,3,0)*VLOOKUP('Données projet'!$B$10,Paramètres!$A$1:$I$89,5,0)</f>
        <v>2.6498893105662735</v>
      </c>
      <c r="AK9" s="13">
        <f t="shared" si="35"/>
        <v>1.0902248828637717</v>
      </c>
      <c r="AL9" s="20">
        <f t="shared" si="4"/>
        <v>6.5140322202239958</v>
      </c>
      <c r="AM9" s="59">
        <f t="shared" si="5"/>
        <v>187.98428431648296</v>
      </c>
      <c r="AN9" s="59">
        <f ca="1">AVERAGE(OFFSET($AM$3,0,0,'Données projet'!$E$10+1,1))-AVERAGE(OFFSET($H$3,0,0,'Données projet'!$E$10+1,1))</f>
        <v>626.09203985591455</v>
      </c>
      <c r="AO9" s="59">
        <f t="shared" si="36"/>
        <v>327.65191296575199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1.6</v>
      </c>
      <c r="BD9" s="12">
        <f>IF('Données projet'!$A$88&gt;35,BD8+BC9-BL8,IF(A9&lt;'Données projet'!$A$88,$BA$205^A9,IF(A9='Données projet'!$A$88,'Données projet'!$B$88,BD8+BC9-BL8)))</f>
        <v>2.8284271247461894</v>
      </c>
      <c r="BE9" s="13">
        <f>BD9*VLOOKUP('Données projet'!$B$11,Paramètres!$A$1:$I$89,3,0)*VLOOKUP('Données projet'!$B$11,Paramètres!$A$1:$I$89,5,0)</f>
        <v>2.4267904730322307</v>
      </c>
      <c r="BF9" s="13">
        <f t="shared" si="37"/>
        <v>1.0087106093953995</v>
      </c>
      <c r="BG9" s="20">
        <f t="shared" si="7"/>
        <v>5.9834977185614555</v>
      </c>
      <c r="BH9" s="59">
        <f t="shared" si="8"/>
        <v>187.45374981482044</v>
      </c>
      <c r="BI9" s="59">
        <f ca="1">AVERAGE(OFFSET($BH$3,0,0,'Données projet'!$E$11+1,1))-AVERAGE(OFFSET($H$3,0,0,'Données projet'!$E$11+1,1))</f>
        <v>481.23392184981651</v>
      </c>
      <c r="BJ9" s="59">
        <f t="shared" si="38"/>
        <v>275.88160405468193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4.8773333333333335</v>
      </c>
      <c r="BY9" s="12">
        <f>IF('Données projet'!$A$114&gt;35,BY8+BX9-CG8,IF(A9&lt;'Données projet'!$A$114,$BV$205^A9,IF(A9='Données projet'!$A$114,'Données projet'!$B$114,BY8+BX9-CG8)))</f>
        <v>2.7105706937387315</v>
      </c>
      <c r="BZ9" s="13">
        <f>BY9*VLOOKUP('Données projet'!$B$12,Paramètres!$A$1:$I$89,3,0)*VLOOKUP('Données projet'!$B$12,Paramètres!$A$1:$I$89,5,0)</f>
        <v>1.2685470846697264</v>
      </c>
      <c r="CA9" s="13">
        <f t="shared" si="39"/>
        <v>0.56863523801337523</v>
      </c>
      <c r="CB9" s="20">
        <f t="shared" si="10"/>
        <v>3.199759212006402</v>
      </c>
      <c r="CC9" s="59">
        <f t="shared" si="11"/>
        <v>184.67001130826537</v>
      </c>
      <c r="CD9" s="59">
        <f ca="1">AVERAGE(OFFSET($CC$3,0,0,'Données projet'!$E$12+1,1))-AVERAGE(OFFSET($H$3,0,0,'Données projet'!$E$12+1,1))</f>
        <v>331.86732359395467</v>
      </c>
      <c r="CE9" s="59">
        <f t="shared" si="40"/>
        <v>208.64489375183106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1.1000000000000001</v>
      </c>
      <c r="CT9" s="12">
        <f>IF('Données projet'!$A$140&gt;35,CT8+CS9-DB8,IF(A9&lt;'Données projet'!$A$140,$CQ$205^A9,IF(A9='Données projet'!$A$140,'Données projet'!$B$140,CT8+CS9-DB8)))</f>
        <v>4.2153691330919028</v>
      </c>
      <c r="CU9" s="17">
        <f>CT9*VLOOKUP('Données projet'!$B$13,Paramètres!$A$1:$I$89,3,0)*VLOOKUP('Données projet'!$B$13,Paramètres!$A$1:$I$89,5,0)</f>
        <v>3.0907086483829831</v>
      </c>
      <c r="CV9" s="13">
        <f t="shared" si="41"/>
        <v>1.2490141923201104</v>
      </c>
      <c r="CW9" s="20">
        <f t="shared" si="13"/>
        <v>7.5583506142245538</v>
      </c>
      <c r="CX9" s="59">
        <f t="shared" si="14"/>
        <v>189.02860271048354</v>
      </c>
      <c r="CY9" s="59">
        <f ca="1">AVERAGE(OFFSET($CX$3,0,0,'Données projet'!$E$13+1,1))-AVERAGE(OFFSET($H$3,0,0,'Données projet'!$E$13+1,1))</f>
        <v>352.45777291109863</v>
      </c>
      <c r="CZ9" s="59">
        <f t="shared" si="42"/>
        <v>340.92165104349181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4.0628205133333335</v>
      </c>
      <c r="DO9" s="12">
        <f>IF('Données projet'!$A$166&gt;35,DO8+DN9-DW8,IF(A9&lt;'Données projet'!$A$166,$DL$205^A9,IF(A9='Données projet'!$A$166,'Données projet'!$B$166,DO8+DN9-DW8)))</f>
        <v>2.613303067619599</v>
      </c>
      <c r="DP9" s="17">
        <f>DO9*VLOOKUP('Données projet'!$B$14,Paramètres!$A$1:$I$89,3,0)*VLOOKUP('Données projet'!$B$14,Paramètres!$A$1:$I$89,5,0)</f>
        <v>1.7530036977592272</v>
      </c>
      <c r="DQ9" s="13">
        <f t="shared" si="43"/>
        <v>0.7567607089527878</v>
      </c>
      <c r="DR9" s="20">
        <f t="shared" si="16"/>
        <v>4.3711730083567595</v>
      </c>
      <c r="DS9" s="59">
        <f t="shared" si="17"/>
        <v>185.84142510461572</v>
      </c>
      <c r="DT9" s="59">
        <f ca="1">AVERAGE(OFFSET($DS$3,0,0,'Données projet'!$E$14+1,1))-AVERAGE(OFFSET($H$3,0,0,'Données projet'!$E$14+1,1))</f>
        <v>441.20130048888439</v>
      </c>
      <c r="DU9" s="59">
        <f t="shared" si="44"/>
        <v>237.47732532183946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1.1000000000000001</v>
      </c>
      <c r="EJ9" s="12">
        <f>IF('Données projet'!$A$192&gt;35,EJ8+EI9-ER8,IF(A9&lt;'Données projet'!$A$192,$EG$205^A9,IF(A9='Données projet'!$A$192,'Données projet'!$B$192,EJ8+EI9-ER8)))</f>
        <v>4.2153691330919028</v>
      </c>
      <c r="EK9" s="17">
        <f>EJ9*VLOOKUP('Données projet'!$B$15,Paramètres!$A$1:$I$89,3,0)*VLOOKUP('Données projet'!$B$15,Paramètres!$A$1:$I$89,5,0)</f>
        <v>3.353747682287918</v>
      </c>
      <c r="EL9" s="13">
        <f t="shared" si="45"/>
        <v>1.3424889309030987</v>
      </c>
      <c r="EM9" s="20">
        <f t="shared" si="19"/>
        <v>8.1792787679743544</v>
      </c>
      <c r="EN9" s="59">
        <f t="shared" si="20"/>
        <v>189.64953086423333</v>
      </c>
      <c r="EO9" s="59">
        <f ca="1">AVERAGE(OFFSET($EN$3,0,0,'Données projet'!$E$15+1,1))-AVERAGE(OFFSET($H$3,0,0,'Données projet'!$E$15+1,1))</f>
        <v>377.27600411578322</v>
      </c>
      <c r="EP9" s="59">
        <f t="shared" si="46"/>
        <v>364.58250627635425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>
        <f>EXP(-LN(2)/35)*EV8+(1-EXP(-LN(2)/35))/(LN(2)/35)*ER9*ES9*VLOOKUP('Données projet'!$B$15,Paramètres!$A$1:$I$89,3,0)*0.475*44/12</f>
        <v>0</v>
      </c>
      <c r="EW9" s="21">
        <f>EXP(-LN(2)/25)*EW8+(1-EXP(-LN(2)/25))/(LN(2)/25)*Calculateur!ER9*Calculateur!ET9*VLOOKUP('Données projet'!$B$15,Paramètres!$A$1:$I$89,3,0)*0.475*44/12</f>
        <v>0</v>
      </c>
      <c r="EX9" s="21">
        <f>EXP(-LN(2)/2)*EX8+(1-EXP(-LN(2)/2))/(LN(2)/2)*ER9*EU9*VLOOKUP('Données projet'!$B$15,Paramètres!$A$1:$I$89,3,0)*0.475*44/12</f>
        <v>0</v>
      </c>
      <c r="EY9" s="22">
        <f t="shared" si="21"/>
        <v>0</v>
      </c>
      <c r="EZ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1.1000000000000001</v>
      </c>
      <c r="FE9" s="12">
        <f>IF('Données projet'!$A$218&gt;35,FE8+FD9-FM8,IF(A9&lt;'Données projet'!$A$218,$FB$205^A9,IF(A9='Données projet'!$A$218,'Données projet'!$B$218,FE8+FD9-FM8)))</f>
        <v>4.2153691330919028</v>
      </c>
      <c r="FF9" s="17">
        <f>FE9*VLOOKUP('Données projet'!$B$16,Paramètres!$A$1:$I$89,3,0)*VLOOKUP('Données projet'!$B$16,Paramètres!$A$1:$I$89,5,0)</f>
        <v>3.4195074407641517</v>
      </c>
      <c r="FG9" s="13">
        <f t="shared" si="47"/>
        <v>1.3657218584637647</v>
      </c>
      <c r="FH9" s="20">
        <f t="shared" si="22"/>
        <v>8.3342743628219527</v>
      </c>
      <c r="FI9" s="59">
        <f t="shared" si="23"/>
        <v>189.80452645908093</v>
      </c>
      <c r="FJ9" s="59">
        <f ca="1">AVERAGE(OFFSET($FI$3,0,0,'Données projet'!$E$16+1,1))-AVERAGE(OFFSET($H$3,0,0,'Données projet'!$E$16+1,1))</f>
        <v>383.47399633251354</v>
      </c>
      <c r="FK9" s="59">
        <f t="shared" si="48"/>
        <v>370.49129421395628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>
        <f>EXP(-LN(2)/35)*FQ8+(1-EXP(-LN(2)/35))/(LN(2)/35)*FM9*FN9*VLOOKUP('Données projet'!$B$16,Paramètres!$A$1:$I$89,3,0)*0.475*44/12</f>
        <v>0</v>
      </c>
      <c r="FR9" s="21">
        <f>EXP(-LN(2)/25)*FR8+(1-EXP(-LN(2)/25))/(LN(2)/25)*Calculateur!FM9*Calculateur!FO9*VLOOKUP('Données projet'!$B$16,Paramètres!$A$1:$I$89,3,0)*0.475*44/12</f>
        <v>0</v>
      </c>
      <c r="FS9" s="21">
        <f>EXP(-LN(2)/2)*FS8+(1-EXP(-LN(2)/2))/(LN(2)/2)*FM9*FP9*VLOOKUP('Données projet'!$B$16,Paramètres!$A$1:$I$89,3,0)*0.475*44/12</f>
        <v>0</v>
      </c>
      <c r="FT9" s="22">
        <f t="shared" si="24"/>
        <v>0</v>
      </c>
      <c r="FU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4.0628205133333335</v>
      </c>
      <c r="FZ9" s="12">
        <f>IF('Données projet'!$A$244&gt;35,FZ8+FY9-GH8,IF(A9&lt;'Données projet'!$A$244,$FW$205^A9,IF(A9='Données projet'!$A$244,'Données projet'!$B$244,FZ8+FY9-GH8)))</f>
        <v>2.613303067619599</v>
      </c>
      <c r="GA9" s="17">
        <f>FZ9*VLOOKUP('Données projet'!$B$17,Paramètres!$A$1:$I$89,3,0)*VLOOKUP('Données projet'!$B$17,Paramètres!$A$1:$I$89,5,0)</f>
        <v>2.4868191991468103</v>
      </c>
      <c r="GB9" s="13">
        <f t="shared" si="49"/>
        <v>1.0307261400772199</v>
      </c>
      <c r="GC9" s="20">
        <f t="shared" si="25"/>
        <v>6.1263914658151855</v>
      </c>
      <c r="GD9" s="59">
        <f t="shared" si="26"/>
        <v>187.59664356207415</v>
      </c>
      <c r="GE9" s="59">
        <f ca="1">AVERAGE(OFFSET($GD$3,0,0,'Données projet'!$E$17+1,1))-AVERAGE(OFFSET($H$3,0,0,'Données projet'!$E$17+1,1))</f>
        <v>592.58528889137358</v>
      </c>
      <c r="GF9" s="59">
        <f t="shared" si="50"/>
        <v>311.31528020403709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>
        <f>EXP(-LN(2)/35)*GL8+(1-EXP(-LN(2)/35))/(LN(2)/35)*GH9*GI9*VLOOKUP('Données projet'!$B$17,Paramètres!$A$1:$I$89,3,0)*0.475*44/12</f>
        <v>0</v>
      </c>
      <c r="GM9" s="21">
        <f>EXP(-LN(2)/25)*GM8+(1-EXP(-LN(2)/25))/(LN(2)/25)*Calculateur!GH9*Calculateur!GJ9*VLOOKUP('Données projet'!$B$17,Paramètres!$A$1:$I$89,3,0)*0.475*44/12</f>
        <v>0</v>
      </c>
      <c r="GN9" s="21">
        <f>EXP(-LN(2)/2)*GN8+(1-EXP(-LN(2)/2))/(LN(2)/2)*GH9*GK9*VLOOKUP('Données projet'!$B$17,Paramètres!$A$1:$I$89,3,0)*0.475*44/12</f>
        <v>0</v>
      </c>
      <c r="GO9" s="21">
        <f t="shared" si="27"/>
        <v>0</v>
      </c>
      <c r="GP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2.6666666666666665</v>
      </c>
      <c r="GU9" s="12">
        <f>IF('Données projet'!$A$270&gt;35,GU8+GT9-HC8,IF(A9&lt;'Données projet'!$A$270,$GR$205^A9,IF(A9='Données projet'!$A$270,'Données projet'!$B$270,GU8+GT9-HC8)))</f>
        <v>4.3734482957731098</v>
      </c>
      <c r="GV9" s="17">
        <f>GU9*VLOOKUP('Données projet'!$B$18,Paramètres!$A$1:$I$89,3,0)*VLOOKUP('Données projet'!$B$18,Paramètres!$A$1:$I$89,5,0)</f>
        <v>3.4112896707030256</v>
      </c>
      <c r="GW9" s="13">
        <f t="shared" si="51"/>
        <v>1.3628213830192535</v>
      </c>
      <c r="GX9" s="20">
        <f t="shared" si="28"/>
        <v>8.3149100852329703</v>
      </c>
      <c r="GY9" s="59">
        <f t="shared" si="29"/>
        <v>189.78516218149196</v>
      </c>
      <c r="GZ9" s="59">
        <f ca="1">AVERAGE(OFFSET($GY$3,0,0,'Données projet'!$E$18+1,1))-AVERAGE(OFFSET($H$3,0,0,'Données projet'!$E$18+1,1))</f>
        <v>308.85018589589453</v>
      </c>
      <c r="HA9" s="59">
        <f t="shared" si="52"/>
        <v>302.59481222418219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>
        <f>EXP(-LN(2)/35)*HG8+(1-EXP(-LN(2)/35))/(LN(2)/35)*HC9*HD9*VLOOKUP('Données projet'!$B$18,Paramètres!$A$1:$I$89,3,0)*0.475*44/12</f>
        <v>0</v>
      </c>
      <c r="HH9" s="21">
        <f>EXP(-LN(2)/25)*HH8+(1-EXP(-LN(2)/25))/(LN(2)/25)*Calculateur!HC9*Calculateur!HE9*VLOOKUP('Données projet'!$B$18,Paramètres!$A$1:$I$89,3,0)*0.475*44/12</f>
        <v>0</v>
      </c>
      <c r="HI9" s="21">
        <f>EXP(-LN(2)/2)*HI8+(1-EXP(-LN(2)/2))/(LN(2)/2)*HC9*HF9*VLOOKUP('Données projet'!$B$18,Paramètres!$A$1:$I$89,3,0)*0.475*44/12</f>
        <v>0</v>
      </c>
      <c r="HJ9" s="22">
        <f t="shared" si="30"/>
        <v>0</v>
      </c>
    </row>
    <row r="10" spans="1:218" x14ac:dyDescent="0.35">
      <c r="A10" s="10">
        <f t="shared" si="31"/>
        <v>7</v>
      </c>
      <c r="B10" s="72">
        <f>'Scénario référence'!$B$16*5+'Scénario référence'!$B$17*0+'Scénario référence'!$B$18*5</f>
        <v>5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66">
        <f t="shared" si="1"/>
        <v>183.33333333333334</v>
      </c>
      <c r="I10" s="6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4.0628205133333335</v>
      </c>
      <c r="N10" s="13">
        <f>IF('Données projet'!$A$36&gt;35,N9+M10-V9,IF(A10&lt;'Données projet'!$A$36,$K$205^A10,IF(A10='Données projet'!$A$36,'Données projet'!$B$36,N9+M10-V9)))</f>
        <v>3.0670538977444211</v>
      </c>
      <c r="O10" s="13">
        <f>N10*VLOOKUP('Données projet'!$B$9,Paramètres!$A$1:$I$89,3,0)*VLOOKUP('Données projet'!$B$9,Paramètres!$A$1:$I$89,5,0)</f>
        <v>2.7750703666791523</v>
      </c>
      <c r="P10" s="13">
        <f t="shared" si="33"/>
        <v>1.1356093801954581</v>
      </c>
      <c r="Q10" s="20">
        <f t="shared" si="2"/>
        <v>6.8111005591399456</v>
      </c>
      <c r="R10" s="59">
        <f t="shared" si="0"/>
        <v>190.93528149487619</v>
      </c>
      <c r="S10" s="59">
        <f ca="1">AVERAGE(OFFSET($R$3,0,0,'Données projet'!$E$9+1,1))-AVERAGE(OFFSET($H$3,0,0,'Données projet'!$E$9+1,1))</f>
        <v>567.42635821507474</v>
      </c>
      <c r="T10" s="59">
        <f t="shared" si="34"/>
        <v>299.04735309930152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4.0628205133333335</v>
      </c>
      <c r="AI10" s="13">
        <f>IF('Données projet'!$A$62&gt;35,AI9+AH10-AQ9,IF(A10&lt;'Données projet'!$A$62,$AF$205^A10,IF(A10='Données projet'!$A$62,'Données projet'!$B$62,AI9+AH10-AQ9)))</f>
        <v>3.0670538977444211</v>
      </c>
      <c r="AJ10" s="13">
        <f>AI10*VLOOKUP('Données projet'!$B$10,Paramètres!$A$1:$I$89,3,0)*VLOOKUP('Données projet'!$B$10,Paramètres!$A$1:$I$89,5,0)</f>
        <v>3.1099926523128434</v>
      </c>
      <c r="AK10" s="13">
        <f t="shared" si="35"/>
        <v>1.2558976216094697</v>
      </c>
      <c r="AL10" s="20">
        <f t="shared" si="4"/>
        <v>7.6039255604146936</v>
      </c>
      <c r="AM10" s="59">
        <f t="shared" si="5"/>
        <v>191.72810649615093</v>
      </c>
      <c r="AN10" s="59">
        <f ca="1">AVERAGE(OFFSET($AM$3,0,0,'Données projet'!$E$10+1,1))-AVERAGE(OFFSET($H$3,0,0,'Données projet'!$E$10+1,1))</f>
        <v>626.09203985591455</v>
      </c>
      <c r="AO10" s="59">
        <f t="shared" si="36"/>
        <v>327.65191296575199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1.6</v>
      </c>
      <c r="BD10" s="12">
        <f>IF('Données projet'!$A$88&gt;35,BD9+BC10-BL9,IF(A10&lt;'Données projet'!$A$88,$BA$205^A10,IF(A10='Données projet'!$A$88,'Données projet'!$B$88,BD9+BC10-BL9)))</f>
        <v>3.3635856610148567</v>
      </c>
      <c r="BE10" s="13">
        <f>BD10*VLOOKUP('Données projet'!$B$11,Paramètres!$A$1:$I$89,3,0)*VLOOKUP('Données projet'!$B$11,Paramètres!$A$1:$I$89,5,0)</f>
        <v>2.8859564971507474</v>
      </c>
      <c r="BF10" s="13">
        <f t="shared" si="37"/>
        <v>1.1756122821876749</v>
      </c>
      <c r="BG10" s="20">
        <f t="shared" si="7"/>
        <v>7.073898957347752</v>
      </c>
      <c r="BH10" s="59">
        <f t="shared" si="8"/>
        <v>191.19807989308399</v>
      </c>
      <c r="BI10" s="59">
        <f ca="1">AVERAGE(OFFSET($BH$3,0,0,'Données projet'!$E$11+1,1))-AVERAGE(OFFSET($H$3,0,0,'Données projet'!$E$11+1,1))</f>
        <v>481.23392184981651</v>
      </c>
      <c r="BJ10" s="59">
        <f t="shared" si="38"/>
        <v>275.88160405468193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4.8773333333333335</v>
      </c>
      <c r="BY10" s="12">
        <f>IF('Données projet'!$A$114&gt;35,BY9+BX10-CG9,IF(A10&lt;'Données projet'!$A$114,$BV$205^A10,IF(A10='Données projet'!$A$114,'Données projet'!$B$114,BY9+BX10-CG9)))</f>
        <v>3.2006451566969245</v>
      </c>
      <c r="BZ10" s="13">
        <f>BY10*VLOOKUP('Données projet'!$B$12,Paramètres!$A$1:$I$89,3,0)*VLOOKUP('Données projet'!$B$12,Paramètres!$A$1:$I$89,5,0)</f>
        <v>1.4979019333341608</v>
      </c>
      <c r="CA10" s="13">
        <f t="shared" si="39"/>
        <v>0.6585809748262359</v>
      </c>
      <c r="CB10" s="20">
        <f t="shared" si="10"/>
        <v>3.7558743983793579</v>
      </c>
      <c r="CC10" s="59">
        <f t="shared" si="11"/>
        <v>187.88005533411558</v>
      </c>
      <c r="CD10" s="59">
        <f ca="1">AVERAGE(OFFSET($CC$3,0,0,'Données projet'!$E$12+1,1))-AVERAGE(OFFSET($H$3,0,0,'Données projet'!$E$12+1,1))</f>
        <v>331.86732359395467</v>
      </c>
      <c r="CE10" s="59">
        <f t="shared" si="40"/>
        <v>208.64489375183106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1.1000000000000001</v>
      </c>
      <c r="CT10" s="12">
        <f>IF('Données projet'!$A$140&gt;35,CT9+CS10-DB9,IF(A10&lt;'Données projet'!$A$140,$CQ$205^A10,IF(A10='Données projet'!$A$140,'Données projet'!$B$140,CT9+CS10-DB9)))</f>
        <v>5.3576566694841175</v>
      </c>
      <c r="CU10" s="17">
        <f>CT10*VLOOKUP('Données projet'!$B$13,Paramètres!$A$1:$I$89,3,0)*VLOOKUP('Données projet'!$B$13,Paramètres!$A$1:$I$89,5,0)</f>
        <v>3.9282338700657551</v>
      </c>
      <c r="CV10" s="13">
        <f t="shared" si="41"/>
        <v>1.5437779404847436</v>
      </c>
      <c r="CW10" s="20">
        <f t="shared" si="13"/>
        <v>9.5304205700421178</v>
      </c>
      <c r="CX10" s="59">
        <f t="shared" si="14"/>
        <v>193.65460150577834</v>
      </c>
      <c r="CY10" s="59">
        <f ca="1">AVERAGE(OFFSET($CX$3,0,0,'Données projet'!$E$13+1,1))-AVERAGE(OFFSET($H$3,0,0,'Données projet'!$E$13+1,1))</f>
        <v>352.45777291109863</v>
      </c>
      <c r="CZ10" s="59">
        <f t="shared" si="42"/>
        <v>340.92165104349181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4.0628205133333335</v>
      </c>
      <c r="DO10" s="12">
        <f>IF('Données projet'!$A$166&gt;35,DO9+DN10-DW9,IF(A10&lt;'Données projet'!$A$166,$DL$205^A10,IF(A10='Données projet'!$A$166,'Données projet'!$B$166,DO9+DN10-DW9)))</f>
        <v>3.0670538977444211</v>
      </c>
      <c r="DP10" s="17">
        <f>DO10*VLOOKUP('Données projet'!$B$14,Paramètres!$A$1:$I$89,3,0)*VLOOKUP('Données projet'!$B$14,Paramètres!$A$1:$I$89,5,0)</f>
        <v>2.0573797546069579</v>
      </c>
      <c r="DQ10" s="13">
        <f t="shared" si="43"/>
        <v>0.87175956946128585</v>
      </c>
      <c r="DR10" s="20">
        <f t="shared" si="16"/>
        <v>5.1015843227521911</v>
      </c>
      <c r="DS10" s="59">
        <f t="shared" si="17"/>
        <v>189.22576525848842</v>
      </c>
      <c r="DT10" s="59">
        <f ca="1">AVERAGE(OFFSET($DS$3,0,0,'Données projet'!$E$14+1,1))-AVERAGE(OFFSET($H$3,0,0,'Données projet'!$E$14+1,1))</f>
        <v>441.20130048888439</v>
      </c>
      <c r="DU10" s="59">
        <f t="shared" si="44"/>
        <v>237.47732532183946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1.1000000000000001</v>
      </c>
      <c r="EJ10" s="12">
        <f>IF('Données projet'!$A$192&gt;35,EJ9+EI10-ER9,IF(A10&lt;'Données projet'!$A$192,$EG$205^A10,IF(A10='Données projet'!$A$192,'Données projet'!$B$192,EJ9+EI10-ER9)))</f>
        <v>5.3576566694841175</v>
      </c>
      <c r="EK10" s="17">
        <f>EJ10*VLOOKUP('Données projet'!$B$15,Paramètres!$A$1:$I$89,3,0)*VLOOKUP('Données projet'!$B$15,Paramètres!$A$1:$I$89,5,0)</f>
        <v>4.2625516462415645</v>
      </c>
      <c r="EL10" s="13">
        <f t="shared" si="45"/>
        <v>1.6593124478620722</v>
      </c>
      <c r="EM10" s="20">
        <f t="shared" si="19"/>
        <v>10.313913297230501</v>
      </c>
      <c r="EN10" s="59">
        <f t="shared" si="20"/>
        <v>194.43809423296673</v>
      </c>
      <c r="EO10" s="59">
        <f ca="1">AVERAGE(OFFSET($EN$3,0,0,'Données projet'!$E$15+1,1))-AVERAGE(OFFSET($H$3,0,0,'Données projet'!$E$15+1,1))</f>
        <v>377.27600411578322</v>
      </c>
      <c r="EP10" s="59">
        <f t="shared" si="46"/>
        <v>364.58250627635425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>
        <f>EXP(-LN(2)/35)*EV9+(1-EXP(-LN(2)/35))/(LN(2)/35)*ER10*ES10*VLOOKUP('Données projet'!$B$15,Paramètres!$A$1:$I$89,3,0)*0.475*44/12</f>
        <v>0</v>
      </c>
      <c r="EW10" s="21">
        <f>EXP(-LN(2)/25)*EW9+(1-EXP(-LN(2)/25))/(LN(2)/25)*Calculateur!ER10*Calculateur!ET10*VLOOKUP('Données projet'!$B$15,Paramètres!$A$1:$I$89,3,0)*0.475*44/12</f>
        <v>0</v>
      </c>
      <c r="EX10" s="21">
        <f>EXP(-LN(2)/2)*EX9+(1-EXP(-LN(2)/2))/(LN(2)/2)*ER10*EU10*VLOOKUP('Données projet'!$B$15,Paramètres!$A$1:$I$89,3,0)*0.475*44/12</f>
        <v>0</v>
      </c>
      <c r="EY10" s="22">
        <f t="shared" si="21"/>
        <v>0</v>
      </c>
      <c r="EZ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1.1000000000000001</v>
      </c>
      <c r="FE10" s="12">
        <f>IF('Données projet'!$A$218&gt;35,FE9+FD10-FM9,IF(A10&lt;'Données projet'!$A$218,$FB$205^A10,IF(A10='Données projet'!$A$218,'Données projet'!$B$218,FE9+FD10-FM9)))</f>
        <v>5.3576566694841175</v>
      </c>
      <c r="FF10" s="17">
        <f>FE10*VLOOKUP('Données projet'!$B$16,Paramètres!$A$1:$I$89,3,0)*VLOOKUP('Données projet'!$B$16,Paramètres!$A$1:$I$89,5,0)</f>
        <v>4.3461310902855157</v>
      </c>
      <c r="FG10" s="13">
        <f t="shared" si="47"/>
        <v>1.6880282793406653</v>
      </c>
      <c r="FH10" s="20">
        <f t="shared" si="22"/>
        <v>10.509494235432264</v>
      </c>
      <c r="FI10" s="59">
        <f t="shared" si="23"/>
        <v>194.63367517116851</v>
      </c>
      <c r="FJ10" s="59">
        <f ca="1">AVERAGE(OFFSET($FI$3,0,0,'Données projet'!$E$16+1,1))-AVERAGE(OFFSET($H$3,0,0,'Données projet'!$E$16+1,1))</f>
        <v>383.47399633251354</v>
      </c>
      <c r="FK10" s="59">
        <f t="shared" si="48"/>
        <v>370.49129421395628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>
        <f>EXP(-LN(2)/35)*FQ9+(1-EXP(-LN(2)/35))/(LN(2)/35)*FM10*FN10*VLOOKUP('Données projet'!$B$16,Paramètres!$A$1:$I$89,3,0)*0.475*44/12</f>
        <v>0</v>
      </c>
      <c r="FR10" s="21">
        <f>EXP(-LN(2)/25)*FR9+(1-EXP(-LN(2)/25))/(LN(2)/25)*Calculateur!FM10*Calculateur!FO10*VLOOKUP('Données projet'!$B$16,Paramètres!$A$1:$I$89,3,0)*0.475*44/12</f>
        <v>0</v>
      </c>
      <c r="FS10" s="21">
        <f>EXP(-LN(2)/2)*FS9+(1-EXP(-LN(2)/2))/(LN(2)/2)*FM10*FP10*VLOOKUP('Données projet'!$B$16,Paramètres!$A$1:$I$89,3,0)*0.475*44/12</f>
        <v>0</v>
      </c>
      <c r="FT10" s="22">
        <f t="shared" si="24"/>
        <v>0</v>
      </c>
      <c r="FU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4.0628205133333335</v>
      </c>
      <c r="FZ10" s="12">
        <f>IF('Données projet'!$A$244&gt;35,FZ9+FY10-GH9,IF(A10&lt;'Données projet'!$A$244,$FW$205^A10,IF(A10='Données projet'!$A$244,'Données projet'!$B$244,FZ9+FY10-GH9)))</f>
        <v>3.0670538977444211</v>
      </c>
      <c r="GA10" s="17">
        <f>FZ10*VLOOKUP('Données projet'!$B$17,Paramètres!$A$1:$I$89,3,0)*VLOOKUP('Données projet'!$B$17,Paramètres!$A$1:$I$89,5,0)</f>
        <v>2.9186084890935913</v>
      </c>
      <c r="GB10" s="13">
        <f t="shared" si="49"/>
        <v>1.1873573316849726</v>
      </c>
      <c r="GC10" s="20">
        <f t="shared" si="25"/>
        <v>7.1512238045226644</v>
      </c>
      <c r="GD10" s="59">
        <f t="shared" si="26"/>
        <v>191.27540474025889</v>
      </c>
      <c r="GE10" s="59">
        <f ca="1">AVERAGE(OFFSET($GD$3,0,0,'Données projet'!$E$17+1,1))-AVERAGE(OFFSET($H$3,0,0,'Données projet'!$E$17+1,1))</f>
        <v>592.58528889137358</v>
      </c>
      <c r="GF10" s="59">
        <f t="shared" si="50"/>
        <v>311.31528020403709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>
        <f>EXP(-LN(2)/35)*GL9+(1-EXP(-LN(2)/35))/(LN(2)/35)*GH10*GI10*VLOOKUP('Données projet'!$B$17,Paramètres!$A$1:$I$89,3,0)*0.475*44/12</f>
        <v>0</v>
      </c>
      <c r="GM10" s="21">
        <f>EXP(-LN(2)/25)*GM9+(1-EXP(-LN(2)/25))/(LN(2)/25)*Calculateur!GH10*Calculateur!GJ10*VLOOKUP('Données projet'!$B$17,Paramètres!$A$1:$I$89,3,0)*0.475*44/12</f>
        <v>0</v>
      </c>
      <c r="GN10" s="21">
        <f>EXP(-LN(2)/2)*GN9+(1-EXP(-LN(2)/2))/(LN(2)/2)*GH10*GK10*VLOOKUP('Données projet'!$B$17,Paramètres!$A$1:$I$89,3,0)*0.475*44/12</f>
        <v>0</v>
      </c>
      <c r="GO10" s="21">
        <f t="shared" si="27"/>
        <v>0</v>
      </c>
      <c r="GP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2.6666666666666665</v>
      </c>
      <c r="GU10" s="12">
        <f>IF('Données projet'!$A$270&gt;35,GU9+GT10-HC9,IF(A10&lt;'Données projet'!$A$270,$GR$205^A10,IF(A10='Données projet'!$A$270,'Données projet'!$B$270,GU9+GT10-HC9)))</f>
        <v>5.5927833467405659</v>
      </c>
      <c r="GV10" s="17">
        <f>GU10*VLOOKUP('Données projet'!$B$18,Paramètres!$A$1:$I$89,3,0)*VLOOKUP('Données projet'!$B$18,Paramètres!$A$1:$I$89,5,0)</f>
        <v>4.3623710104576414</v>
      </c>
      <c r="GW10" s="13">
        <f t="shared" si="51"/>
        <v>1.6936004212396314</v>
      </c>
      <c r="GX10" s="20">
        <f t="shared" si="28"/>
        <v>10.54748357687275</v>
      </c>
      <c r="GY10" s="59">
        <f t="shared" si="29"/>
        <v>194.67166451260897</v>
      </c>
      <c r="GZ10" s="59">
        <f ca="1">AVERAGE(OFFSET($GY$3,0,0,'Données projet'!$E$18+1,1))-AVERAGE(OFFSET($H$3,0,0,'Données projet'!$E$18+1,1))</f>
        <v>308.85018589589453</v>
      </c>
      <c r="HA10" s="59">
        <f t="shared" si="52"/>
        <v>302.59481222418219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>
        <f>EXP(-LN(2)/35)*HG9+(1-EXP(-LN(2)/35))/(LN(2)/35)*HC10*HD10*VLOOKUP('Données projet'!$B$18,Paramètres!$A$1:$I$89,3,0)*0.475*44/12</f>
        <v>0</v>
      </c>
      <c r="HH10" s="21">
        <f>EXP(-LN(2)/25)*HH9+(1-EXP(-LN(2)/25))/(LN(2)/25)*Calculateur!HC10*Calculateur!HE10*VLOOKUP('Données projet'!$B$18,Paramètres!$A$1:$I$89,3,0)*0.475*44/12</f>
        <v>0</v>
      </c>
      <c r="HI10" s="21">
        <f>EXP(-LN(2)/2)*HI9+(1-EXP(-LN(2)/2))/(LN(2)/2)*HC10*HF10*VLOOKUP('Données projet'!$B$18,Paramètres!$A$1:$I$89,3,0)*0.475*44/12</f>
        <v>0</v>
      </c>
      <c r="HJ10" s="22">
        <f t="shared" si="30"/>
        <v>0</v>
      </c>
    </row>
    <row r="11" spans="1:218" x14ac:dyDescent="0.35">
      <c r="A11" s="10">
        <f t="shared" si="31"/>
        <v>8</v>
      </c>
      <c r="B11" s="72">
        <f>'Scénario référence'!$B$16*5+'Scénario référence'!$B$17*0+'Scénario référence'!$B$18*5</f>
        <v>5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66">
        <f t="shared" si="1"/>
        <v>183.33333333333334</v>
      </c>
      <c r="I11" s="6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4.0628205133333335</v>
      </c>
      <c r="N11" s="13">
        <f>IF('Données projet'!$A$36&gt;35,N10+M11-V10,IF(A11&lt;'Données projet'!$A$36,$K$205^A11,IF(A11='Données projet'!$A$36,'Données projet'!$B$36,N10+M11-V10)))</f>
        <v>3.5995900086084203</v>
      </c>
      <c r="O11" s="13">
        <f>N11*VLOOKUP('Données projet'!$B$9,Paramètres!$A$1:$I$89,3,0)*VLOOKUP('Données projet'!$B$9,Paramètres!$A$1:$I$89,5,0)</f>
        <v>3.2569090397888987</v>
      </c>
      <c r="P11" s="13">
        <f t="shared" si="33"/>
        <v>1.3081788373042398</v>
      </c>
      <c r="Q11" s="20">
        <f t="shared" si="2"/>
        <v>7.9508613859372161</v>
      </c>
      <c r="R11" s="59">
        <f t="shared" si="0"/>
        <v>194.70413425215776</v>
      </c>
      <c r="S11" s="59">
        <f ca="1">AVERAGE(OFFSET($R$3,0,0,'Données projet'!$E$9+1,1))-AVERAGE(OFFSET($H$3,0,0,'Données projet'!$E$9+1,1))</f>
        <v>567.42635821507474</v>
      </c>
      <c r="T11" s="59">
        <f t="shared" si="34"/>
        <v>299.04735309930152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4.0628205133333335</v>
      </c>
      <c r="AI11" s="13">
        <f>IF('Données projet'!$A$62&gt;35,AI10+AH11-AQ10,IF(A11&lt;'Données projet'!$A$62,$AF$205^A11,IF(A11='Données projet'!$A$62,'Données projet'!$B$62,AI10+AH11-AQ10)))</f>
        <v>3.5995900086084203</v>
      </c>
      <c r="AJ11" s="13">
        <f>AI11*VLOOKUP('Données projet'!$B$10,Paramètres!$A$1:$I$89,3,0)*VLOOKUP('Données projet'!$B$10,Paramètres!$A$1:$I$89,5,0)</f>
        <v>3.6499842687289386</v>
      </c>
      <c r="AK11" s="13">
        <f t="shared" si="35"/>
        <v>1.4467463188155927</v>
      </c>
      <c r="AL11" s="20">
        <f t="shared" si="4"/>
        <v>8.8768057733067263</v>
      </c>
      <c r="AM11" s="59">
        <f t="shared" si="5"/>
        <v>195.63007863952728</v>
      </c>
      <c r="AN11" s="59">
        <f ca="1">AVERAGE(OFFSET($AM$3,0,0,'Données projet'!$E$10+1,1))-AVERAGE(OFFSET($H$3,0,0,'Données projet'!$E$10+1,1))</f>
        <v>626.09203985591455</v>
      </c>
      <c r="AO11" s="59">
        <f t="shared" si="36"/>
        <v>327.65191296575199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1.6</v>
      </c>
      <c r="BD11" s="12">
        <f>IF('Données projet'!$A$88&gt;35,BD10+BC11-BL10,IF(A11&lt;'Données projet'!$A$88,$BA$205^A11,IF(A11='Données projet'!$A$88,'Données projet'!$B$88,BD10+BC11-BL10)))</f>
        <v>3.9999999999999982</v>
      </c>
      <c r="BE11" s="13">
        <f>BD11*VLOOKUP('Données projet'!$B$11,Paramètres!$A$1:$I$89,3,0)*VLOOKUP('Données projet'!$B$11,Paramètres!$A$1:$I$89,5,0)</f>
        <v>3.4319999999999991</v>
      </c>
      <c r="BF11" s="13">
        <f t="shared" si="37"/>
        <v>1.3701295744860806</v>
      </c>
      <c r="BG11" s="20">
        <f t="shared" si="7"/>
        <v>8.3637090088965884</v>
      </c>
      <c r="BH11" s="59">
        <f t="shared" si="8"/>
        <v>195.11698187511715</v>
      </c>
      <c r="BI11" s="59">
        <f ca="1">AVERAGE(OFFSET($BH$3,0,0,'Données projet'!$E$11+1,1))-AVERAGE(OFFSET($H$3,0,0,'Données projet'!$E$11+1,1))</f>
        <v>481.23392184981651</v>
      </c>
      <c r="BJ11" s="59">
        <f t="shared" si="38"/>
        <v>275.88160405468193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4.8773333333333335</v>
      </c>
      <c r="BY11" s="12">
        <f>IF('Données projet'!$A$114&gt;35,BY10+BX11-CG10,IF(A11&lt;'Données projet'!$A$114,$BV$205^A11,IF(A11='Données projet'!$A$114,'Données projet'!$B$114,BY10+BX11-CG10)))</f>
        <v>3.7793256758625966</v>
      </c>
      <c r="BZ11" s="13">
        <f>BY11*VLOOKUP('Données projet'!$B$12,Paramètres!$A$1:$I$89,3,0)*VLOOKUP('Données projet'!$B$12,Paramètres!$A$1:$I$89,5,0)</f>
        <v>1.768724416303695</v>
      </c>
      <c r="CA11" s="13">
        <f t="shared" si="39"/>
        <v>0.76275417246103394</v>
      </c>
      <c r="CB11" s="20">
        <f t="shared" si="10"/>
        <v>4.4089918754319024</v>
      </c>
      <c r="CC11" s="59">
        <f t="shared" si="11"/>
        <v>191.16226474165245</v>
      </c>
      <c r="CD11" s="59">
        <f ca="1">AVERAGE(OFFSET($CC$3,0,0,'Données projet'!$E$12+1,1))-AVERAGE(OFFSET($H$3,0,0,'Données projet'!$E$12+1,1))</f>
        <v>331.86732359395467</v>
      </c>
      <c r="CE11" s="59">
        <f t="shared" si="40"/>
        <v>208.64489375183106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1.1000000000000001</v>
      </c>
      <c r="CT11" s="12">
        <f>IF('Données projet'!$A$140&gt;35,CT10+CS11-DB10,IF(A11&lt;'Données projet'!$A$140,$CQ$205^A11,IF(A11='Données projet'!$A$140,'Données projet'!$B$140,CT10+CS11-DB10)))</f>
        <v>6.8094831275223076</v>
      </c>
      <c r="CU11" s="17">
        <f>CT11*VLOOKUP('Données projet'!$B$13,Paramètres!$A$1:$I$89,3,0)*VLOOKUP('Données projet'!$B$13,Paramètres!$A$1:$I$89,5,0)</f>
        <v>4.9927130290993551</v>
      </c>
      <c r="CV11" s="13">
        <f t="shared" si="41"/>
        <v>1.9081050833380053</v>
      </c>
      <c r="CW11" s="20">
        <f t="shared" si="13"/>
        <v>12.018924879161736</v>
      </c>
      <c r="CX11" s="59">
        <f t="shared" si="14"/>
        <v>198.7721977453823</v>
      </c>
      <c r="CY11" s="59">
        <f ca="1">AVERAGE(OFFSET($CX$3,0,0,'Données projet'!$E$13+1,1))-AVERAGE(OFFSET($H$3,0,0,'Données projet'!$E$13+1,1))</f>
        <v>352.45777291109863</v>
      </c>
      <c r="CZ11" s="59">
        <f t="shared" si="42"/>
        <v>340.92165104349181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4.0628205133333335</v>
      </c>
      <c r="DO11" s="12">
        <f>IF('Données projet'!$A$166&gt;35,DO10+DN11-DW10,IF(A11&lt;'Données projet'!$A$166,$DL$205^A11,IF(A11='Données projet'!$A$166,'Données projet'!$B$166,DO10+DN11-DW10)))</f>
        <v>3.5995900086084203</v>
      </c>
      <c r="DP11" s="17">
        <f>DO11*VLOOKUP('Données projet'!$B$14,Paramètres!$A$1:$I$89,3,0)*VLOOKUP('Données projet'!$B$14,Paramètres!$A$1:$I$89,5,0)</f>
        <v>2.4146049777745282</v>
      </c>
      <c r="DQ11" s="13">
        <f t="shared" si="43"/>
        <v>1.0042338852382706</v>
      </c>
      <c r="DR11" s="20">
        <f t="shared" si="16"/>
        <v>5.9544776864139584</v>
      </c>
      <c r="DS11" s="59">
        <f t="shared" si="17"/>
        <v>192.70775055263451</v>
      </c>
      <c r="DT11" s="59">
        <f ca="1">AVERAGE(OFFSET($DS$3,0,0,'Données projet'!$E$14+1,1))-AVERAGE(OFFSET($H$3,0,0,'Données projet'!$E$14+1,1))</f>
        <v>441.20130048888439</v>
      </c>
      <c r="DU11" s="59">
        <f t="shared" si="44"/>
        <v>237.47732532183946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1.1000000000000001</v>
      </c>
      <c r="EJ11" s="12">
        <f>IF('Données projet'!$A$192&gt;35,EJ10+EI11-ER10,IF(A11&lt;'Données projet'!$A$192,$EG$205^A11,IF(A11='Données projet'!$A$192,'Données projet'!$B$192,EJ10+EI11-ER10)))</f>
        <v>6.8094831275223076</v>
      </c>
      <c r="EK11" s="17">
        <f>EJ11*VLOOKUP('Données projet'!$B$15,Paramètres!$A$1:$I$89,3,0)*VLOOKUP('Données projet'!$B$15,Paramètres!$A$1:$I$89,5,0)</f>
        <v>5.4176247762567487</v>
      </c>
      <c r="EL11" s="13">
        <f t="shared" si="45"/>
        <v>2.0509054013412618</v>
      </c>
      <c r="EM11" s="20">
        <f t="shared" si="19"/>
        <v>13.007690059316532</v>
      </c>
      <c r="EN11" s="59">
        <f t="shared" si="20"/>
        <v>199.76096292553709</v>
      </c>
      <c r="EO11" s="59">
        <f ca="1">AVERAGE(OFFSET($EN$3,0,0,'Données projet'!$E$15+1,1))-AVERAGE(OFFSET($H$3,0,0,'Données projet'!$E$15+1,1))</f>
        <v>377.27600411578322</v>
      </c>
      <c r="EP11" s="59">
        <f t="shared" si="46"/>
        <v>364.58250627635425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>
        <f>EXP(-LN(2)/35)*EV10+(1-EXP(-LN(2)/35))/(LN(2)/35)*ER11*ES11*VLOOKUP('Données projet'!$B$15,Paramètres!$A$1:$I$89,3,0)*0.475*44/12</f>
        <v>0</v>
      </c>
      <c r="EW11" s="21">
        <f>EXP(-LN(2)/25)*EW10+(1-EXP(-LN(2)/25))/(LN(2)/25)*Calculateur!ER11*Calculateur!ET11*VLOOKUP('Données projet'!$B$15,Paramètres!$A$1:$I$89,3,0)*0.475*44/12</f>
        <v>0</v>
      </c>
      <c r="EX11" s="21">
        <f>EXP(-LN(2)/2)*EX10+(1-EXP(-LN(2)/2))/(LN(2)/2)*ER11*EU11*VLOOKUP('Données projet'!$B$15,Paramètres!$A$1:$I$89,3,0)*0.475*44/12</f>
        <v>0</v>
      </c>
      <c r="EY11" s="22">
        <f t="shared" si="21"/>
        <v>0</v>
      </c>
      <c r="EZ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1.1000000000000001</v>
      </c>
      <c r="FE11" s="12">
        <f>IF('Données projet'!$A$218&gt;35,FE10+FD11-FM10,IF(A11&lt;'Données projet'!$A$218,$FB$205^A11,IF(A11='Données projet'!$A$218,'Données projet'!$B$218,FE10+FD11-FM10)))</f>
        <v>6.8094831275223076</v>
      </c>
      <c r="FF11" s="17">
        <f>FE11*VLOOKUP('Données projet'!$B$16,Paramètres!$A$1:$I$89,3,0)*VLOOKUP('Données projet'!$B$16,Paramètres!$A$1:$I$89,5,0)</f>
        <v>5.5238527130460966</v>
      </c>
      <c r="FG11" s="13">
        <f t="shared" si="47"/>
        <v>2.0863980862538192</v>
      </c>
      <c r="FH11" s="20">
        <f t="shared" si="22"/>
        <v>13.25452014211402</v>
      </c>
      <c r="FI11" s="59">
        <f t="shared" si="23"/>
        <v>200.00779300833457</v>
      </c>
      <c r="FJ11" s="59">
        <f ca="1">AVERAGE(OFFSET($FI$3,0,0,'Données projet'!$E$16+1,1))-AVERAGE(OFFSET($H$3,0,0,'Données projet'!$E$16+1,1))</f>
        <v>383.47399633251354</v>
      </c>
      <c r="FK11" s="59">
        <f t="shared" si="48"/>
        <v>370.49129421395628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>
        <f>EXP(-LN(2)/35)*FQ10+(1-EXP(-LN(2)/35))/(LN(2)/35)*FM11*FN11*VLOOKUP('Données projet'!$B$16,Paramètres!$A$1:$I$89,3,0)*0.475*44/12</f>
        <v>0</v>
      </c>
      <c r="FR11" s="21">
        <f>EXP(-LN(2)/25)*FR10+(1-EXP(-LN(2)/25))/(LN(2)/25)*Calculateur!FM11*Calculateur!FO11*VLOOKUP('Données projet'!$B$16,Paramètres!$A$1:$I$89,3,0)*0.475*44/12</f>
        <v>0</v>
      </c>
      <c r="FS11" s="21">
        <f>EXP(-LN(2)/2)*FS10+(1-EXP(-LN(2)/2))/(LN(2)/2)*FM11*FP11*VLOOKUP('Données projet'!$B$16,Paramètres!$A$1:$I$89,3,0)*0.475*44/12</f>
        <v>0</v>
      </c>
      <c r="FT11" s="22">
        <f t="shared" si="24"/>
        <v>0</v>
      </c>
      <c r="FU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4.0628205133333335</v>
      </c>
      <c r="FZ11" s="12">
        <f>IF('Données projet'!$A$244&gt;35,FZ10+FY11-GH10,IF(A11&lt;'Données projet'!$A$244,$FW$205^A11,IF(A11='Données projet'!$A$244,'Données projet'!$B$244,FZ10+FY11-GH10)))</f>
        <v>3.5995900086084203</v>
      </c>
      <c r="GA11" s="17">
        <f>FZ11*VLOOKUP('Données projet'!$B$17,Paramètres!$A$1:$I$89,3,0)*VLOOKUP('Données projet'!$B$17,Paramètres!$A$1:$I$89,5,0)</f>
        <v>3.425369852191773</v>
      </c>
      <c r="GB11" s="13">
        <f t="shared" si="49"/>
        <v>1.367790510290577</v>
      </c>
      <c r="GC11" s="20">
        <f t="shared" si="25"/>
        <v>8.3480876313234251</v>
      </c>
      <c r="GD11" s="59">
        <f t="shared" si="26"/>
        <v>195.10136049754399</v>
      </c>
      <c r="GE11" s="59">
        <f ca="1">AVERAGE(OFFSET($GD$3,0,0,'Données projet'!$E$17+1,1))-AVERAGE(OFFSET($H$3,0,0,'Données projet'!$E$17+1,1))</f>
        <v>592.58528889137358</v>
      </c>
      <c r="GF11" s="59">
        <f t="shared" si="50"/>
        <v>311.31528020403709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>
        <f>EXP(-LN(2)/35)*GL10+(1-EXP(-LN(2)/35))/(LN(2)/35)*GH11*GI11*VLOOKUP('Données projet'!$B$17,Paramètres!$A$1:$I$89,3,0)*0.475*44/12</f>
        <v>0</v>
      </c>
      <c r="GM11" s="21">
        <f>EXP(-LN(2)/25)*GM10+(1-EXP(-LN(2)/25))/(LN(2)/25)*Calculateur!GH11*Calculateur!GJ11*VLOOKUP('Données projet'!$B$17,Paramètres!$A$1:$I$89,3,0)*0.475*44/12</f>
        <v>0</v>
      </c>
      <c r="GN11" s="21">
        <f>EXP(-LN(2)/2)*GN10+(1-EXP(-LN(2)/2))/(LN(2)/2)*GH11*GK11*VLOOKUP('Données projet'!$B$17,Paramètres!$A$1:$I$89,3,0)*0.475*44/12</f>
        <v>0</v>
      </c>
      <c r="GO11" s="21">
        <f t="shared" si="27"/>
        <v>0</v>
      </c>
      <c r="GP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2.6666666666666665</v>
      </c>
      <c r="GU11" s="12">
        <f>IF('Données projet'!$A$270&gt;35,GU10+GT11-HC10,IF(A11&lt;'Données projet'!$A$270,$GR$205^A11,IF(A11='Données projet'!$A$270,'Données projet'!$B$270,GU10+GT11-HC10)))</f>
        <v>7.1520739352994367</v>
      </c>
      <c r="GV11" s="17">
        <f>GU11*VLOOKUP('Données projet'!$B$18,Paramètres!$A$1:$I$89,3,0)*VLOOKUP('Données projet'!$B$18,Paramètres!$A$1:$I$89,5,0)</f>
        <v>5.5786176695335605</v>
      </c>
      <c r="GW11" s="13">
        <f t="shared" si="51"/>
        <v>2.1046649418345189</v>
      </c>
      <c r="GX11" s="20">
        <f t="shared" si="28"/>
        <v>13.381717214799407</v>
      </c>
      <c r="GY11" s="59">
        <f t="shared" si="29"/>
        <v>200.13499008101996</v>
      </c>
      <c r="GZ11" s="59">
        <f ca="1">AVERAGE(OFFSET($GY$3,0,0,'Données projet'!$E$18+1,1))-AVERAGE(OFFSET($H$3,0,0,'Données projet'!$E$18+1,1))</f>
        <v>308.85018589589453</v>
      </c>
      <c r="HA11" s="59">
        <f t="shared" si="52"/>
        <v>302.59481222418219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>
        <f>EXP(-LN(2)/35)*HG10+(1-EXP(-LN(2)/35))/(LN(2)/35)*HC11*HD11*VLOOKUP('Données projet'!$B$18,Paramètres!$A$1:$I$89,3,0)*0.475*44/12</f>
        <v>0</v>
      </c>
      <c r="HH11" s="21">
        <f>EXP(-LN(2)/25)*HH10+(1-EXP(-LN(2)/25))/(LN(2)/25)*Calculateur!HC11*Calculateur!HE11*VLOOKUP('Données projet'!$B$18,Paramètres!$A$1:$I$89,3,0)*0.475*44/12</f>
        <v>0</v>
      </c>
      <c r="HI11" s="21">
        <f>EXP(-LN(2)/2)*HI10+(1-EXP(-LN(2)/2))/(LN(2)/2)*HC11*HF11*VLOOKUP('Données projet'!$B$18,Paramètres!$A$1:$I$89,3,0)*0.475*44/12</f>
        <v>0</v>
      </c>
      <c r="HJ11" s="22">
        <f t="shared" si="30"/>
        <v>0</v>
      </c>
    </row>
    <row r="12" spans="1:218" x14ac:dyDescent="0.35">
      <c r="A12" s="10">
        <f t="shared" si="31"/>
        <v>9</v>
      </c>
      <c r="B12" s="72">
        <f>'Scénario référence'!$B$16*5+'Scénario référence'!$B$17*0+'Scénario référence'!$B$18*5</f>
        <v>5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66">
        <f t="shared" si="1"/>
        <v>183.33333333333334</v>
      </c>
      <c r="I12" s="6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4.0628205133333335</v>
      </c>
      <c r="N12" s="13">
        <f>IF('Données projet'!$A$36&gt;35,N11+M12-V11,IF(A12&lt;'Données projet'!$A$36,$K$205^A12,IF(A12='Données projet'!$A$36,'Données projet'!$B$36,N11+M12-V11)))</f>
        <v>4.2245909795072292</v>
      </c>
      <c r="O12" s="13">
        <f>N12*VLOOKUP('Données projet'!$B$9,Paramètres!$A$1:$I$89,3,0)*VLOOKUP('Données projet'!$B$9,Paramètres!$A$1:$I$89,5,0)</f>
        <v>3.8224099182581406</v>
      </c>
      <c r="P12" s="13">
        <f t="shared" si="33"/>
        <v>1.5069722918950548</v>
      </c>
      <c r="Q12" s="20">
        <f t="shared" si="2"/>
        <v>9.2820073493501472</v>
      </c>
      <c r="R12" s="59">
        <f t="shared" si="0"/>
        <v>198.63996610190623</v>
      </c>
      <c r="S12" s="59">
        <f ca="1">AVERAGE(OFFSET($R$3,0,0,'Données projet'!$E$9+1,1))-AVERAGE(OFFSET($H$3,0,0,'Données projet'!$E$9+1,1))</f>
        <v>567.42635821507474</v>
      </c>
      <c r="T12" s="59">
        <f t="shared" si="34"/>
        <v>299.04735309930152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4.0628205133333335</v>
      </c>
      <c r="AI12" s="13">
        <f>IF('Données projet'!$A$62&gt;35,AI11+AH12-AQ11,IF(A12&lt;'Données projet'!$A$62,$AF$205^A12,IF(A12='Données projet'!$A$62,'Données projet'!$B$62,AI11+AH12-AQ11)))</f>
        <v>4.2245909795072292</v>
      </c>
      <c r="AJ12" s="13">
        <f>AI12*VLOOKUP('Données projet'!$B$10,Paramètres!$A$1:$I$89,3,0)*VLOOKUP('Données projet'!$B$10,Paramètres!$A$1:$I$89,5,0)</f>
        <v>4.283735253220331</v>
      </c>
      <c r="AK12" s="13">
        <f t="shared" si="35"/>
        <v>1.6665967631375336</v>
      </c>
      <c r="AL12" s="20">
        <f t="shared" si="4"/>
        <v>10.363494928489947</v>
      </c>
      <c r="AM12" s="59">
        <f t="shared" si="5"/>
        <v>199.72145368104603</v>
      </c>
      <c r="AN12" s="59">
        <f ca="1">AVERAGE(OFFSET($AM$3,0,0,'Données projet'!$E$10+1,1))-AVERAGE(OFFSET($H$3,0,0,'Données projet'!$E$10+1,1))</f>
        <v>626.09203985591455</v>
      </c>
      <c r="AO12" s="59">
        <f t="shared" si="36"/>
        <v>327.65191296575199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1.6</v>
      </c>
      <c r="BD12" s="12">
        <f>IF('Données projet'!$A$88&gt;35,BD11+BC12-BL11,IF(A12&lt;'Données projet'!$A$88,$BA$205^A12,IF(A12='Données projet'!$A$88,'Données projet'!$B$88,BD11+BC12-BL11)))</f>
        <v>4.7568284600108823</v>
      </c>
      <c r="BE12" s="13">
        <f>BD12*VLOOKUP('Données projet'!$B$11,Paramètres!$A$1:$I$89,3,0)*VLOOKUP('Données projet'!$B$11,Paramètres!$A$1:$I$89,5,0)</f>
        <v>4.0813588186893375</v>
      </c>
      <c r="BF12" s="13">
        <f t="shared" si="37"/>
        <v>1.5968317780655192</v>
      </c>
      <c r="BG12" s="20">
        <f t="shared" si="7"/>
        <v>9.8895152893480418</v>
      </c>
      <c r="BH12" s="59">
        <f t="shared" si="8"/>
        <v>199.24747404190413</v>
      </c>
      <c r="BI12" s="59">
        <f ca="1">AVERAGE(OFFSET($BH$3,0,0,'Données projet'!$E$11+1,1))-AVERAGE(OFFSET($H$3,0,0,'Données projet'!$E$11+1,1))</f>
        <v>481.23392184981651</v>
      </c>
      <c r="BJ12" s="59">
        <f t="shared" si="38"/>
        <v>275.88160405468193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4.8773333333333335</v>
      </c>
      <c r="BY12" s="12">
        <f>IF('Données projet'!$A$114&gt;35,BY11+BX12-CG11,IF(A12&lt;'Données projet'!$A$114,$BV$205^A12,IF(A12='Données projet'!$A$114,'Données projet'!$B$114,BY11+BX12-CG11)))</f>
        <v>4.4626323334682576</v>
      </c>
      <c r="BZ12" s="13">
        <f>BY12*VLOOKUP('Données projet'!$B$12,Paramètres!$A$1:$I$89,3,0)*VLOOKUP('Données projet'!$B$12,Paramètres!$A$1:$I$89,5,0)</f>
        <v>2.0885119320631444</v>
      </c>
      <c r="CA12" s="13">
        <f t="shared" si="39"/>
        <v>0.88340530602211986</v>
      </c>
      <c r="CB12" s="20">
        <f t="shared" si="10"/>
        <v>5.1760891896651691</v>
      </c>
      <c r="CC12" s="59">
        <f t="shared" si="11"/>
        <v>194.53404794222124</v>
      </c>
      <c r="CD12" s="59">
        <f ca="1">AVERAGE(OFFSET($CC$3,0,0,'Données projet'!$E$12+1,1))-AVERAGE(OFFSET($H$3,0,0,'Données projet'!$E$12+1,1))</f>
        <v>331.86732359395467</v>
      </c>
      <c r="CE12" s="59">
        <f t="shared" si="40"/>
        <v>208.64489375183106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1.1000000000000001</v>
      </c>
      <c r="CT12" s="12">
        <f>IF('Données projet'!$A$140&gt;35,CT11+CS12-DB11,IF(A12&lt;'Données projet'!$A$140,$CQ$205^A12,IF(A12='Données projet'!$A$140,'Données projet'!$B$140,CT11+CS12-DB11)))</f>
        <v>8.6547278641645029</v>
      </c>
      <c r="CU12" s="17">
        <f>CT12*VLOOKUP('Données projet'!$B$13,Paramètres!$A$1:$I$89,3,0)*VLOOKUP('Données projet'!$B$13,Paramètres!$A$1:$I$89,5,0)</f>
        <v>6.3456464700054127</v>
      </c>
      <c r="CV12" s="13">
        <f t="shared" si="41"/>
        <v>2.3584123814576028</v>
      </c>
      <c r="CW12" s="20">
        <f t="shared" si="13"/>
        <v>15.159569166298086</v>
      </c>
      <c r="CX12" s="59">
        <f t="shared" si="14"/>
        <v>204.51752791885417</v>
      </c>
      <c r="CY12" s="59">
        <f ca="1">AVERAGE(OFFSET($CX$3,0,0,'Données projet'!$E$13+1,1))-AVERAGE(OFFSET($H$3,0,0,'Données projet'!$E$13+1,1))</f>
        <v>352.45777291109863</v>
      </c>
      <c r="CZ12" s="59">
        <f t="shared" si="42"/>
        <v>340.92165104349181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4.0628205133333335</v>
      </c>
      <c r="DO12" s="12">
        <f>IF('Données projet'!$A$166&gt;35,DO11+DN12-DW11,IF(A12&lt;'Données projet'!$A$166,$DL$205^A12,IF(A12='Données projet'!$A$166,'Données projet'!$B$166,DO11+DN12-DW11)))</f>
        <v>4.2245909795072292</v>
      </c>
      <c r="DP12" s="17">
        <f>DO12*VLOOKUP('Données projet'!$B$14,Paramètres!$A$1:$I$89,3,0)*VLOOKUP('Données projet'!$B$14,Paramètres!$A$1:$I$89,5,0)</f>
        <v>2.8338556290534496</v>
      </c>
      <c r="DQ12" s="13">
        <f t="shared" si="43"/>
        <v>1.1568392611783522</v>
      </c>
      <c r="DR12" s="20">
        <f t="shared" si="16"/>
        <v>6.9504602671537219</v>
      </c>
      <c r="DS12" s="59">
        <f t="shared" si="17"/>
        <v>196.30841901970979</v>
      </c>
      <c r="DT12" s="59">
        <f ca="1">AVERAGE(OFFSET($DS$3,0,0,'Données projet'!$E$14+1,1))-AVERAGE(OFFSET($H$3,0,0,'Données projet'!$E$14+1,1))</f>
        <v>441.20130048888439</v>
      </c>
      <c r="DU12" s="59">
        <f t="shared" si="44"/>
        <v>237.47732532183946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1.1000000000000001</v>
      </c>
      <c r="EJ12" s="12">
        <f>IF('Données projet'!$A$192&gt;35,EJ11+EI12-ER11,IF(A12&lt;'Données projet'!$A$192,$EG$205^A12,IF(A12='Données projet'!$A$192,'Données projet'!$B$192,EJ11+EI12-ER11)))</f>
        <v>8.6547278641645029</v>
      </c>
      <c r="EK12" s="17">
        <f>EJ12*VLOOKUP('Données projet'!$B$15,Paramètres!$A$1:$I$89,3,0)*VLOOKUP('Données projet'!$B$15,Paramètres!$A$1:$I$89,5,0)</f>
        <v>6.8857014887292793</v>
      </c>
      <c r="EL12" s="13">
        <f t="shared" si="45"/>
        <v>2.5349131627802968</v>
      </c>
      <c r="EM12" s="20">
        <f t="shared" si="19"/>
        <v>16.407570518045844</v>
      </c>
      <c r="EN12" s="59">
        <f t="shared" si="20"/>
        <v>205.76552927060192</v>
      </c>
      <c r="EO12" s="59">
        <f ca="1">AVERAGE(OFFSET($EN$3,0,0,'Données projet'!$E$15+1,1))-AVERAGE(OFFSET($H$3,0,0,'Données projet'!$E$15+1,1))</f>
        <v>377.27600411578322</v>
      </c>
      <c r="EP12" s="59">
        <f t="shared" si="46"/>
        <v>364.58250627635425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>
        <f>EXP(-LN(2)/35)*EV11+(1-EXP(-LN(2)/35))/(LN(2)/35)*ER12*ES12*VLOOKUP('Données projet'!$B$15,Paramètres!$A$1:$I$89,3,0)*0.475*44/12</f>
        <v>0</v>
      </c>
      <c r="EW12" s="21">
        <f>EXP(-LN(2)/25)*EW11+(1-EXP(-LN(2)/25))/(LN(2)/25)*Calculateur!ER12*Calculateur!ET12*VLOOKUP('Données projet'!$B$15,Paramètres!$A$1:$I$89,3,0)*0.475*44/12</f>
        <v>0</v>
      </c>
      <c r="EX12" s="21">
        <f>EXP(-LN(2)/2)*EX11+(1-EXP(-LN(2)/2))/(LN(2)/2)*ER12*EU12*VLOOKUP('Données projet'!$B$15,Paramètres!$A$1:$I$89,3,0)*0.475*44/12</f>
        <v>0</v>
      </c>
      <c r="EY12" s="22">
        <f t="shared" si="21"/>
        <v>0</v>
      </c>
      <c r="EZ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1.1000000000000001</v>
      </c>
      <c r="FE12" s="12">
        <f>IF('Données projet'!$A$218&gt;35,FE11+FD12-FM11,IF(A12&lt;'Données projet'!$A$218,$FB$205^A12,IF(A12='Données projet'!$A$218,'Données projet'!$B$218,FE11+FD12-FM11)))</f>
        <v>8.6547278641645029</v>
      </c>
      <c r="FF12" s="17">
        <f>FE12*VLOOKUP('Données projet'!$B$16,Paramètres!$A$1:$I$89,3,0)*VLOOKUP('Données projet'!$B$16,Paramètres!$A$1:$I$89,5,0)</f>
        <v>7.0207152434102458</v>
      </c>
      <c r="FG12" s="13">
        <f t="shared" si="47"/>
        <v>2.5787820189978565</v>
      </c>
      <c r="FH12" s="20">
        <f t="shared" si="22"/>
        <v>16.71912439869411</v>
      </c>
      <c r="FI12" s="59">
        <f t="shared" si="23"/>
        <v>206.07708315125018</v>
      </c>
      <c r="FJ12" s="59">
        <f ca="1">AVERAGE(OFFSET($FI$3,0,0,'Données projet'!$E$16+1,1))-AVERAGE(OFFSET($H$3,0,0,'Données projet'!$E$16+1,1))</f>
        <v>383.47399633251354</v>
      </c>
      <c r="FK12" s="59">
        <f t="shared" si="48"/>
        <v>370.49129421395628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>
        <f>EXP(-LN(2)/35)*FQ11+(1-EXP(-LN(2)/35))/(LN(2)/35)*FM12*FN12*VLOOKUP('Données projet'!$B$16,Paramètres!$A$1:$I$89,3,0)*0.475*44/12</f>
        <v>0</v>
      </c>
      <c r="FR12" s="21">
        <f>EXP(-LN(2)/25)*FR11+(1-EXP(-LN(2)/25))/(LN(2)/25)*Calculateur!FM12*Calculateur!FO12*VLOOKUP('Données projet'!$B$16,Paramètres!$A$1:$I$89,3,0)*0.475*44/12</f>
        <v>0</v>
      </c>
      <c r="FS12" s="21">
        <f>EXP(-LN(2)/2)*FS11+(1-EXP(-LN(2)/2))/(LN(2)/2)*FM12*FP12*VLOOKUP('Données projet'!$B$16,Paramètres!$A$1:$I$89,3,0)*0.475*44/12</f>
        <v>0</v>
      </c>
      <c r="FT12" s="22">
        <f t="shared" si="24"/>
        <v>0</v>
      </c>
      <c r="FU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4.0628205133333335</v>
      </c>
      <c r="FZ12" s="12">
        <f>IF('Données projet'!$A$244&gt;35,FZ11+FY12-GH11,IF(A12&lt;'Données projet'!$A$244,$FW$205^A12,IF(A12='Données projet'!$A$244,'Données projet'!$B$244,FZ11+FY12-GH11)))</f>
        <v>4.2245909795072292</v>
      </c>
      <c r="GA12" s="17">
        <f>FZ12*VLOOKUP('Données projet'!$B$17,Paramètres!$A$1:$I$89,3,0)*VLOOKUP('Données projet'!$B$17,Paramètres!$A$1:$I$89,5,0)</f>
        <v>4.0201207760990796</v>
      </c>
      <c r="GB12" s="13">
        <f t="shared" si="49"/>
        <v>1.5756426731168141</v>
      </c>
      <c r="GC12" s="20">
        <f t="shared" si="25"/>
        <v>9.7459546740510152</v>
      </c>
      <c r="GD12" s="59">
        <f t="shared" si="26"/>
        <v>199.10391342660708</v>
      </c>
      <c r="GE12" s="59">
        <f ca="1">AVERAGE(OFFSET($GD$3,0,0,'Données projet'!$E$17+1,1))-AVERAGE(OFFSET($H$3,0,0,'Données projet'!$E$17+1,1))</f>
        <v>592.58528889137358</v>
      </c>
      <c r="GF12" s="59">
        <f t="shared" si="50"/>
        <v>311.31528020403709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>
        <f>EXP(-LN(2)/35)*GL11+(1-EXP(-LN(2)/35))/(LN(2)/35)*GH12*GI12*VLOOKUP('Données projet'!$B$17,Paramètres!$A$1:$I$89,3,0)*0.475*44/12</f>
        <v>0</v>
      </c>
      <c r="GM12" s="21">
        <f>EXP(-LN(2)/25)*GM11+(1-EXP(-LN(2)/25))/(LN(2)/25)*Calculateur!GH12*Calculateur!GJ12*VLOOKUP('Données projet'!$B$17,Paramètres!$A$1:$I$89,3,0)*0.475*44/12</f>
        <v>0</v>
      </c>
      <c r="GN12" s="21">
        <f>EXP(-LN(2)/2)*GN11+(1-EXP(-LN(2)/2))/(LN(2)/2)*GH12*GK12*VLOOKUP('Données projet'!$B$17,Paramètres!$A$1:$I$89,3,0)*0.475*44/12</f>
        <v>0</v>
      </c>
      <c r="GO12" s="21">
        <f t="shared" si="27"/>
        <v>0</v>
      </c>
      <c r="GP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2.6666666666666665</v>
      </c>
      <c r="GU12" s="12">
        <f>IF('Données projet'!$A$270&gt;35,GU11+GT12-HC11,IF(A12&lt;'Données projet'!$A$270,$GR$205^A12,IF(A12='Données projet'!$A$270,'Données projet'!$B$270,GU11+GT12-HC11)))</f>
        <v>9.1461010385465205</v>
      </c>
      <c r="GV12" s="17">
        <f>GU12*VLOOKUP('Données projet'!$B$18,Paramètres!$A$1:$I$89,3,0)*VLOOKUP('Données projet'!$B$18,Paramètres!$A$1:$I$89,5,0)</f>
        <v>7.1339588100662858</v>
      </c>
      <c r="GW12" s="13">
        <f t="shared" si="51"/>
        <v>2.6155015444227643</v>
      </c>
      <c r="GX12" s="20">
        <f t="shared" si="28"/>
        <v>16.980310117401761</v>
      </c>
      <c r="GY12" s="59">
        <f t="shared" si="29"/>
        <v>206.33826886995783</v>
      </c>
      <c r="GZ12" s="59">
        <f ca="1">AVERAGE(OFFSET($GY$3,0,0,'Données projet'!$E$18+1,1))-AVERAGE(OFFSET($H$3,0,0,'Données projet'!$E$18+1,1))</f>
        <v>308.85018589589453</v>
      </c>
      <c r="HA12" s="59">
        <f t="shared" si="52"/>
        <v>302.59481222418219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>
        <f>EXP(-LN(2)/35)*HG11+(1-EXP(-LN(2)/35))/(LN(2)/35)*HC12*HD12*VLOOKUP('Données projet'!$B$18,Paramètres!$A$1:$I$89,3,0)*0.475*44/12</f>
        <v>0</v>
      </c>
      <c r="HH12" s="21">
        <f>EXP(-LN(2)/25)*HH11+(1-EXP(-LN(2)/25))/(LN(2)/25)*Calculateur!HC12*Calculateur!HE12*VLOOKUP('Données projet'!$B$18,Paramètres!$A$1:$I$89,3,0)*0.475*44/12</f>
        <v>0</v>
      </c>
      <c r="HI12" s="21">
        <f>EXP(-LN(2)/2)*HI11+(1-EXP(-LN(2)/2))/(LN(2)/2)*HC12*HF12*VLOOKUP('Données projet'!$B$18,Paramètres!$A$1:$I$89,3,0)*0.475*44/12</f>
        <v>0</v>
      </c>
      <c r="HJ12" s="22">
        <f t="shared" si="30"/>
        <v>0</v>
      </c>
    </row>
    <row r="13" spans="1:218" x14ac:dyDescent="0.35">
      <c r="A13" s="10">
        <f t="shared" si="31"/>
        <v>10</v>
      </c>
      <c r="B13" s="72">
        <f>'Scénario référence'!$B$16*5+'Scénario référence'!$B$17*0+'Scénario référence'!$B$18*5</f>
        <v>5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66">
        <f t="shared" si="1"/>
        <v>183.33333333333334</v>
      </c>
      <c r="I13" s="6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4.0628205133333335</v>
      </c>
      <c r="N13" s="13">
        <f>IF('Données projet'!$A$36&gt;35,N12+M13-V12,IF(A13&lt;'Données projet'!$A$36,$K$205^A13,IF(A13='Données projet'!$A$36,'Données projet'!$B$36,N12+M13-V12)))</f>
        <v>4.9581115908901685</v>
      </c>
      <c r="O13" s="13">
        <f>N13*VLOOKUP('Données projet'!$B$9,Paramètres!$A$1:$I$89,3,0)*VLOOKUP('Données projet'!$B$9,Paramètres!$A$1:$I$89,5,0)</f>
        <v>4.4860993674374248</v>
      </c>
      <c r="P13" s="13">
        <f t="shared" si="33"/>
        <v>1.7359747947147708</v>
      </c>
      <c r="Q13" s="20">
        <f t="shared" si="2"/>
        <v>10.836779165748409</v>
      </c>
      <c r="R13" s="59">
        <f t="shared" si="0"/>
        <v>202.77544115079328</v>
      </c>
      <c r="S13" s="59">
        <f ca="1">AVERAGE(OFFSET($R$3,0,0,'Données projet'!$E$9+1,1))-AVERAGE(OFFSET($H$3,0,0,'Données projet'!$E$9+1,1))</f>
        <v>567.42635821507474</v>
      </c>
      <c r="T13" s="59">
        <f t="shared" si="34"/>
        <v>299.04735309930152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4.0628205133333335</v>
      </c>
      <c r="AI13" s="13">
        <f>IF('Données projet'!$A$62&gt;35,AI12+AH13-AQ12,IF(A13&lt;'Données projet'!$A$62,$AF$205^A13,IF(A13='Données projet'!$A$62,'Données projet'!$B$62,AI12+AH13-AQ12)))</f>
        <v>4.9581115908901685</v>
      </c>
      <c r="AJ13" s="13">
        <f>AI13*VLOOKUP('Données projet'!$B$10,Paramètres!$A$1:$I$89,3,0)*VLOOKUP('Données projet'!$B$10,Paramètres!$A$1:$I$89,5,0)</f>
        <v>5.0275251531626317</v>
      </c>
      <c r="AK13" s="13">
        <f t="shared" si="35"/>
        <v>1.9198561176740341</v>
      </c>
      <c r="AL13" s="20">
        <f t="shared" si="4"/>
        <v>12.100022380040526</v>
      </c>
      <c r="AM13" s="59">
        <f t="shared" si="5"/>
        <v>204.0386843650854</v>
      </c>
      <c r="AN13" s="59">
        <f ca="1">AVERAGE(OFFSET($AM$3,0,0,'Données projet'!$E$10+1,1))-AVERAGE(OFFSET($H$3,0,0,'Données projet'!$E$10+1,1))</f>
        <v>626.09203985591455</v>
      </c>
      <c r="AO13" s="59">
        <f t="shared" si="36"/>
        <v>327.65191296575199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1.6</v>
      </c>
      <c r="BD13" s="12">
        <f>IF('Données projet'!$A$88&gt;35,BD12+BC13-BL12,IF(A13&lt;'Données projet'!$A$88,$BA$205^A13,IF(A13='Données projet'!$A$88,'Données projet'!$B$88,BD12+BC13-BL12)))</f>
        <v>5.656854249492377</v>
      </c>
      <c r="BE13" s="13">
        <f>BD13*VLOOKUP('Données projet'!$B$11,Paramètres!$A$1:$I$89,3,0)*VLOOKUP('Données projet'!$B$11,Paramètres!$A$1:$I$89,5,0)</f>
        <v>4.8535809460644597</v>
      </c>
      <c r="BF13" s="13">
        <f t="shared" si="37"/>
        <v>1.8610442215994896</v>
      </c>
      <c r="BG13" s="20">
        <f t="shared" si="7"/>
        <v>11.694638833681379</v>
      </c>
      <c r="BH13" s="59">
        <f t="shared" si="8"/>
        <v>203.63330081872627</v>
      </c>
      <c r="BI13" s="59">
        <f ca="1">AVERAGE(OFFSET($BH$3,0,0,'Données projet'!$E$11+1,1))-AVERAGE(OFFSET($H$3,0,0,'Données projet'!$E$11+1,1))</f>
        <v>481.23392184981651</v>
      </c>
      <c r="BJ13" s="59">
        <f t="shared" si="38"/>
        <v>275.88160405468193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4.8773333333333335</v>
      </c>
      <c r="BY13" s="12">
        <f>IF('Données projet'!$A$114&gt;35,BY12+BX13-CG12,IF(A13&lt;'Données projet'!$A$114,$BV$205^A13,IF(A13='Données projet'!$A$114,'Données projet'!$B$114,BY12+BX13-CG12)))</f>
        <v>5.2694816620086362</v>
      </c>
      <c r="BZ13" s="13">
        <f>BY13*VLOOKUP('Données projet'!$B$12,Paramètres!$A$1:$I$89,3,0)*VLOOKUP('Données projet'!$B$12,Paramètres!$A$1:$I$89,5,0)</f>
        <v>2.4661174178200418</v>
      </c>
      <c r="CA13" s="13">
        <f t="shared" si="39"/>
        <v>1.0231408268669981</v>
      </c>
      <c r="CB13" s="20">
        <f t="shared" si="10"/>
        <v>6.0771247761632603</v>
      </c>
      <c r="CC13" s="59">
        <f t="shared" si="11"/>
        <v>198.01578676120815</v>
      </c>
      <c r="CD13" s="59">
        <f ca="1">AVERAGE(OFFSET($CC$3,0,0,'Données projet'!$E$12+1,1))-AVERAGE(OFFSET($H$3,0,0,'Données projet'!$E$12+1,1))</f>
        <v>331.86732359395467</v>
      </c>
      <c r="CE13" s="59">
        <f t="shared" si="40"/>
        <v>208.64489375183106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>
        <f>VLOOKUP(A13,'Données projet'!$A$139:$I$159,2,0)</f>
        <v>11</v>
      </c>
      <c r="CR13" s="12">
        <f>VLOOKUP(A13,'Données projet'!$A$139:$I$159,9,0)</f>
        <v>1.1000000000000001</v>
      </c>
      <c r="CS13" s="12">
        <f t="array" ref="CS13">INDEX(CR:CR,MIN(IF(ISNUMBER(CR13:CR209),ROW(CR13:CR209),"")))</f>
        <v>1.1000000000000001</v>
      </c>
      <c r="CT13" s="12">
        <f>IF('Données projet'!$A$140&gt;35,CT12+CS13-DB12,IF(A13&lt;'Données projet'!$A$140,$CQ$205^A13,IF(A13='Données projet'!$A$140,'Données projet'!$B$140,CT12+CS13-DB12)))</f>
        <v>11</v>
      </c>
      <c r="CU13" s="17">
        <f>CT13*VLOOKUP('Données projet'!$B$13,Paramètres!$A$1:$I$89,3,0)*VLOOKUP('Données projet'!$B$13,Paramètres!$A$1:$I$89,5,0)</f>
        <v>8.0652000000000008</v>
      </c>
      <c r="CV13" s="13">
        <f t="shared" si="41"/>
        <v>2.9149909035839161</v>
      </c>
      <c r="CW13" s="20">
        <f t="shared" si="13"/>
        <v>19.123832490408656</v>
      </c>
      <c r="CX13" s="59">
        <f t="shared" si="14"/>
        <v>211.06249447545355</v>
      </c>
      <c r="CY13" s="59">
        <f ca="1">AVERAGE(OFFSET($CX$3,0,0,'Données projet'!$E$13+1,1))-AVERAGE(OFFSET($H$3,0,0,'Données projet'!$E$13+1,1))</f>
        <v>352.45777291109863</v>
      </c>
      <c r="CZ13" s="59">
        <f t="shared" si="42"/>
        <v>340.92165104349181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4.0628205133333335</v>
      </c>
      <c r="DO13" s="12">
        <f>IF('Données projet'!$A$166&gt;35,DO12+DN13-DW12,IF(A13&lt;'Données projet'!$A$166,$DL$205^A13,IF(A13='Données projet'!$A$166,'Données projet'!$B$166,DO12+DN13-DW12)))</f>
        <v>4.9581115908901685</v>
      </c>
      <c r="DP13" s="17">
        <f>DO13*VLOOKUP('Données projet'!$B$14,Paramètres!$A$1:$I$89,3,0)*VLOOKUP('Données projet'!$B$14,Paramètres!$A$1:$I$89,5,0)</f>
        <v>3.3259012551691249</v>
      </c>
      <c r="DQ13" s="13">
        <f t="shared" si="43"/>
        <v>1.3326348531708307</v>
      </c>
      <c r="DR13" s="20">
        <f t="shared" si="16"/>
        <v>8.1136170553587554</v>
      </c>
      <c r="DS13" s="59">
        <f t="shared" si="17"/>
        <v>200.05227904040365</v>
      </c>
      <c r="DT13" s="59">
        <f ca="1">AVERAGE(OFFSET($DS$3,0,0,'Données projet'!$E$14+1,1))-AVERAGE(OFFSET($H$3,0,0,'Données projet'!$E$14+1,1))</f>
        <v>441.20130048888439</v>
      </c>
      <c r="DU13" s="59">
        <f t="shared" si="44"/>
        <v>237.47732532183946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>
        <f>VLOOKUP(A13,'Données projet'!$A$191:$I$211,2,0)</f>
        <v>11</v>
      </c>
      <c r="EH13" s="12">
        <f>VLOOKUP(A13,'Données projet'!$A$191:$I$211,9,0)</f>
        <v>1.1000000000000001</v>
      </c>
      <c r="EI13" s="12">
        <f t="array" ref="EI13">INDEX(EH:EH,MIN(IF(ISNUMBER(EH13:EH209),ROW(EH13:EH209),"")))</f>
        <v>1.1000000000000001</v>
      </c>
      <c r="EJ13" s="12">
        <f>IF('Données projet'!$A$192&gt;35,EJ12+EI13-ER12,IF(A13&lt;'Données projet'!$A$192,$EG$205^A13,IF(A13='Données projet'!$A$192,'Données projet'!$B$192,EJ12+EI13-ER12)))</f>
        <v>11</v>
      </c>
      <c r="EK13" s="17">
        <f>EJ13*VLOOKUP('Données projet'!$B$15,Paramètres!$A$1:$I$89,3,0)*VLOOKUP('Données projet'!$B$15,Paramètres!$A$1:$I$89,5,0)</f>
        <v>8.7516000000000016</v>
      </c>
      <c r="EL13" s="13">
        <f t="shared" si="45"/>
        <v>3.1331453604025001</v>
      </c>
      <c r="EM13" s="20">
        <f t="shared" si="19"/>
        <v>20.699264836034356</v>
      </c>
      <c r="EN13" s="59">
        <f t="shared" si="20"/>
        <v>212.63792682107925</v>
      </c>
      <c r="EO13" s="59">
        <f ca="1">AVERAGE(OFFSET($EN$3,0,0,'Données projet'!$E$15+1,1))-AVERAGE(OFFSET($H$3,0,0,'Données projet'!$E$15+1,1))</f>
        <v>377.27600411578322</v>
      </c>
      <c r="EP13" s="59">
        <f t="shared" si="46"/>
        <v>364.58250627635425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>
        <f>EXP(-LN(2)/35)*EV12+(1-EXP(-LN(2)/35))/(LN(2)/35)*ER13*ES13*VLOOKUP('Données projet'!$B$15,Paramètres!$A$1:$I$89,3,0)*0.475*44/12</f>
        <v>0</v>
      </c>
      <c r="EW13" s="21">
        <f>EXP(-LN(2)/25)*EW12+(1-EXP(-LN(2)/25))/(LN(2)/25)*Calculateur!ER13*Calculateur!ET13*VLOOKUP('Données projet'!$B$15,Paramètres!$A$1:$I$89,3,0)*0.475*44/12</f>
        <v>0</v>
      </c>
      <c r="EX13" s="21">
        <f>EXP(-LN(2)/2)*EX12+(1-EXP(-LN(2)/2))/(LN(2)/2)*ER13*EU13*VLOOKUP('Données projet'!$B$15,Paramètres!$A$1:$I$89,3,0)*0.475*44/12</f>
        <v>0</v>
      </c>
      <c r="EY13" s="22">
        <f t="shared" si="21"/>
        <v>0</v>
      </c>
      <c r="EZ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>
        <f>VLOOKUP(A13,'Données projet'!$A$217:$I$237,2,0)</f>
        <v>11</v>
      </c>
      <c r="FC13" s="12">
        <f>VLOOKUP(A13,'Données projet'!$A$217:$I$237,9,0)</f>
        <v>1.1000000000000001</v>
      </c>
      <c r="FD13" s="12">
        <f t="array" ref="FD13">INDEX(FC:FC,MIN(IF(ISNUMBER(FC13:FC209),ROW(FC13:FC209),"")))</f>
        <v>1.1000000000000001</v>
      </c>
      <c r="FE13" s="12">
        <f>IF('Données projet'!$A$218&gt;35,FE12+FD13-FM12,IF(A13&lt;'Données projet'!$A$218,$FB$205^A13,IF(A13='Données projet'!$A$218,'Données projet'!$B$218,FE12+FD13-FM12)))</f>
        <v>11</v>
      </c>
      <c r="FF13" s="17">
        <f>FE13*VLOOKUP('Données projet'!$B$16,Paramètres!$A$1:$I$89,3,0)*VLOOKUP('Données projet'!$B$16,Paramètres!$A$1:$I$89,5,0)</f>
        <v>8.9232000000000014</v>
      </c>
      <c r="FG13" s="13">
        <f t="shared" si="47"/>
        <v>3.187367140202428</v>
      </c>
      <c r="FH13" s="20">
        <f t="shared" si="22"/>
        <v>21.092571102519226</v>
      </c>
      <c r="FI13" s="59">
        <f t="shared" si="23"/>
        <v>213.03123308756412</v>
      </c>
      <c r="FJ13" s="59">
        <f ca="1">AVERAGE(OFFSET($FI$3,0,0,'Données projet'!$E$16+1,1))-AVERAGE(OFFSET($H$3,0,0,'Données projet'!$E$16+1,1))</f>
        <v>383.47399633251354</v>
      </c>
      <c r="FK13" s="59">
        <f t="shared" si="48"/>
        <v>370.49129421395628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>
        <f>EXP(-LN(2)/35)*FQ12+(1-EXP(-LN(2)/35))/(LN(2)/35)*FM13*FN13*VLOOKUP('Données projet'!$B$16,Paramètres!$A$1:$I$89,3,0)*0.475*44/12</f>
        <v>0</v>
      </c>
      <c r="FR13" s="21">
        <f>EXP(-LN(2)/25)*FR12+(1-EXP(-LN(2)/25))/(LN(2)/25)*Calculateur!FM13*Calculateur!FO13*VLOOKUP('Données projet'!$B$16,Paramètres!$A$1:$I$89,3,0)*0.475*44/12</f>
        <v>0</v>
      </c>
      <c r="FS13" s="21">
        <f>EXP(-LN(2)/2)*FS12+(1-EXP(-LN(2)/2))/(LN(2)/2)*FM13*FP13*VLOOKUP('Données projet'!$B$16,Paramètres!$A$1:$I$89,3,0)*0.475*44/12</f>
        <v>0</v>
      </c>
      <c r="FT13" s="22">
        <f t="shared" si="24"/>
        <v>0</v>
      </c>
      <c r="FU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4.0628205133333335</v>
      </c>
      <c r="FZ13" s="12">
        <f>IF('Données projet'!$A$244&gt;35,FZ12+FY13-GH12,IF(A13&lt;'Données projet'!$A$244,$FW$205^A13,IF(A13='Données projet'!$A$244,'Données projet'!$B$244,FZ12+FY13-GH12)))</f>
        <v>4.9581115908901685</v>
      </c>
      <c r="GA13" s="17">
        <f>FZ13*VLOOKUP('Données projet'!$B$17,Paramètres!$A$1:$I$89,3,0)*VLOOKUP('Données projet'!$B$17,Paramètres!$A$1:$I$89,5,0)</f>
        <v>4.7181389898910844</v>
      </c>
      <c r="GB13" s="13">
        <f t="shared" si="49"/>
        <v>1.8150804634689841</v>
      </c>
      <c r="GC13" s="20">
        <f t="shared" si="25"/>
        <v>11.378690547935454</v>
      </c>
      <c r="GD13" s="59">
        <f t="shared" si="26"/>
        <v>203.31735253298035</v>
      </c>
      <c r="GE13" s="59">
        <f ca="1">AVERAGE(OFFSET($GD$3,0,0,'Données projet'!$E$17+1,1))-AVERAGE(OFFSET($H$3,0,0,'Données projet'!$E$17+1,1))</f>
        <v>592.58528889137358</v>
      </c>
      <c r="GF13" s="59">
        <f t="shared" si="50"/>
        <v>311.31528020403709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>
        <f>EXP(-LN(2)/35)*GL12+(1-EXP(-LN(2)/35))/(LN(2)/35)*GH13*GI13*VLOOKUP('Données projet'!$B$17,Paramètres!$A$1:$I$89,3,0)*0.475*44/12</f>
        <v>0</v>
      </c>
      <c r="GM13" s="21">
        <f>EXP(-LN(2)/25)*GM12+(1-EXP(-LN(2)/25))/(LN(2)/25)*Calculateur!GH13*Calculateur!GJ13*VLOOKUP('Données projet'!$B$17,Paramètres!$A$1:$I$89,3,0)*0.475*44/12</f>
        <v>0</v>
      </c>
      <c r="GN13" s="21">
        <f>EXP(-LN(2)/2)*GN12+(1-EXP(-LN(2)/2))/(LN(2)/2)*GH13*GK13*VLOOKUP('Données projet'!$B$17,Paramètres!$A$1:$I$89,3,0)*0.475*44/12</f>
        <v>0</v>
      </c>
      <c r="GO13" s="21">
        <f t="shared" si="27"/>
        <v>0</v>
      </c>
      <c r="GP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2.6666666666666665</v>
      </c>
      <c r="GU13" s="12">
        <f>IF('Données projet'!$A$270&gt;35,GU12+GT13-HC12,IF(A13&lt;'Données projet'!$A$270,$GR$205^A13,IF(A13='Données projet'!$A$270,'Données projet'!$B$270,GU12+GT13-HC12)))</f>
        <v>11.696070952851455</v>
      </c>
      <c r="GV13" s="17">
        <f>GU13*VLOOKUP('Données projet'!$B$18,Paramètres!$A$1:$I$89,3,0)*VLOOKUP('Données projet'!$B$18,Paramètres!$A$1:$I$89,5,0)</f>
        <v>9.1229353432241354</v>
      </c>
      <c r="GW13" s="13">
        <f t="shared" si="51"/>
        <v>3.2503265450485803</v>
      </c>
      <c r="GX13" s="20">
        <f t="shared" si="28"/>
        <v>21.550097788741649</v>
      </c>
      <c r="GY13" s="59">
        <f t="shared" si="29"/>
        <v>213.48875977378654</v>
      </c>
      <c r="GZ13" s="59">
        <f ca="1">AVERAGE(OFFSET($GY$3,0,0,'Données projet'!$E$18+1,1))-AVERAGE(OFFSET($H$3,0,0,'Données projet'!$E$18+1,1))</f>
        <v>308.85018589589453</v>
      </c>
      <c r="HA13" s="59">
        <f t="shared" si="52"/>
        <v>302.59481222418219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>
        <f>EXP(-LN(2)/35)*HG12+(1-EXP(-LN(2)/35))/(LN(2)/35)*HC13*HD13*VLOOKUP('Données projet'!$B$18,Paramètres!$A$1:$I$89,3,0)*0.475*44/12</f>
        <v>0</v>
      </c>
      <c r="HH13" s="21">
        <f>EXP(-LN(2)/25)*HH12+(1-EXP(-LN(2)/25))/(LN(2)/25)*Calculateur!HC13*Calculateur!HE13*VLOOKUP('Données projet'!$B$18,Paramètres!$A$1:$I$89,3,0)*0.475*44/12</f>
        <v>0</v>
      </c>
      <c r="HI13" s="21">
        <f>EXP(-LN(2)/2)*HI12+(1-EXP(-LN(2)/2))/(LN(2)/2)*HC13*HF13*VLOOKUP('Données projet'!$B$18,Paramètres!$A$1:$I$89,3,0)*0.475*44/12</f>
        <v>0</v>
      </c>
      <c r="HJ13" s="22">
        <f t="shared" si="30"/>
        <v>0</v>
      </c>
    </row>
    <row r="14" spans="1:218" x14ac:dyDescent="0.35">
      <c r="A14" s="10">
        <f t="shared" si="31"/>
        <v>11</v>
      </c>
      <c r="B14" s="72">
        <f>'Scénario référence'!$B$16*5+'Scénario référence'!$B$17*0+'Scénario référence'!$B$18*5</f>
        <v>5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66">
        <f t="shared" si="1"/>
        <v>183.33333333333334</v>
      </c>
      <c r="I14" s="6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4.0628205133333335</v>
      </c>
      <c r="N14" s="13">
        <f>IF('Données projet'!$A$36&gt;35,N13+M14-V13,IF(A14&lt;'Données projet'!$A$36,$K$205^A14,IF(A14='Données projet'!$A$36,'Données projet'!$B$36,N13+M14-V13)))</f>
        <v>5.8189942332800397</v>
      </c>
      <c r="O14" s="13">
        <f>N14*VLOOKUP('Données projet'!$B$9,Paramètres!$A$1:$I$89,3,0)*VLOOKUP('Données projet'!$B$9,Paramètres!$A$1:$I$89,5,0)</f>
        <v>5.26502598227178</v>
      </c>
      <c r="P14" s="13">
        <f t="shared" si="33"/>
        <v>1.9997769727373709</v>
      </c>
      <c r="Q14" s="20">
        <f t="shared" si="2"/>
        <v>12.652865146640936</v>
      </c>
      <c r="R14" s="59">
        <f t="shared" si="0"/>
        <v>207.14866375575508</v>
      </c>
      <c r="S14" s="59">
        <f ca="1">AVERAGE(OFFSET($R$3,0,0,'Données projet'!$E$9+1,1))-AVERAGE(OFFSET($H$3,0,0,'Données projet'!$E$9+1,1))</f>
        <v>567.42635821507474</v>
      </c>
      <c r="T14" s="59">
        <f t="shared" si="34"/>
        <v>299.04735309930152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4.0628205133333335</v>
      </c>
      <c r="AI14" s="13">
        <f>IF('Données projet'!$A$62&gt;35,AI13+AH14-AQ13,IF(A14&lt;'Données projet'!$A$62,$AF$205^A14,IF(A14='Données projet'!$A$62,'Données projet'!$B$62,AI13+AH14-AQ13)))</f>
        <v>5.8189942332800397</v>
      </c>
      <c r="AJ14" s="13">
        <f>AI14*VLOOKUP('Données projet'!$B$10,Paramètres!$A$1:$I$89,3,0)*VLOOKUP('Données projet'!$B$10,Paramètres!$A$1:$I$89,5,0)</f>
        <v>5.9004601525459606</v>
      </c>
      <c r="AK14" s="13">
        <f t="shared" si="35"/>
        <v>2.2116012667823983</v>
      </c>
      <c r="AL14" s="20">
        <f t="shared" si="4"/>
        <v>14.128506971996892</v>
      </c>
      <c r="AM14" s="59">
        <f t="shared" si="5"/>
        <v>208.62430558111103</v>
      </c>
      <c r="AN14" s="59">
        <f ca="1">AVERAGE(OFFSET($AM$3,0,0,'Données projet'!$E$10+1,1))-AVERAGE(OFFSET($H$3,0,0,'Données projet'!$E$10+1,1))</f>
        <v>626.09203985591455</v>
      </c>
      <c r="AO14" s="59">
        <f t="shared" si="36"/>
        <v>327.65191296575199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1.6</v>
      </c>
      <c r="BD14" s="12">
        <f>IF('Données projet'!$A$88&gt;35,BD13+BC14-BL13,IF(A14&lt;'Données projet'!$A$88,$BA$205^A14,IF(A14='Données projet'!$A$88,'Données projet'!$B$88,BD13+BC14-BL13)))</f>
        <v>6.7271713220297125</v>
      </c>
      <c r="BE14" s="13">
        <f>BD14*VLOOKUP('Données projet'!$B$11,Paramètres!$A$1:$I$89,3,0)*VLOOKUP('Données projet'!$B$11,Paramètres!$A$1:$I$89,5,0)</f>
        <v>5.771912994301494</v>
      </c>
      <c r="BF14" s="13">
        <f t="shared" si="37"/>
        <v>2.1689733648366443</v>
      </c>
      <c r="BG14" s="20">
        <f t="shared" si="7"/>
        <v>13.830377075498925</v>
      </c>
      <c r="BH14" s="59">
        <f t="shared" si="8"/>
        <v>208.32617568461305</v>
      </c>
      <c r="BI14" s="59">
        <f ca="1">AVERAGE(OFFSET($BH$3,0,0,'Données projet'!$E$11+1,1))-AVERAGE(OFFSET($H$3,0,0,'Données projet'!$E$11+1,1))</f>
        <v>481.23392184981651</v>
      </c>
      <c r="BJ14" s="59">
        <f t="shared" si="38"/>
        <v>275.88160405468193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4.8773333333333335</v>
      </c>
      <c r="BY14" s="12">
        <f>IF('Données projet'!$A$114&gt;35,BY13+BX14-CG13,IF(A14&lt;'Données projet'!$A$114,$BV$205^A14,IF(A14='Données projet'!$A$114,'Données projet'!$B$114,BY13+BX14-CG13)))</f>
        <v>6.2222103259546522</v>
      </c>
      <c r="BZ14" s="13">
        <f>BY14*VLOOKUP('Données projet'!$B$12,Paramètres!$A$1:$I$89,3,0)*VLOOKUP('Données projet'!$B$12,Paramètres!$A$1:$I$89,5,0)</f>
        <v>2.911994432546777</v>
      </c>
      <c r="CA14" s="13">
        <f t="shared" si="39"/>
        <v>1.1849794703133387</v>
      </c>
      <c r="CB14" s="20">
        <f t="shared" si="10"/>
        <v>7.1355628808147005</v>
      </c>
      <c r="CC14" s="59">
        <f t="shared" si="11"/>
        <v>201.63136148992882</v>
      </c>
      <c r="CD14" s="59">
        <f ca="1">AVERAGE(OFFSET($CC$3,0,0,'Données projet'!$E$12+1,1))-AVERAGE(OFFSET($H$3,0,0,'Données projet'!$E$12+1,1))</f>
        <v>331.86732359395467</v>
      </c>
      <c r="CE14" s="59">
        <f t="shared" si="40"/>
        <v>208.64489375183106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10.8</v>
      </c>
      <c r="CT14" s="12">
        <f>IF('Données projet'!$A$140&gt;35,CT13+CS14-DB13,IF(A14&lt;'Données projet'!$A$140,$CQ$205^A14,IF(A14='Données projet'!$A$140,'Données projet'!$B$140,CT13+CS14-DB13)))</f>
        <v>21.8</v>
      </c>
      <c r="CU14" s="17">
        <f>CT14*VLOOKUP('Données projet'!$B$13,Paramètres!$A$1:$I$89,3,0)*VLOOKUP('Données projet'!$B$13,Paramètres!$A$1:$I$89,5,0)</f>
        <v>15.983760000000002</v>
      </c>
      <c r="CV14" s="13">
        <f t="shared" si="41"/>
        <v>5.3348570279475842</v>
      </c>
      <c r="CW14" s="20">
        <f t="shared" si="13"/>
        <v>37.129924657008708</v>
      </c>
      <c r="CX14" s="59">
        <f t="shared" si="14"/>
        <v>231.62572326612283</v>
      </c>
      <c r="CY14" s="59">
        <f ca="1">AVERAGE(OFFSET($CX$3,0,0,'Données projet'!$E$13+1,1))-AVERAGE(OFFSET($H$3,0,0,'Données projet'!$E$13+1,1))</f>
        <v>352.45777291109863</v>
      </c>
      <c r="CZ14" s="59">
        <f t="shared" si="42"/>
        <v>340.92165104349181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4.0628205133333335</v>
      </c>
      <c r="DO14" s="12">
        <f>IF('Données projet'!$A$166&gt;35,DO13+DN14-DW13,IF(A14&lt;'Données projet'!$A$166,$DL$205^A14,IF(A14='Données projet'!$A$166,'Données projet'!$B$166,DO13+DN14-DW13)))</f>
        <v>5.8189942332800397</v>
      </c>
      <c r="DP14" s="17">
        <f>DO14*VLOOKUP('Données projet'!$B$14,Paramètres!$A$1:$I$89,3,0)*VLOOKUP('Données projet'!$B$14,Paramètres!$A$1:$I$89,5,0)</f>
        <v>3.9033813316842507</v>
      </c>
      <c r="DQ14" s="13">
        <f t="shared" si="43"/>
        <v>1.5351446925104364</v>
      </c>
      <c r="DR14" s="20">
        <f t="shared" si="16"/>
        <v>9.4720994921390798</v>
      </c>
      <c r="DS14" s="59">
        <f t="shared" si="17"/>
        <v>203.96789810125321</v>
      </c>
      <c r="DT14" s="59">
        <f ca="1">AVERAGE(OFFSET($DS$3,0,0,'Données projet'!$E$14+1,1))-AVERAGE(OFFSET($H$3,0,0,'Données projet'!$E$14+1,1))</f>
        <v>441.20130048888439</v>
      </c>
      <c r="DU14" s="59">
        <f t="shared" si="44"/>
        <v>237.47732532183946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10.8</v>
      </c>
      <c r="EJ14" s="12">
        <f>IF('Données projet'!$A$192&gt;35,EJ13+EI14-ER13,IF(A14&lt;'Données projet'!$A$192,$EG$205^A14,IF(A14='Données projet'!$A$192,'Données projet'!$B$192,EJ13+EI14-ER13)))</f>
        <v>21.8</v>
      </c>
      <c r="EK14" s="17">
        <f>EJ14*VLOOKUP('Données projet'!$B$15,Paramètres!$A$1:$I$89,3,0)*VLOOKUP('Données projet'!$B$15,Paramètres!$A$1:$I$89,5,0)</f>
        <v>17.344080000000002</v>
      </c>
      <c r="EL14" s="13">
        <f t="shared" si="45"/>
        <v>5.7341113912136308</v>
      </c>
      <c r="EM14" s="20">
        <f t="shared" si="19"/>
        <v>40.194516673030414</v>
      </c>
      <c r="EN14" s="59">
        <f t="shared" si="20"/>
        <v>234.69031528214455</v>
      </c>
      <c r="EO14" s="59">
        <f ca="1">AVERAGE(OFFSET($EN$3,0,0,'Données projet'!$E$15+1,1))-AVERAGE(OFFSET($H$3,0,0,'Données projet'!$E$15+1,1))</f>
        <v>377.27600411578322</v>
      </c>
      <c r="EP14" s="59">
        <f t="shared" si="46"/>
        <v>364.58250627635425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>
        <f>EXP(-LN(2)/35)*EV13+(1-EXP(-LN(2)/35))/(LN(2)/35)*ER14*ES14*VLOOKUP('Données projet'!$B$15,Paramètres!$A$1:$I$89,3,0)*0.475*44/12</f>
        <v>0</v>
      </c>
      <c r="EW14" s="21">
        <f>EXP(-LN(2)/25)*EW13+(1-EXP(-LN(2)/25))/(LN(2)/25)*Calculateur!ER14*Calculateur!ET14*VLOOKUP('Données projet'!$B$15,Paramètres!$A$1:$I$89,3,0)*0.475*44/12</f>
        <v>0</v>
      </c>
      <c r="EX14" s="21">
        <f>EXP(-LN(2)/2)*EX13+(1-EXP(-LN(2)/2))/(LN(2)/2)*ER14*EU14*VLOOKUP('Données projet'!$B$15,Paramètres!$A$1:$I$89,3,0)*0.475*44/12</f>
        <v>0</v>
      </c>
      <c r="EY14" s="22">
        <f t="shared" si="21"/>
        <v>0</v>
      </c>
      <c r="EZ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10.8</v>
      </c>
      <c r="FE14" s="12">
        <f>IF('Données projet'!$A$218&gt;35,FE13+FD14-FM13,IF(A14&lt;'Données projet'!$A$218,$FB$205^A14,IF(A14='Données projet'!$A$218,'Données projet'!$B$218,FE13+FD14-FM13)))</f>
        <v>21.8</v>
      </c>
      <c r="FF14" s="17">
        <f>FE14*VLOOKUP('Données projet'!$B$16,Paramètres!$A$1:$I$89,3,0)*VLOOKUP('Données projet'!$B$16,Paramètres!$A$1:$I$89,5,0)</f>
        <v>17.684160000000002</v>
      </c>
      <c r="FG14" s="13">
        <f t="shared" si="47"/>
        <v>5.8333451290197509</v>
      </c>
      <c r="FH14" s="20">
        <f t="shared" si="22"/>
        <v>40.959654766376069</v>
      </c>
      <c r="FI14" s="59">
        <f t="shared" si="23"/>
        <v>235.45545337549021</v>
      </c>
      <c r="FJ14" s="59">
        <f ca="1">AVERAGE(OFFSET($FI$3,0,0,'Données projet'!$E$16+1,1))-AVERAGE(OFFSET($H$3,0,0,'Données projet'!$E$16+1,1))</f>
        <v>383.47399633251354</v>
      </c>
      <c r="FK14" s="59">
        <f t="shared" si="48"/>
        <v>370.49129421395628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>
        <f>EXP(-LN(2)/35)*FQ13+(1-EXP(-LN(2)/35))/(LN(2)/35)*FM14*FN14*VLOOKUP('Données projet'!$B$16,Paramètres!$A$1:$I$89,3,0)*0.475*44/12</f>
        <v>0</v>
      </c>
      <c r="FR14" s="21">
        <f>EXP(-LN(2)/25)*FR13+(1-EXP(-LN(2)/25))/(LN(2)/25)*Calculateur!FM14*Calculateur!FO14*VLOOKUP('Données projet'!$B$16,Paramètres!$A$1:$I$89,3,0)*0.475*44/12</f>
        <v>0</v>
      </c>
      <c r="FS14" s="21">
        <f>EXP(-LN(2)/2)*FS13+(1-EXP(-LN(2)/2))/(LN(2)/2)*FM14*FP14*VLOOKUP('Données projet'!$B$16,Paramètres!$A$1:$I$89,3,0)*0.475*44/12</f>
        <v>0</v>
      </c>
      <c r="FT14" s="22">
        <f t="shared" si="24"/>
        <v>0</v>
      </c>
      <c r="FU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4.0628205133333335</v>
      </c>
      <c r="FZ14" s="12">
        <f>IF('Données projet'!$A$244&gt;35,FZ13+FY14-GH13,IF(A14&lt;'Données projet'!$A$244,$FW$205^A14,IF(A14='Données projet'!$A$244,'Données projet'!$B$244,FZ13+FY14-GH13)))</f>
        <v>5.8189942332800397</v>
      </c>
      <c r="GA14" s="17">
        <f>FZ14*VLOOKUP('Données projet'!$B$17,Paramètres!$A$1:$I$89,3,0)*VLOOKUP('Données projet'!$B$17,Paramètres!$A$1:$I$89,5,0)</f>
        <v>5.5373549123892865</v>
      </c>
      <c r="GB14" s="13">
        <f t="shared" si="49"/>
        <v>2.0909036960453893</v>
      </c>
      <c r="GC14" s="20">
        <f t="shared" si="25"/>
        <v>13.285883743023726</v>
      </c>
      <c r="GD14" s="59">
        <f t="shared" si="26"/>
        <v>207.78168235213786</v>
      </c>
      <c r="GE14" s="59">
        <f ca="1">AVERAGE(OFFSET($GD$3,0,0,'Données projet'!$E$17+1,1))-AVERAGE(OFFSET($H$3,0,0,'Données projet'!$E$17+1,1))</f>
        <v>592.58528889137358</v>
      </c>
      <c r="GF14" s="59">
        <f t="shared" si="50"/>
        <v>311.31528020403709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>
        <f>EXP(-LN(2)/35)*GL13+(1-EXP(-LN(2)/35))/(LN(2)/35)*GH14*GI14*VLOOKUP('Données projet'!$B$17,Paramètres!$A$1:$I$89,3,0)*0.475*44/12</f>
        <v>0</v>
      </c>
      <c r="GM14" s="21">
        <f>EXP(-LN(2)/25)*GM13+(1-EXP(-LN(2)/25))/(LN(2)/25)*Calculateur!GH14*Calculateur!GJ14*VLOOKUP('Données projet'!$B$17,Paramètres!$A$1:$I$89,3,0)*0.475*44/12</f>
        <v>0</v>
      </c>
      <c r="GN14" s="21">
        <f>EXP(-LN(2)/2)*GN13+(1-EXP(-LN(2)/2))/(LN(2)/2)*GH14*GK14*VLOOKUP('Données projet'!$B$17,Paramètres!$A$1:$I$89,3,0)*0.475*44/12</f>
        <v>0</v>
      </c>
      <c r="GO14" s="21">
        <f t="shared" si="27"/>
        <v>0</v>
      </c>
      <c r="GP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2.6666666666666665</v>
      </c>
      <c r="GU14" s="12">
        <f>IF('Données projet'!$A$270&gt;35,GU13+GT14-HC13,IF(A14&lt;'Données projet'!$A$270,$GR$205^A14,IF(A14='Données projet'!$A$270,'Données projet'!$B$270,GU13+GT14-HC13)))</f>
        <v>14.956982779612416</v>
      </c>
      <c r="GV14" s="17">
        <f>GU14*VLOOKUP('Données projet'!$B$18,Paramètres!$A$1:$I$89,3,0)*VLOOKUP('Données projet'!$B$18,Paramètres!$A$1:$I$89,5,0)</f>
        <v>11.666446568097685</v>
      </c>
      <c r="GW14" s="13">
        <f t="shared" si="51"/>
        <v>4.0392339557111736</v>
      </c>
      <c r="GX14" s="20">
        <f t="shared" si="28"/>
        <v>27.354060245633761</v>
      </c>
      <c r="GY14" s="59">
        <f t="shared" si="29"/>
        <v>221.84985885474788</v>
      </c>
      <c r="GZ14" s="59">
        <f ca="1">AVERAGE(OFFSET($GY$3,0,0,'Données projet'!$E$18+1,1))-AVERAGE(OFFSET($H$3,0,0,'Données projet'!$E$18+1,1))</f>
        <v>308.85018589589453</v>
      </c>
      <c r="HA14" s="59">
        <f t="shared" si="52"/>
        <v>302.59481222418219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>
        <f>EXP(-LN(2)/35)*HG13+(1-EXP(-LN(2)/35))/(LN(2)/35)*HC14*HD14*VLOOKUP('Données projet'!$B$18,Paramètres!$A$1:$I$89,3,0)*0.475*44/12</f>
        <v>0</v>
      </c>
      <c r="HH14" s="21">
        <f>EXP(-LN(2)/25)*HH13+(1-EXP(-LN(2)/25))/(LN(2)/25)*Calculateur!HC14*Calculateur!HE14*VLOOKUP('Données projet'!$B$18,Paramètres!$A$1:$I$89,3,0)*0.475*44/12</f>
        <v>0</v>
      </c>
      <c r="HI14" s="21">
        <f>EXP(-LN(2)/2)*HI13+(1-EXP(-LN(2)/2))/(LN(2)/2)*HC14*HF14*VLOOKUP('Données projet'!$B$18,Paramètres!$A$1:$I$89,3,0)*0.475*44/12</f>
        <v>0</v>
      </c>
      <c r="HJ14" s="22">
        <f t="shared" si="30"/>
        <v>0</v>
      </c>
    </row>
    <row r="15" spans="1:218" x14ac:dyDescent="0.35">
      <c r="A15" s="10">
        <f t="shared" si="31"/>
        <v>12</v>
      </c>
      <c r="B15" s="72">
        <f>'Scénario référence'!$B$16*5+'Scénario référence'!$B$17*0+'Scénario référence'!$B$18*5</f>
        <v>5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66">
        <f t="shared" si="1"/>
        <v>183.33333333333334</v>
      </c>
      <c r="I15" s="6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4.0628205133333335</v>
      </c>
      <c r="N15" s="13">
        <f>IF('Données projet'!$A$36&gt;35,N14+M15-V14,IF(A15&lt;'Données projet'!$A$36,$K$205^A15,IF(A15='Données projet'!$A$36,'Données projet'!$B$36,N14+M15-V14)))</f>
        <v>6.8293529232300063</v>
      </c>
      <c r="O15" s="13">
        <f>N15*VLOOKUP('Données projet'!$B$9,Paramètres!$A$1:$I$89,3,0)*VLOOKUP('Données projet'!$B$9,Paramètres!$A$1:$I$89,5,0)</f>
        <v>6.17919852493851</v>
      </c>
      <c r="P15" s="13">
        <f t="shared" si="33"/>
        <v>2.3036670537303023</v>
      </c>
      <c r="Q15" s="20">
        <f t="shared" si="2"/>
        <v>14.774324216181517</v>
      </c>
      <c r="R15" s="59">
        <f t="shared" si="0"/>
        <v>211.8041016689144</v>
      </c>
      <c r="S15" s="59">
        <f ca="1">AVERAGE(OFFSET($R$3,0,0,'Données projet'!$E$9+1,1))-AVERAGE(OFFSET($H$3,0,0,'Données projet'!$E$9+1,1))</f>
        <v>567.42635821507474</v>
      </c>
      <c r="T15" s="59">
        <f t="shared" si="34"/>
        <v>299.04735309930152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4.0628205133333335</v>
      </c>
      <c r="AI15" s="13">
        <f>IF('Données projet'!$A$62&gt;35,AI14+AH15-AQ14,IF(A15&lt;'Données projet'!$A$62,$AF$205^A15,IF(A15='Données projet'!$A$62,'Données projet'!$B$62,AI14+AH15-AQ14)))</f>
        <v>6.8293529232300063</v>
      </c>
      <c r="AJ15" s="13">
        <f>AI15*VLOOKUP('Données projet'!$B$10,Paramètres!$A$1:$I$89,3,0)*VLOOKUP('Données projet'!$B$10,Paramètres!$A$1:$I$89,5,0)</f>
        <v>6.9249638641552265</v>
      </c>
      <c r="AK15" s="13">
        <f t="shared" si="35"/>
        <v>2.5476805882512314</v>
      </c>
      <c r="AL15" s="20">
        <f t="shared" si="4"/>
        <v>16.498189087941249</v>
      </c>
      <c r="AM15" s="59">
        <f t="shared" si="5"/>
        <v>213.52796654067413</v>
      </c>
      <c r="AN15" s="59">
        <f ca="1">AVERAGE(OFFSET($AM$3,0,0,'Données projet'!$E$10+1,1))-AVERAGE(OFFSET($H$3,0,0,'Données projet'!$E$10+1,1))</f>
        <v>626.09203985591455</v>
      </c>
      <c r="AO15" s="59">
        <f t="shared" si="36"/>
        <v>327.65191296575199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1.6</v>
      </c>
      <c r="BD15" s="12">
        <f>IF('Données projet'!$A$88&gt;35,BD14+BC15-BL14,IF(A15&lt;'Données projet'!$A$88,$BA$205^A15,IF(A15='Données projet'!$A$88,'Données projet'!$B$88,BD14+BC15-BL14)))</f>
        <v>7.9999999999999947</v>
      </c>
      <c r="BE15" s="13">
        <f>BD15*VLOOKUP('Données projet'!$B$11,Paramètres!$A$1:$I$89,3,0)*VLOOKUP('Données projet'!$B$11,Paramètres!$A$1:$I$89,5,0)</f>
        <v>6.8639999999999963</v>
      </c>
      <c r="BF15" s="13">
        <f t="shared" si="37"/>
        <v>2.5278525909113112</v>
      </c>
      <c r="BG15" s="20">
        <f t="shared" si="7"/>
        <v>16.357476595837191</v>
      </c>
      <c r="BH15" s="59">
        <f t="shared" si="8"/>
        <v>213.38725404857007</v>
      </c>
      <c r="BI15" s="59">
        <f ca="1">AVERAGE(OFFSET($BH$3,0,0,'Données projet'!$E$11+1,1))-AVERAGE(OFFSET($H$3,0,0,'Données projet'!$E$11+1,1))</f>
        <v>481.23392184981651</v>
      </c>
      <c r="BJ15" s="59">
        <f t="shared" si="38"/>
        <v>275.88160405468193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4.8773333333333335</v>
      </c>
      <c r="BY15" s="12">
        <f>IF('Données projet'!$A$114&gt;35,BY14+BX15-CG14,IF(A15&lt;'Données projet'!$A$114,$BV$205^A15,IF(A15='Données projet'!$A$114,'Données projet'!$B$114,BY14+BX15-CG14)))</f>
        <v>7.3471934857552688</v>
      </c>
      <c r="BZ15" s="13">
        <f>BY15*VLOOKUP('Données projet'!$B$12,Paramètres!$A$1:$I$89,3,0)*VLOOKUP('Données projet'!$B$12,Paramètres!$A$1:$I$89,5,0)</f>
        <v>3.4384865513334657</v>
      </c>
      <c r="CA15" s="13">
        <f t="shared" si="39"/>
        <v>1.3724174700015319</v>
      </c>
      <c r="CB15" s="20">
        <f t="shared" si="10"/>
        <v>8.378991170491787</v>
      </c>
      <c r="CC15" s="59">
        <f t="shared" si="11"/>
        <v>205.40876862322466</v>
      </c>
      <c r="CD15" s="59">
        <f ca="1">AVERAGE(OFFSET($CC$3,0,0,'Données projet'!$E$12+1,1))-AVERAGE(OFFSET($H$3,0,0,'Données projet'!$E$12+1,1))</f>
        <v>331.86732359395467</v>
      </c>
      <c r="CE15" s="59">
        <f t="shared" si="40"/>
        <v>208.64489375183106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10.8</v>
      </c>
      <c r="CT15" s="12">
        <f>IF('Données projet'!$A$140&gt;35,CT14+CS15-DB14,IF(A15&lt;'Données projet'!$A$140,$CQ$205^A15,IF(A15='Données projet'!$A$140,'Données projet'!$B$140,CT14+CS15-DB14)))</f>
        <v>32.6</v>
      </c>
      <c r="CU15" s="17">
        <f>CT15*VLOOKUP('Données projet'!$B$13,Paramètres!$A$1:$I$89,3,0)*VLOOKUP('Données projet'!$B$13,Paramètres!$A$1:$I$89,5,0)</f>
        <v>23.90232</v>
      </c>
      <c r="CV15" s="13">
        <f t="shared" si="41"/>
        <v>7.6127522913266521</v>
      </c>
      <c r="CW15" s="20">
        <f t="shared" si="13"/>
        <v>54.88875090739392</v>
      </c>
      <c r="CX15" s="59">
        <f t="shared" si="14"/>
        <v>251.9185283601268</v>
      </c>
      <c r="CY15" s="59">
        <f ca="1">AVERAGE(OFFSET($CX$3,0,0,'Données projet'!$E$13+1,1))-AVERAGE(OFFSET($H$3,0,0,'Données projet'!$E$13+1,1))</f>
        <v>352.45777291109863</v>
      </c>
      <c r="CZ15" s="59">
        <f t="shared" si="42"/>
        <v>340.92165104349181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4.0628205133333335</v>
      </c>
      <c r="DO15" s="12">
        <f>IF('Données projet'!$A$166&gt;35,DO14+DN15-DW14,IF(A15&lt;'Données projet'!$A$166,$DL$205^A15,IF(A15='Données projet'!$A$166,'Données projet'!$B$166,DO14+DN15-DW14)))</f>
        <v>6.8293529232300063</v>
      </c>
      <c r="DP15" s="17">
        <f>DO15*VLOOKUP('Données projet'!$B$14,Paramètres!$A$1:$I$89,3,0)*VLOOKUP('Données projet'!$B$14,Paramètres!$A$1:$I$89,5,0)</f>
        <v>4.5811299409026889</v>
      </c>
      <c r="DQ15" s="13">
        <f t="shared" si="43"/>
        <v>1.7684283292873324</v>
      </c>
      <c r="DR15" s="20">
        <f t="shared" si="16"/>
        <v>11.058813987247619</v>
      </c>
      <c r="DS15" s="59">
        <f t="shared" si="17"/>
        <v>208.08859143998049</v>
      </c>
      <c r="DT15" s="59">
        <f ca="1">AVERAGE(OFFSET($DS$3,0,0,'Données projet'!$E$14+1,1))-AVERAGE(OFFSET($H$3,0,0,'Données projet'!$E$14+1,1))</f>
        <v>441.20130048888439</v>
      </c>
      <c r="DU15" s="59">
        <f t="shared" si="44"/>
        <v>237.47732532183946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10.8</v>
      </c>
      <c r="EJ15" s="12">
        <f>IF('Données projet'!$A$192&gt;35,EJ14+EI15-ER14,IF(A15&lt;'Données projet'!$A$192,$EG$205^A15,IF(A15='Données projet'!$A$192,'Données projet'!$B$192,EJ14+EI15-ER14)))</f>
        <v>32.6</v>
      </c>
      <c r="EK15" s="17">
        <f>EJ15*VLOOKUP('Données projet'!$B$15,Paramètres!$A$1:$I$89,3,0)*VLOOKUP('Données projet'!$B$15,Paramètres!$A$1:$I$89,5,0)</f>
        <v>25.936560000000004</v>
      </c>
      <c r="EL15" s="13">
        <f t="shared" si="45"/>
        <v>8.1824816304360635</v>
      </c>
      <c r="EM15" s="20">
        <f t="shared" si="19"/>
        <v>59.423997506342801</v>
      </c>
      <c r="EN15" s="59">
        <f t="shared" si="20"/>
        <v>256.45377495907564</v>
      </c>
      <c r="EO15" s="59">
        <f ca="1">AVERAGE(OFFSET($EN$3,0,0,'Données projet'!$E$15+1,1))-AVERAGE(OFFSET($H$3,0,0,'Données projet'!$E$15+1,1))</f>
        <v>377.27600411578322</v>
      </c>
      <c r="EP15" s="59">
        <f t="shared" si="46"/>
        <v>364.58250627635425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>
        <f>EXP(-LN(2)/35)*EV14+(1-EXP(-LN(2)/35))/(LN(2)/35)*ER15*ES15*VLOOKUP('Données projet'!$B$15,Paramètres!$A$1:$I$89,3,0)*0.475*44/12</f>
        <v>0</v>
      </c>
      <c r="EW15" s="21">
        <f>EXP(-LN(2)/25)*EW14+(1-EXP(-LN(2)/25))/(LN(2)/25)*Calculateur!ER15*Calculateur!ET15*VLOOKUP('Données projet'!$B$15,Paramètres!$A$1:$I$89,3,0)*0.475*44/12</f>
        <v>0</v>
      </c>
      <c r="EX15" s="21">
        <f>EXP(-LN(2)/2)*EX14+(1-EXP(-LN(2)/2))/(LN(2)/2)*ER15*EU15*VLOOKUP('Données projet'!$B$15,Paramètres!$A$1:$I$89,3,0)*0.475*44/12</f>
        <v>0</v>
      </c>
      <c r="EY15" s="22">
        <f t="shared" si="21"/>
        <v>0</v>
      </c>
      <c r="EZ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10.8</v>
      </c>
      <c r="FE15" s="12">
        <f>IF('Données projet'!$A$218&gt;35,FE14+FD15-FM14,IF(A15&lt;'Données projet'!$A$218,$FB$205^A15,IF(A15='Données projet'!$A$218,'Données projet'!$B$218,FE14+FD15-FM14)))</f>
        <v>32.6</v>
      </c>
      <c r="FF15" s="17">
        <f>FE15*VLOOKUP('Données projet'!$B$16,Paramètres!$A$1:$I$89,3,0)*VLOOKUP('Données projet'!$B$16,Paramètres!$A$1:$I$89,5,0)</f>
        <v>26.445120000000003</v>
      </c>
      <c r="FG15" s="13">
        <f t="shared" si="47"/>
        <v>8.3240865246071554</v>
      </c>
      <c r="FH15" s="20">
        <f t="shared" si="22"/>
        <v>60.556368030357454</v>
      </c>
      <c r="FI15" s="59">
        <f t="shared" si="23"/>
        <v>257.58614548309032</v>
      </c>
      <c r="FJ15" s="59">
        <f ca="1">AVERAGE(OFFSET($FI$3,0,0,'Données projet'!$E$16+1,1))-AVERAGE(OFFSET($H$3,0,0,'Données projet'!$E$16+1,1))</f>
        <v>383.47399633251354</v>
      </c>
      <c r="FK15" s="59">
        <f t="shared" si="48"/>
        <v>370.49129421395628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>
        <f>EXP(-LN(2)/35)*FQ14+(1-EXP(-LN(2)/35))/(LN(2)/35)*FM15*FN15*VLOOKUP('Données projet'!$B$16,Paramètres!$A$1:$I$89,3,0)*0.475*44/12</f>
        <v>0</v>
      </c>
      <c r="FR15" s="21">
        <f>EXP(-LN(2)/25)*FR14+(1-EXP(-LN(2)/25))/(LN(2)/25)*Calculateur!FM15*Calculateur!FO15*VLOOKUP('Données projet'!$B$16,Paramètres!$A$1:$I$89,3,0)*0.475*44/12</f>
        <v>0</v>
      </c>
      <c r="FS15" s="21">
        <f>EXP(-LN(2)/2)*FS14+(1-EXP(-LN(2)/2))/(LN(2)/2)*FM15*FP15*VLOOKUP('Données projet'!$B$16,Paramètres!$A$1:$I$89,3,0)*0.475*44/12</f>
        <v>0</v>
      </c>
      <c r="FT15" s="22">
        <f t="shared" si="24"/>
        <v>0</v>
      </c>
      <c r="FU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4.0628205133333335</v>
      </c>
      <c r="FZ15" s="12">
        <f>IF('Données projet'!$A$244&gt;35,FZ14+FY15-GH14,IF(A15&lt;'Données projet'!$A$244,$FW$205^A15,IF(A15='Données projet'!$A$244,'Données projet'!$B$244,FZ14+FY15-GH14)))</f>
        <v>6.8293529232300063</v>
      </c>
      <c r="GA15" s="17">
        <f>FZ15*VLOOKUP('Données projet'!$B$17,Paramètres!$A$1:$I$89,3,0)*VLOOKUP('Données projet'!$B$17,Paramètres!$A$1:$I$89,5,0)</f>
        <v>6.4988122417456742</v>
      </c>
      <c r="GB15" s="13">
        <f t="shared" si="49"/>
        <v>2.4086415749198946</v>
      </c>
      <c r="GC15" s="20">
        <f t="shared" si="25"/>
        <v>15.513815397359197</v>
      </c>
      <c r="GD15" s="59">
        <f t="shared" si="26"/>
        <v>212.54359285009207</v>
      </c>
      <c r="GE15" s="59">
        <f ca="1">AVERAGE(OFFSET($GD$3,0,0,'Données projet'!$E$17+1,1))-AVERAGE(OFFSET($H$3,0,0,'Données projet'!$E$17+1,1))</f>
        <v>592.58528889137358</v>
      </c>
      <c r="GF15" s="59">
        <f t="shared" si="50"/>
        <v>311.31528020403709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>
        <f>EXP(-LN(2)/35)*GL14+(1-EXP(-LN(2)/35))/(LN(2)/35)*GH15*GI15*VLOOKUP('Données projet'!$B$17,Paramètres!$A$1:$I$89,3,0)*0.475*44/12</f>
        <v>0</v>
      </c>
      <c r="GM15" s="21">
        <f>EXP(-LN(2)/25)*GM14+(1-EXP(-LN(2)/25))/(LN(2)/25)*Calculateur!GH15*Calculateur!GJ15*VLOOKUP('Données projet'!$B$17,Paramètres!$A$1:$I$89,3,0)*0.475*44/12</f>
        <v>0</v>
      </c>
      <c r="GN15" s="21">
        <f>EXP(-LN(2)/2)*GN14+(1-EXP(-LN(2)/2))/(LN(2)/2)*GH15*GK15*VLOOKUP('Données projet'!$B$17,Paramètres!$A$1:$I$89,3,0)*0.475*44/12</f>
        <v>0</v>
      </c>
      <c r="GO15" s="21">
        <f t="shared" si="27"/>
        <v>0</v>
      </c>
      <c r="GP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2.6666666666666665</v>
      </c>
      <c r="GU15" s="12">
        <f>IF('Données projet'!$A$270&gt;35,GU14+GT15-HC14,IF(A15&lt;'Données projet'!$A$270,$GR$205^A15,IF(A15='Données projet'!$A$270,'Données projet'!$B$270,GU14+GT15-HC14)))</f>
        <v>19.127049995800721</v>
      </c>
      <c r="GV15" s="17">
        <f>GU15*VLOOKUP('Données projet'!$B$18,Paramètres!$A$1:$I$89,3,0)*VLOOKUP('Données projet'!$B$18,Paramètres!$A$1:$I$89,5,0)</f>
        <v>14.919098996724562</v>
      </c>
      <c r="GW15" s="13">
        <f t="shared" si="51"/>
        <v>5.019622097301081</v>
      </c>
      <c r="GX15" s="20">
        <f t="shared" si="28"/>
        <v>34.726605905427995</v>
      </c>
      <c r="GY15" s="59">
        <f t="shared" si="29"/>
        <v>231.75638335816086</v>
      </c>
      <c r="GZ15" s="59">
        <f ca="1">AVERAGE(OFFSET($GY$3,0,0,'Données projet'!$E$18+1,1))-AVERAGE(OFFSET($H$3,0,0,'Données projet'!$E$18+1,1))</f>
        <v>308.85018589589453</v>
      </c>
      <c r="HA15" s="59">
        <f t="shared" si="52"/>
        <v>302.59481222418219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>
        <f>EXP(-LN(2)/35)*HG14+(1-EXP(-LN(2)/35))/(LN(2)/35)*HC15*HD15*VLOOKUP('Données projet'!$B$18,Paramètres!$A$1:$I$89,3,0)*0.475*44/12</f>
        <v>0</v>
      </c>
      <c r="HH15" s="21">
        <f>EXP(-LN(2)/25)*HH14+(1-EXP(-LN(2)/25))/(LN(2)/25)*Calculateur!HC15*Calculateur!HE15*VLOOKUP('Données projet'!$B$18,Paramètres!$A$1:$I$89,3,0)*0.475*44/12</f>
        <v>0</v>
      </c>
      <c r="HI15" s="21">
        <f>EXP(-LN(2)/2)*HI14+(1-EXP(-LN(2)/2))/(LN(2)/2)*HC15*HF15*VLOOKUP('Données projet'!$B$18,Paramètres!$A$1:$I$89,3,0)*0.475*44/12</f>
        <v>0</v>
      </c>
      <c r="HJ15" s="22">
        <f t="shared" si="30"/>
        <v>0</v>
      </c>
    </row>
    <row r="16" spans="1:218" x14ac:dyDescent="0.35">
      <c r="A16" s="10">
        <f t="shared" si="31"/>
        <v>13</v>
      </c>
      <c r="B16" s="72">
        <f>'Scénario référence'!$B$16*5+'Scénario référence'!$B$17*0+'Scénario référence'!$B$18*5</f>
        <v>5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66">
        <f t="shared" si="1"/>
        <v>183.33333333333334</v>
      </c>
      <c r="I16" s="6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4.0628205133333335</v>
      </c>
      <c r="N16" s="13">
        <f>IF('Données projet'!$A$36&gt;35,N15+M16-V15,IF(A16&lt;'Données projet'!$A$36,$K$205^A16,IF(A16='Données projet'!$A$36,'Données projet'!$B$36,N15+M16-V15)))</f>
        <v>8.0151413595301424</v>
      </c>
      <c r="O16" s="13">
        <f>N16*VLOOKUP('Données projet'!$B$9,Paramètres!$A$1:$I$89,3,0)*VLOOKUP('Données projet'!$B$9,Paramètres!$A$1:$I$89,5,0)</f>
        <v>7.2520999021028727</v>
      </c>
      <c r="P16" s="13">
        <f t="shared" si="33"/>
        <v>2.6537368750567167</v>
      </c>
      <c r="Q16" s="20">
        <f t="shared" si="2"/>
        <v>17.252665720219614</v>
      </c>
      <c r="R16" s="59">
        <f t="shared" si="0"/>
        <v>216.79366597183844</v>
      </c>
      <c r="S16" s="59">
        <f ca="1">AVERAGE(OFFSET($R$3,0,0,'Données projet'!$E$9+1,1))-AVERAGE(OFFSET($H$3,0,0,'Données projet'!$E$9+1,1))</f>
        <v>567.42635821507474</v>
      </c>
      <c r="T16" s="59">
        <f t="shared" si="34"/>
        <v>299.04735309930152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4.0628205133333335</v>
      </c>
      <c r="AI16" s="13">
        <f>IF('Données projet'!$A$62&gt;35,AI15+AH16-AQ15,IF(A16&lt;'Données projet'!$A$62,$AF$205^A16,IF(A16='Données projet'!$A$62,'Données projet'!$B$62,AI15+AH16-AQ15)))</f>
        <v>8.0151413595301424</v>
      </c>
      <c r="AJ16" s="13">
        <f>AI16*VLOOKUP('Données projet'!$B$10,Paramètres!$A$1:$I$89,3,0)*VLOOKUP('Données projet'!$B$10,Paramètres!$A$1:$I$89,5,0)</f>
        <v>8.1273533385635659</v>
      </c>
      <c r="AK16" s="13">
        <f t="shared" si="35"/>
        <v>2.9348311909747009</v>
      </c>
      <c r="AL16" s="20">
        <f t="shared" si="4"/>
        <v>19.266638055612479</v>
      </c>
      <c r="AM16" s="59">
        <f t="shared" si="5"/>
        <v>218.80763830723129</v>
      </c>
      <c r="AN16" s="59">
        <f ca="1">AVERAGE(OFFSET($AM$3,0,0,'Données projet'!$E$10+1,1))-AVERAGE(OFFSET($H$3,0,0,'Données projet'!$E$10+1,1))</f>
        <v>626.09203985591455</v>
      </c>
      <c r="AO16" s="59">
        <f t="shared" si="36"/>
        <v>327.65191296575199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1.6</v>
      </c>
      <c r="BD16" s="12">
        <f>IF('Données projet'!$A$88&gt;35,BD15+BC16-BL15,IF(A16&lt;'Données projet'!$A$88,$BA$205^A16,IF(A16='Données projet'!$A$88,'Données projet'!$B$88,BD15+BC16-BL15)))</f>
        <v>9.5136569200217629</v>
      </c>
      <c r="BE16" s="13">
        <f>BD16*VLOOKUP('Données projet'!$B$11,Paramètres!$A$1:$I$89,3,0)*VLOOKUP('Données projet'!$B$11,Paramètres!$A$1:$I$89,5,0)</f>
        <v>8.1627176373786732</v>
      </c>
      <c r="BF16" s="13">
        <f t="shared" si="37"/>
        <v>2.946112121509751</v>
      </c>
      <c r="BG16" s="20">
        <f t="shared" si="7"/>
        <v>19.347878496730672</v>
      </c>
      <c r="BH16" s="59">
        <f t="shared" si="8"/>
        <v>218.8888787483495</v>
      </c>
      <c r="BI16" s="59">
        <f ca="1">AVERAGE(OFFSET($BH$3,0,0,'Données projet'!$E$11+1,1))-AVERAGE(OFFSET($H$3,0,0,'Données projet'!$E$11+1,1))</f>
        <v>481.23392184981651</v>
      </c>
      <c r="BJ16" s="59">
        <f t="shared" si="38"/>
        <v>275.88160405468193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4.8773333333333335</v>
      </c>
      <c r="BY16" s="12">
        <f>IF('Données projet'!$A$114&gt;35,BY15+BX16-CG15,IF(A16&lt;'Données projet'!$A$114,$BV$205^A16,IF(A16='Données projet'!$A$114,'Données projet'!$B$114,BY15+BX16-CG15)))</f>
        <v>8.6755749627994927</v>
      </c>
      <c r="BZ16" s="13">
        <f>BY16*VLOOKUP('Données projet'!$B$12,Paramètres!$A$1:$I$89,3,0)*VLOOKUP('Données projet'!$B$12,Paramètres!$A$1:$I$89,5,0)</f>
        <v>4.0601690825901624</v>
      </c>
      <c r="CA16" s="13">
        <f t="shared" si="39"/>
        <v>1.5895040877521298</v>
      </c>
      <c r="CB16" s="20">
        <f t="shared" si="10"/>
        <v>9.83984743834616</v>
      </c>
      <c r="CC16" s="59">
        <f t="shared" si="11"/>
        <v>209.38084768996498</v>
      </c>
      <c r="CD16" s="59">
        <f ca="1">AVERAGE(OFFSET($CC$3,0,0,'Données projet'!$E$12+1,1))-AVERAGE(OFFSET($H$3,0,0,'Données projet'!$E$12+1,1))</f>
        <v>331.86732359395467</v>
      </c>
      <c r="CE16" s="59">
        <f t="shared" si="40"/>
        <v>208.64489375183106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10.8</v>
      </c>
      <c r="CT16" s="12">
        <f>IF('Données projet'!$A$140&gt;35,CT15+CS16-DB15,IF(A16&lt;'Données projet'!$A$140,$CQ$205^A16,IF(A16='Données projet'!$A$140,'Données projet'!$B$140,CT15+CS16-DB15)))</f>
        <v>43.400000000000006</v>
      </c>
      <c r="CU16" s="17">
        <f>CT16*VLOOKUP('Données projet'!$B$13,Paramètres!$A$1:$I$89,3,0)*VLOOKUP('Données projet'!$B$13,Paramètres!$A$1:$I$89,5,0)</f>
        <v>31.820880000000006</v>
      </c>
      <c r="CV16" s="13">
        <f t="shared" si="41"/>
        <v>9.8027641140385384</v>
      </c>
      <c r="CW16" s="20">
        <f t="shared" si="13"/>
        <v>72.494513498617124</v>
      </c>
      <c r="CX16" s="59">
        <f t="shared" si="14"/>
        <v>272.03551375023596</v>
      </c>
      <c r="CY16" s="59">
        <f ca="1">AVERAGE(OFFSET($CX$3,0,0,'Données projet'!$E$13+1,1))-AVERAGE(OFFSET($H$3,0,0,'Données projet'!$E$13+1,1))</f>
        <v>352.45777291109863</v>
      </c>
      <c r="CZ16" s="59">
        <f t="shared" si="42"/>
        <v>340.92165104349181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4.0628205133333335</v>
      </c>
      <c r="DO16" s="12">
        <f>IF('Données projet'!$A$166&gt;35,DO15+DN16-DW15,IF(A16&lt;'Données projet'!$A$166,$DL$205^A16,IF(A16='Données projet'!$A$166,'Données projet'!$B$166,DO15+DN16-DW15)))</f>
        <v>8.0151413595301424</v>
      </c>
      <c r="DP16" s="17">
        <f>DO16*VLOOKUP('Données projet'!$B$14,Paramètres!$A$1:$I$89,3,0)*VLOOKUP('Données projet'!$B$14,Paramètres!$A$1:$I$89,5,0)</f>
        <v>5.3765568239728196</v>
      </c>
      <c r="DQ16" s="13">
        <f t="shared" si="43"/>
        <v>2.0371622108869878</v>
      </c>
      <c r="DR16" s="20">
        <f t="shared" si="16"/>
        <v>12.912227319047497</v>
      </c>
      <c r="DS16" s="59">
        <f t="shared" si="17"/>
        <v>212.45322757066631</v>
      </c>
      <c r="DT16" s="59">
        <f ca="1">AVERAGE(OFFSET($DS$3,0,0,'Données projet'!$E$14+1,1))-AVERAGE(OFFSET($H$3,0,0,'Données projet'!$E$14+1,1))</f>
        <v>441.20130048888439</v>
      </c>
      <c r="DU16" s="59">
        <f t="shared" si="44"/>
        <v>237.47732532183946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10.8</v>
      </c>
      <c r="EJ16" s="12">
        <f>IF('Données projet'!$A$192&gt;35,EJ15+EI16-ER15,IF(A16&lt;'Données projet'!$A$192,$EG$205^A16,IF(A16='Données projet'!$A$192,'Données projet'!$B$192,EJ15+EI16-ER15)))</f>
        <v>43.400000000000006</v>
      </c>
      <c r="EK16" s="17">
        <f>EJ16*VLOOKUP('Données projet'!$B$15,Paramètres!$A$1:$I$89,3,0)*VLOOKUP('Données projet'!$B$15,Paramètres!$A$1:$I$89,5,0)</f>
        <v>34.529040000000009</v>
      </c>
      <c r="EL16" s="13">
        <f t="shared" si="45"/>
        <v>10.536391336679102</v>
      </c>
      <c r="EM16" s="20">
        <f t="shared" si="19"/>
        <v>78.488959578049446</v>
      </c>
      <c r="EN16" s="59">
        <f t="shared" si="20"/>
        <v>278.02995982966826</v>
      </c>
      <c r="EO16" s="59">
        <f ca="1">AVERAGE(OFFSET($EN$3,0,0,'Données projet'!$E$15+1,1))-AVERAGE(OFFSET($H$3,0,0,'Données projet'!$E$15+1,1))</f>
        <v>377.27600411578322</v>
      </c>
      <c r="EP16" s="59">
        <f t="shared" si="46"/>
        <v>364.58250627635425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>
        <f>EXP(-LN(2)/35)*EV15+(1-EXP(-LN(2)/35))/(LN(2)/35)*ER16*ES16*VLOOKUP('Données projet'!$B$15,Paramètres!$A$1:$I$89,3,0)*0.475*44/12</f>
        <v>0</v>
      </c>
      <c r="EW16" s="21">
        <f>EXP(-LN(2)/25)*EW15+(1-EXP(-LN(2)/25))/(LN(2)/25)*Calculateur!ER16*Calculateur!ET16*VLOOKUP('Données projet'!$B$15,Paramètres!$A$1:$I$89,3,0)*0.475*44/12</f>
        <v>0</v>
      </c>
      <c r="EX16" s="21">
        <f>EXP(-LN(2)/2)*EX15+(1-EXP(-LN(2)/2))/(LN(2)/2)*ER16*EU16*VLOOKUP('Données projet'!$B$15,Paramètres!$A$1:$I$89,3,0)*0.475*44/12</f>
        <v>0</v>
      </c>
      <c r="EY16" s="22">
        <f t="shared" si="21"/>
        <v>0</v>
      </c>
      <c r="EZ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10.8</v>
      </c>
      <c r="FE16" s="12">
        <f>IF('Données projet'!$A$218&gt;35,FE15+FD16-FM15,IF(A16&lt;'Données projet'!$A$218,$FB$205^A16,IF(A16='Données projet'!$A$218,'Données projet'!$B$218,FE15+FD16-FM15)))</f>
        <v>43.400000000000006</v>
      </c>
      <c r="FF16" s="17">
        <f>FE16*VLOOKUP('Données projet'!$B$16,Paramètres!$A$1:$I$89,3,0)*VLOOKUP('Données projet'!$B$16,Paramètres!$A$1:$I$89,5,0)</f>
        <v>35.206080000000007</v>
      </c>
      <c r="FG16" s="13">
        <f t="shared" si="47"/>
        <v>10.718732666310196</v>
      </c>
      <c r="FH16" s="20">
        <f t="shared" si="22"/>
        <v>79.985715393823597</v>
      </c>
      <c r="FI16" s="59">
        <f t="shared" si="23"/>
        <v>279.52671564544244</v>
      </c>
      <c r="FJ16" s="59">
        <f ca="1">AVERAGE(OFFSET($FI$3,0,0,'Données projet'!$E$16+1,1))-AVERAGE(OFFSET($H$3,0,0,'Données projet'!$E$16+1,1))</f>
        <v>383.47399633251354</v>
      </c>
      <c r="FK16" s="59">
        <f t="shared" si="48"/>
        <v>370.49129421395628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>
        <f>EXP(-LN(2)/35)*FQ15+(1-EXP(-LN(2)/35))/(LN(2)/35)*FM16*FN16*VLOOKUP('Données projet'!$B$16,Paramètres!$A$1:$I$89,3,0)*0.475*44/12</f>
        <v>0</v>
      </c>
      <c r="FR16" s="21">
        <f>EXP(-LN(2)/25)*FR15+(1-EXP(-LN(2)/25))/(LN(2)/25)*Calculateur!FM16*Calculateur!FO16*VLOOKUP('Données projet'!$B$16,Paramètres!$A$1:$I$89,3,0)*0.475*44/12</f>
        <v>0</v>
      </c>
      <c r="FS16" s="21">
        <f>EXP(-LN(2)/2)*FS15+(1-EXP(-LN(2)/2))/(LN(2)/2)*FM16*FP16*VLOOKUP('Données projet'!$B$16,Paramètres!$A$1:$I$89,3,0)*0.475*44/12</f>
        <v>0</v>
      </c>
      <c r="FT16" s="22">
        <f t="shared" si="24"/>
        <v>0</v>
      </c>
      <c r="FU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4.0628205133333335</v>
      </c>
      <c r="FZ16" s="12">
        <f>IF('Données projet'!$A$244&gt;35,FZ15+FY16-GH15,IF(A16&lt;'Données projet'!$A$244,$FW$205^A16,IF(A16='Données projet'!$A$244,'Données projet'!$B$244,FZ15+FY16-GH15)))</f>
        <v>8.0151413595301424</v>
      </c>
      <c r="GA16" s="17">
        <f>FZ16*VLOOKUP('Données projet'!$B$17,Paramètres!$A$1:$I$89,3,0)*VLOOKUP('Données projet'!$B$17,Paramètres!$A$1:$I$89,5,0)</f>
        <v>7.6272085177288833</v>
      </c>
      <c r="GB16" s="13">
        <f t="shared" si="49"/>
        <v>2.7746635330002554</v>
      </c>
      <c r="GC16" s="20">
        <f t="shared" si="25"/>
        <v>18.116593821686582</v>
      </c>
      <c r="GD16" s="59">
        <f t="shared" si="26"/>
        <v>217.6575940733054</v>
      </c>
      <c r="GE16" s="59">
        <f ca="1">AVERAGE(OFFSET($GD$3,0,0,'Données projet'!$E$17+1,1))-AVERAGE(OFFSET($H$3,0,0,'Données projet'!$E$17+1,1))</f>
        <v>592.58528889137358</v>
      </c>
      <c r="GF16" s="59">
        <f t="shared" si="50"/>
        <v>311.31528020403709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>
        <f>EXP(-LN(2)/35)*GL15+(1-EXP(-LN(2)/35))/(LN(2)/35)*GH16*GI16*VLOOKUP('Données projet'!$B$17,Paramètres!$A$1:$I$89,3,0)*0.475*44/12</f>
        <v>0</v>
      </c>
      <c r="GM16" s="21">
        <f>EXP(-LN(2)/25)*GM15+(1-EXP(-LN(2)/25))/(LN(2)/25)*Calculateur!GH16*Calculateur!GJ16*VLOOKUP('Données projet'!$B$17,Paramètres!$A$1:$I$89,3,0)*0.475*44/12</f>
        <v>0</v>
      </c>
      <c r="GN16" s="21">
        <f>EXP(-LN(2)/2)*GN15+(1-EXP(-LN(2)/2))/(LN(2)/2)*GH16*GK16*VLOOKUP('Données projet'!$B$17,Paramètres!$A$1:$I$89,3,0)*0.475*44/12</f>
        <v>0</v>
      </c>
      <c r="GO16" s="21">
        <f t="shared" si="27"/>
        <v>0</v>
      </c>
      <c r="GP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2.6666666666666665</v>
      </c>
      <c r="GU16" s="12">
        <f>IF('Données projet'!$A$270&gt;35,GU15+GT16-HC15,IF(A16&lt;'Données projet'!$A$270,$GR$205^A16,IF(A16='Données projet'!$A$270,'Données projet'!$B$270,GU15+GT16-HC15)))</f>
        <v>24.459748796430759</v>
      </c>
      <c r="GV16" s="17">
        <f>GU16*VLOOKUP('Données projet'!$B$18,Paramètres!$A$1:$I$89,3,0)*VLOOKUP('Données projet'!$B$18,Paramètres!$A$1:$I$89,5,0)</f>
        <v>19.078604061215994</v>
      </c>
      <c r="GW16" s="13">
        <f t="shared" si="51"/>
        <v>6.2379664748280286</v>
      </c>
      <c r="GX16" s="20">
        <f t="shared" si="28"/>
        <v>44.093027016943331</v>
      </c>
      <c r="GY16" s="59">
        <f t="shared" si="29"/>
        <v>243.63402726856214</v>
      </c>
      <c r="GZ16" s="59">
        <f ca="1">AVERAGE(OFFSET($GY$3,0,0,'Données projet'!$E$18+1,1))-AVERAGE(OFFSET($H$3,0,0,'Données projet'!$E$18+1,1))</f>
        <v>308.85018589589453</v>
      </c>
      <c r="HA16" s="59">
        <f t="shared" si="52"/>
        <v>302.59481222418219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>
        <f>EXP(-LN(2)/35)*HG15+(1-EXP(-LN(2)/35))/(LN(2)/35)*HC16*HD16*VLOOKUP('Données projet'!$B$18,Paramètres!$A$1:$I$89,3,0)*0.475*44/12</f>
        <v>0</v>
      </c>
      <c r="HH16" s="21">
        <f>EXP(-LN(2)/25)*HH15+(1-EXP(-LN(2)/25))/(LN(2)/25)*Calculateur!HC16*Calculateur!HE16*VLOOKUP('Données projet'!$B$18,Paramètres!$A$1:$I$89,3,0)*0.475*44/12</f>
        <v>0</v>
      </c>
      <c r="HI16" s="21">
        <f>EXP(-LN(2)/2)*HI15+(1-EXP(-LN(2)/2))/(LN(2)/2)*HC16*HF16*VLOOKUP('Données projet'!$B$18,Paramètres!$A$1:$I$89,3,0)*0.475*44/12</f>
        <v>0</v>
      </c>
      <c r="HJ16" s="22">
        <f t="shared" si="30"/>
        <v>0</v>
      </c>
    </row>
    <row r="17" spans="1:218" x14ac:dyDescent="0.35">
      <c r="A17" s="10">
        <f t="shared" si="31"/>
        <v>14</v>
      </c>
      <c r="B17" s="72">
        <f>'Scénario référence'!$B$16*5+'Scénario référence'!$B$17*0+'Scénario référence'!$B$18*5</f>
        <v>5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66">
        <f t="shared" si="1"/>
        <v>183.33333333333334</v>
      </c>
      <c r="I17" s="6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4.0628205133333335</v>
      </c>
      <c r="N17" s="13">
        <f>IF('Données projet'!$A$36&gt;35,N16+M17-V16,IF(A17&lt;'Données projet'!$A$36,$K$205^A17,IF(A17='Données projet'!$A$36,'Données projet'!$B$36,N16+M17-V16)))</f>
        <v>9.4068196116692437</v>
      </c>
      <c r="O17" s="13">
        <f>N17*VLOOKUP('Données projet'!$B$9,Paramètres!$A$1:$I$89,3,0)*VLOOKUP('Données projet'!$B$9,Paramètres!$A$1:$I$89,5,0)</f>
        <v>8.5112903846383308</v>
      </c>
      <c r="P17" s="13">
        <f t="shared" si="33"/>
        <v>3.0570040017858653</v>
      </c>
      <c r="Q17" s="20">
        <f t="shared" si="2"/>
        <v>20.148112723022138</v>
      </c>
      <c r="R17" s="59">
        <f t="shared" si="0"/>
        <v>222.17797449529533</v>
      </c>
      <c r="S17" s="59">
        <f ca="1">AVERAGE(OFFSET($R$3,0,0,'Données projet'!$E$9+1,1))-AVERAGE(OFFSET($H$3,0,0,'Données projet'!$E$9+1,1))</f>
        <v>567.42635821507474</v>
      </c>
      <c r="T17" s="59">
        <f t="shared" si="34"/>
        <v>299.04735309930152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4.0628205133333335</v>
      </c>
      <c r="AI17" s="13">
        <f>IF('Données projet'!$A$62&gt;35,AI16+AH17-AQ16,IF(A17&lt;'Données projet'!$A$62,$AF$205^A17,IF(A17='Données projet'!$A$62,'Données projet'!$B$62,AI16+AH17-AQ16)))</f>
        <v>9.4068196116692437</v>
      </c>
      <c r="AJ17" s="13">
        <f>AI17*VLOOKUP('Données projet'!$B$10,Paramètres!$A$1:$I$89,3,0)*VLOOKUP('Données projet'!$B$10,Paramètres!$A$1:$I$89,5,0)</f>
        <v>9.5385150862326142</v>
      </c>
      <c r="AK17" s="13">
        <f t="shared" si="35"/>
        <v>3.3808139682966454</v>
      </c>
      <c r="AL17" s="20">
        <f t="shared" si="4"/>
        <v>22.501164769971794</v>
      </c>
      <c r="AM17" s="59">
        <f t="shared" si="5"/>
        <v>224.531026542245</v>
      </c>
      <c r="AN17" s="59">
        <f ca="1">AVERAGE(OFFSET($AM$3,0,0,'Données projet'!$E$10+1,1))-AVERAGE(OFFSET($H$3,0,0,'Données projet'!$E$10+1,1))</f>
        <v>626.09203985591455</v>
      </c>
      <c r="AO17" s="59">
        <f t="shared" si="36"/>
        <v>327.65191296575199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1.6</v>
      </c>
      <c r="BD17" s="12">
        <f>IF('Données projet'!$A$88&gt;35,BD16+BC17-BL16,IF(A17&lt;'Données projet'!$A$88,$BA$205^A17,IF(A17='Données projet'!$A$88,'Données projet'!$B$88,BD16+BC17-BL16)))</f>
        <v>11.313708498984752</v>
      </c>
      <c r="BE17" s="13">
        <f>BD17*VLOOKUP('Données projet'!$B$11,Paramètres!$A$1:$I$89,3,0)*VLOOKUP('Données projet'!$B$11,Paramètres!$A$1:$I$89,5,0)</f>
        <v>9.7071618921289176</v>
      </c>
      <c r="BF17" s="13">
        <f t="shared" si="37"/>
        <v>3.433577046269785</v>
      </c>
      <c r="BG17" s="20">
        <f t="shared" si="7"/>
        <v>22.886786984377736</v>
      </c>
      <c r="BH17" s="59">
        <f t="shared" si="8"/>
        <v>224.91664875665094</v>
      </c>
      <c r="BI17" s="59">
        <f ca="1">AVERAGE(OFFSET($BH$3,0,0,'Données projet'!$E$11+1,1))-AVERAGE(OFFSET($H$3,0,0,'Données projet'!$E$11+1,1))</f>
        <v>481.23392184981651</v>
      </c>
      <c r="BJ17" s="59">
        <f t="shared" si="38"/>
        <v>275.88160405468193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4.8773333333333335</v>
      </c>
      <c r="BY17" s="12">
        <f>IF('Données projet'!$A$114&gt;35,BY16+BX17-CG16,IF(A17&lt;'Données projet'!$A$114,$BV$205^A17,IF(A17='Données projet'!$A$114,'Données projet'!$B$114,BY16+BX17-CG16)))</f>
        <v>10.244129419087479</v>
      </c>
      <c r="BZ17" s="13">
        <f>BY17*VLOOKUP('Données projet'!$B$12,Paramètres!$A$1:$I$89,3,0)*VLOOKUP('Données projet'!$B$12,Paramètres!$A$1:$I$89,5,0)</f>
        <v>4.79425256813294</v>
      </c>
      <c r="CA17" s="13">
        <f t="shared" si="39"/>
        <v>1.8409290906052886</v>
      </c>
      <c r="CB17" s="20">
        <f t="shared" si="10"/>
        <v>11.556274722302414</v>
      </c>
      <c r="CC17" s="59">
        <f t="shared" si="11"/>
        <v>213.58613649457561</v>
      </c>
      <c r="CD17" s="59">
        <f ca="1">AVERAGE(OFFSET($CC$3,0,0,'Données projet'!$E$12+1,1))-AVERAGE(OFFSET($H$3,0,0,'Données projet'!$E$12+1,1))</f>
        <v>331.86732359395467</v>
      </c>
      <c r="CE17" s="59">
        <f t="shared" si="40"/>
        <v>208.64489375183106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10.8</v>
      </c>
      <c r="CT17" s="12">
        <f>IF('Données projet'!$A$140&gt;35,CT16+CS17-DB16,IF(A17&lt;'Données projet'!$A$140,$CQ$205^A17,IF(A17='Données projet'!$A$140,'Données projet'!$B$140,CT16+CS17-DB16)))</f>
        <v>54.2</v>
      </c>
      <c r="CU17" s="17">
        <f>CT17*VLOOKUP('Données projet'!$B$13,Paramètres!$A$1:$I$89,3,0)*VLOOKUP('Données projet'!$B$13,Paramètres!$A$1:$I$89,5,0)</f>
        <v>39.739440000000002</v>
      </c>
      <c r="CV17" s="13">
        <f t="shared" si="41"/>
        <v>11.929559204083212</v>
      </c>
      <c r="CW17" s="20">
        <f t="shared" si="13"/>
        <v>89.990173613778268</v>
      </c>
      <c r="CX17" s="59">
        <f t="shared" si="14"/>
        <v>292.02003538605146</v>
      </c>
      <c r="CY17" s="59">
        <f ca="1">AVERAGE(OFFSET($CX$3,0,0,'Données projet'!$E$13+1,1))-AVERAGE(OFFSET($H$3,0,0,'Données projet'!$E$13+1,1))</f>
        <v>352.45777291109863</v>
      </c>
      <c r="CZ17" s="59">
        <f t="shared" si="42"/>
        <v>340.92165104349181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4.0628205133333335</v>
      </c>
      <c r="DO17" s="12">
        <f>IF('Données projet'!$A$166&gt;35,DO16+DN17-DW16,IF(A17&lt;'Données projet'!$A$166,$DL$205^A17,IF(A17='Données projet'!$A$166,'Données projet'!$B$166,DO16+DN17-DW16)))</f>
        <v>9.4068196116692437</v>
      </c>
      <c r="DP17" s="17">
        <f>DO17*VLOOKUP('Données projet'!$B$14,Paramètres!$A$1:$I$89,3,0)*VLOOKUP('Données projet'!$B$14,Paramètres!$A$1:$I$89,5,0)</f>
        <v>6.3100945955077288</v>
      </c>
      <c r="DQ17" s="13">
        <f t="shared" si="43"/>
        <v>2.3467334269285325</v>
      </c>
      <c r="DR17" s="20">
        <f t="shared" si="16"/>
        <v>15.077308805743156</v>
      </c>
      <c r="DS17" s="59">
        <f t="shared" si="17"/>
        <v>217.10717057801634</v>
      </c>
      <c r="DT17" s="59">
        <f ca="1">AVERAGE(OFFSET($DS$3,0,0,'Données projet'!$E$14+1,1))-AVERAGE(OFFSET($H$3,0,0,'Données projet'!$E$14+1,1))</f>
        <v>441.20130048888439</v>
      </c>
      <c r="DU17" s="59">
        <f t="shared" si="44"/>
        <v>237.47732532183946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10.8</v>
      </c>
      <c r="EJ17" s="12">
        <f>IF('Données projet'!$A$192&gt;35,EJ16+EI17-ER16,IF(A17&lt;'Données projet'!$A$192,$EG$205^A17,IF(A17='Données projet'!$A$192,'Données projet'!$B$192,EJ16+EI17-ER16)))</f>
        <v>54.2</v>
      </c>
      <c r="EK17" s="17">
        <f>EJ17*VLOOKUP('Données projet'!$B$15,Paramètres!$A$1:$I$89,3,0)*VLOOKUP('Données projet'!$B$15,Paramètres!$A$1:$I$89,5,0)</f>
        <v>43.121520000000004</v>
      </c>
      <c r="EL17" s="13">
        <f t="shared" si="45"/>
        <v>12.822353245070515</v>
      </c>
      <c r="EM17" s="20">
        <f t="shared" si="19"/>
        <v>97.435579235164482</v>
      </c>
      <c r="EN17" s="59">
        <f t="shared" si="20"/>
        <v>299.46544100743768</v>
      </c>
      <c r="EO17" s="59">
        <f ca="1">AVERAGE(OFFSET($EN$3,0,0,'Données projet'!$E$15+1,1))-AVERAGE(OFFSET($H$3,0,0,'Données projet'!$E$15+1,1))</f>
        <v>377.27600411578322</v>
      </c>
      <c r="EP17" s="59">
        <f t="shared" si="46"/>
        <v>364.58250627635425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>
        <f>EXP(-LN(2)/35)*EV16+(1-EXP(-LN(2)/35))/(LN(2)/35)*ER17*ES17*VLOOKUP('Données projet'!$B$15,Paramètres!$A$1:$I$89,3,0)*0.475*44/12</f>
        <v>0</v>
      </c>
      <c r="EW17" s="21">
        <f>EXP(-LN(2)/25)*EW16+(1-EXP(-LN(2)/25))/(LN(2)/25)*Calculateur!ER17*Calculateur!ET17*VLOOKUP('Données projet'!$B$15,Paramètres!$A$1:$I$89,3,0)*0.475*44/12</f>
        <v>0</v>
      </c>
      <c r="EX17" s="21">
        <f>EXP(-LN(2)/2)*EX16+(1-EXP(-LN(2)/2))/(LN(2)/2)*ER17*EU17*VLOOKUP('Données projet'!$B$15,Paramètres!$A$1:$I$89,3,0)*0.475*44/12</f>
        <v>0</v>
      </c>
      <c r="EY17" s="22">
        <f t="shared" si="21"/>
        <v>0</v>
      </c>
      <c r="EZ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10.8</v>
      </c>
      <c r="FE17" s="12">
        <f>IF('Données projet'!$A$218&gt;35,FE16+FD17-FM16,IF(A17&lt;'Données projet'!$A$218,$FB$205^A17,IF(A17='Données projet'!$A$218,'Données projet'!$B$218,FE16+FD17-FM16)))</f>
        <v>54.2</v>
      </c>
      <c r="FF17" s="17">
        <f>FE17*VLOOKUP('Données projet'!$B$16,Paramètres!$A$1:$I$89,3,0)*VLOOKUP('Données projet'!$B$16,Paramètres!$A$1:$I$89,5,0)</f>
        <v>43.967040000000004</v>
      </c>
      <c r="FG17" s="13">
        <f t="shared" si="47"/>
        <v>13.04425511497986</v>
      </c>
      <c r="FH17" s="20">
        <f t="shared" si="22"/>
        <v>99.294672325256599</v>
      </c>
      <c r="FI17" s="59">
        <f t="shared" si="23"/>
        <v>301.32453409752981</v>
      </c>
      <c r="FJ17" s="59">
        <f ca="1">AVERAGE(OFFSET($FI$3,0,0,'Données projet'!$E$16+1,1))-AVERAGE(OFFSET($H$3,0,0,'Données projet'!$E$16+1,1))</f>
        <v>383.47399633251354</v>
      </c>
      <c r="FK17" s="59">
        <f t="shared" si="48"/>
        <v>370.49129421395628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>
        <f>EXP(-LN(2)/35)*FQ16+(1-EXP(-LN(2)/35))/(LN(2)/35)*FM17*FN17*VLOOKUP('Données projet'!$B$16,Paramètres!$A$1:$I$89,3,0)*0.475*44/12</f>
        <v>0</v>
      </c>
      <c r="FR17" s="21">
        <f>EXP(-LN(2)/25)*FR16+(1-EXP(-LN(2)/25))/(LN(2)/25)*Calculateur!FM17*Calculateur!FO17*VLOOKUP('Données projet'!$B$16,Paramètres!$A$1:$I$89,3,0)*0.475*44/12</f>
        <v>0</v>
      </c>
      <c r="FS17" s="21">
        <f>EXP(-LN(2)/2)*FS16+(1-EXP(-LN(2)/2))/(LN(2)/2)*FM17*FP17*VLOOKUP('Données projet'!$B$16,Paramètres!$A$1:$I$89,3,0)*0.475*44/12</f>
        <v>0</v>
      </c>
      <c r="FT17" s="22">
        <f t="shared" si="24"/>
        <v>0</v>
      </c>
      <c r="FU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4.0628205133333335</v>
      </c>
      <c r="FZ17" s="12">
        <f>IF('Données projet'!$A$244&gt;35,FZ16+FY17-GH16,IF(A17&lt;'Données projet'!$A$244,$FW$205^A17,IF(A17='Données projet'!$A$244,'Données projet'!$B$244,FZ16+FY17-GH16)))</f>
        <v>9.4068196116692437</v>
      </c>
      <c r="GA17" s="17">
        <f>FZ17*VLOOKUP('Données projet'!$B$17,Paramètres!$A$1:$I$89,3,0)*VLOOKUP('Données projet'!$B$17,Paramètres!$A$1:$I$89,5,0)</f>
        <v>8.9515295424644528</v>
      </c>
      <c r="GB17" s="13">
        <f t="shared" si="49"/>
        <v>3.1963069148706795</v>
      </c>
      <c r="GC17" s="20">
        <f t="shared" si="25"/>
        <v>21.157481829858686</v>
      </c>
      <c r="GD17" s="59">
        <f t="shared" si="26"/>
        <v>223.18734360213188</v>
      </c>
      <c r="GE17" s="59">
        <f ca="1">AVERAGE(OFFSET($GD$3,0,0,'Données projet'!$E$17+1,1))-AVERAGE(OFFSET($H$3,0,0,'Données projet'!$E$17+1,1))</f>
        <v>592.58528889137358</v>
      </c>
      <c r="GF17" s="59">
        <f t="shared" si="50"/>
        <v>311.31528020403709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>
        <f>EXP(-LN(2)/35)*GL16+(1-EXP(-LN(2)/35))/(LN(2)/35)*GH17*GI17*VLOOKUP('Données projet'!$B$17,Paramètres!$A$1:$I$89,3,0)*0.475*44/12</f>
        <v>0</v>
      </c>
      <c r="GM17" s="21">
        <f>EXP(-LN(2)/25)*GM16+(1-EXP(-LN(2)/25))/(LN(2)/25)*Calculateur!GH17*Calculateur!GJ17*VLOOKUP('Données projet'!$B$17,Paramètres!$A$1:$I$89,3,0)*0.475*44/12</f>
        <v>0</v>
      </c>
      <c r="GN17" s="21">
        <f>EXP(-LN(2)/2)*GN16+(1-EXP(-LN(2)/2))/(LN(2)/2)*GH17*GK17*VLOOKUP('Données projet'!$B$17,Paramètres!$A$1:$I$89,3,0)*0.475*44/12</f>
        <v>0</v>
      </c>
      <c r="GO17" s="21">
        <f t="shared" si="27"/>
        <v>0</v>
      </c>
      <c r="GP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2.6666666666666665</v>
      </c>
      <c r="GU17" s="12">
        <f>IF('Données projet'!$A$270&gt;35,GU16+GT17-HC16,IF(A17&lt;'Données projet'!$A$270,$GR$205^A17,IF(A17='Données projet'!$A$270,'Données projet'!$B$270,GU16+GT17-HC16)))</f>
        <v>31.279225563578599</v>
      </c>
      <c r="GV17" s="17">
        <f>GU17*VLOOKUP('Données projet'!$B$18,Paramètres!$A$1:$I$89,3,0)*VLOOKUP('Données projet'!$B$18,Paramètres!$A$1:$I$89,5,0)</f>
        <v>24.397795939591308</v>
      </c>
      <c r="GW17" s="13">
        <f t="shared" si="51"/>
        <v>7.75202295846145</v>
      </c>
      <c r="GX17" s="20">
        <f t="shared" si="28"/>
        <v>55.994267914108548</v>
      </c>
      <c r="GY17" s="59">
        <f t="shared" si="29"/>
        <v>258.02412968638174</v>
      </c>
      <c r="GZ17" s="59">
        <f ca="1">AVERAGE(OFFSET($GY$3,0,0,'Données projet'!$E$18+1,1))-AVERAGE(OFFSET($H$3,0,0,'Données projet'!$E$18+1,1))</f>
        <v>308.85018589589453</v>
      </c>
      <c r="HA17" s="59">
        <f t="shared" si="52"/>
        <v>302.59481222418219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>
        <f>EXP(-LN(2)/35)*HG16+(1-EXP(-LN(2)/35))/(LN(2)/35)*HC17*HD17*VLOOKUP('Données projet'!$B$18,Paramètres!$A$1:$I$89,3,0)*0.475*44/12</f>
        <v>0</v>
      </c>
      <c r="HH17" s="21">
        <f>EXP(-LN(2)/25)*HH16+(1-EXP(-LN(2)/25))/(LN(2)/25)*Calculateur!HC17*Calculateur!HE17*VLOOKUP('Données projet'!$B$18,Paramètres!$A$1:$I$89,3,0)*0.475*44/12</f>
        <v>0</v>
      </c>
      <c r="HI17" s="21">
        <f>EXP(-LN(2)/2)*HI16+(1-EXP(-LN(2)/2))/(LN(2)/2)*HC17*HF17*VLOOKUP('Données projet'!$B$18,Paramètres!$A$1:$I$89,3,0)*0.475*44/12</f>
        <v>0</v>
      </c>
      <c r="HJ17" s="22">
        <f t="shared" si="30"/>
        <v>0</v>
      </c>
    </row>
    <row r="18" spans="1:218" x14ac:dyDescent="0.35">
      <c r="A18" s="10">
        <f t="shared" si="31"/>
        <v>15</v>
      </c>
      <c r="B18" s="72">
        <f>'Scénario référence'!$B$16*5+'Scénario référence'!$B$17*0+'Scénario référence'!$B$18*5</f>
        <v>5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66">
        <f t="shared" si="1"/>
        <v>183.33333333333334</v>
      </c>
      <c r="I18" s="6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4.0628205133333335</v>
      </c>
      <c r="N18" s="13">
        <f>IF('Données projet'!$A$36&gt;35,N17+M18-V17,IF(A18&lt;'Données projet'!$A$36,$K$205^A18,IF(A18='Données projet'!$A$36,'Données projet'!$B$36,N17+M18-V17)))</f>
        <v>11.04013656618433</v>
      </c>
      <c r="O18" s="13">
        <f>N18*VLOOKUP('Données projet'!$B$9,Paramètres!$A$1:$I$89,3,0)*VLOOKUP('Données projet'!$B$9,Paramètres!$A$1:$I$89,5,0)</f>
        <v>9.9891155650835817</v>
      </c>
      <c r="P18" s="13">
        <f t="shared" si="33"/>
        <v>3.52155240211412</v>
      </c>
      <c r="Q18" s="20">
        <f t="shared" si="2"/>
        <v>23.531080042869331</v>
      </c>
      <c r="R18" s="59">
        <f t="shared" si="0"/>
        <v>228.02782997575036</v>
      </c>
      <c r="S18" s="59">
        <f ca="1">AVERAGE(OFFSET($R$3,0,0,'Données projet'!$E$9+1,1))-AVERAGE(OFFSET($H$3,0,0,'Données projet'!$E$9+1,1))</f>
        <v>567.42635821507474</v>
      </c>
      <c r="T18" s="59">
        <f t="shared" si="34"/>
        <v>299.04735309930152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4.0628205133333335</v>
      </c>
      <c r="AI18" s="13">
        <f>IF('Données projet'!$A$62&gt;35,AI17+AH18-AQ17,IF(A18&lt;'Données projet'!$A$62,$AF$205^A18,IF(A18='Données projet'!$A$62,'Données projet'!$B$62,AI17+AH18-AQ17)))</f>
        <v>11.04013656618433</v>
      </c>
      <c r="AJ18" s="13">
        <f>AI18*VLOOKUP('Données projet'!$B$10,Paramètres!$A$1:$I$89,3,0)*VLOOKUP('Données projet'!$B$10,Paramètres!$A$1:$I$89,5,0)</f>
        <v>11.194698478110912</v>
      </c>
      <c r="AK18" s="13">
        <f t="shared" si="35"/>
        <v>3.8945691743291286</v>
      </c>
      <c r="AL18" s="20">
        <f t="shared" si="4"/>
        <v>26.280474494666397</v>
      </c>
      <c r="AM18" s="59">
        <f t="shared" si="5"/>
        <v>230.77722442754745</v>
      </c>
      <c r="AN18" s="59">
        <f ca="1">AVERAGE(OFFSET($AM$3,0,0,'Données projet'!$E$10+1,1))-AVERAGE(OFFSET($H$3,0,0,'Données projet'!$E$10+1,1))</f>
        <v>626.09203985591455</v>
      </c>
      <c r="AO18" s="59">
        <f t="shared" si="36"/>
        <v>327.65191296575199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1.6</v>
      </c>
      <c r="BD18" s="12">
        <f>IF('Données projet'!$A$88&gt;35,BD17+BC18-BL17,IF(A18&lt;'Données projet'!$A$88,$BA$205^A18,IF(A18='Données projet'!$A$88,'Données projet'!$B$88,BD17+BC18-BL17)))</f>
        <v>13.454342644059421</v>
      </c>
      <c r="BE18" s="13">
        <f>BD18*VLOOKUP('Données projet'!$B$11,Paramètres!$A$1:$I$89,3,0)*VLOOKUP('Données projet'!$B$11,Paramètres!$A$1:$I$89,5,0)</f>
        <v>11.543825988602984</v>
      </c>
      <c r="BF18" s="13">
        <f t="shared" si="37"/>
        <v>4.0016981182064377</v>
      </c>
      <c r="BG18" s="20">
        <f t="shared" si="7"/>
        <v>27.075121152693075</v>
      </c>
      <c r="BH18" s="59">
        <f t="shared" si="8"/>
        <v>231.57187108557412</v>
      </c>
      <c r="BI18" s="59">
        <f ca="1">AVERAGE(OFFSET($BH$3,0,0,'Données projet'!$E$11+1,1))-AVERAGE(OFFSET($H$3,0,0,'Données projet'!$E$11+1,1))</f>
        <v>481.23392184981651</v>
      </c>
      <c r="BJ18" s="59">
        <f t="shared" si="38"/>
        <v>275.88160405468193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4.8773333333333335</v>
      </c>
      <c r="BY18" s="12">
        <f>IF('Données projet'!$A$114&gt;35,BY17+BX18-CG17,IF(A18&lt;'Données projet'!$A$114,$BV$205^A18,IF(A18='Données projet'!$A$114,'Données projet'!$B$114,BY17+BX18-CG17)))</f>
        <v>12.096280420029951</v>
      </c>
      <c r="BZ18" s="13">
        <f>BY18*VLOOKUP('Données projet'!$B$12,Paramètres!$A$1:$I$89,3,0)*VLOOKUP('Données projet'!$B$12,Paramètres!$A$1:$I$89,5,0)</f>
        <v>5.6610592365740171</v>
      </c>
      <c r="CA18" s="13">
        <f t="shared" si="39"/>
        <v>2.1321240648267561</v>
      </c>
      <c r="CB18" s="20">
        <f t="shared" si="10"/>
        <v>13.573127583273013</v>
      </c>
      <c r="CC18" s="59">
        <f t="shared" si="11"/>
        <v>218.06987751615407</v>
      </c>
      <c r="CD18" s="59">
        <f ca="1">AVERAGE(OFFSET($CC$3,0,0,'Données projet'!$E$12+1,1))-AVERAGE(OFFSET($H$3,0,0,'Données projet'!$E$12+1,1))</f>
        <v>331.86732359395467</v>
      </c>
      <c r="CE18" s="59">
        <f t="shared" si="40"/>
        <v>208.64489375183106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>
        <f>VLOOKUP(A18,'Données projet'!$A$139:$I$159,2,0)</f>
        <v>65</v>
      </c>
      <c r="CR18" s="12">
        <f>VLOOKUP(A18,'Données projet'!$A$139:$I$159,9,0)</f>
        <v>10.8</v>
      </c>
      <c r="CS18" s="12">
        <f t="array" ref="CS18">INDEX(CR:CR,MIN(IF(ISNUMBER(CR18:CR214),ROW(CR18:CR214),"")))</f>
        <v>10.8</v>
      </c>
      <c r="CT18" s="12">
        <f>IF('Données projet'!$A$140&gt;35,CT17+CS18-DB17,IF(A18&lt;'Données projet'!$A$140,$CQ$205^A18,IF(A18='Données projet'!$A$140,'Données projet'!$B$140,CT17+CS18-DB17)))</f>
        <v>65</v>
      </c>
      <c r="CU18" s="17">
        <f>CT18*VLOOKUP('Données projet'!$B$13,Paramètres!$A$1:$I$89,3,0)*VLOOKUP('Données projet'!$B$13,Paramètres!$A$1:$I$89,5,0)</f>
        <v>47.657999999999994</v>
      </c>
      <c r="CV18" s="13">
        <f t="shared" si="41"/>
        <v>14.007249652087213</v>
      </c>
      <c r="CW18" s="20">
        <f t="shared" si="13"/>
        <v>107.40030981071855</v>
      </c>
      <c r="CX18" s="59">
        <f t="shared" si="14"/>
        <v>311.89705974359958</v>
      </c>
      <c r="CY18" s="59">
        <f ca="1">AVERAGE(OFFSET($CX$3,0,0,'Données projet'!$E$13+1,1))-AVERAGE(OFFSET($H$3,0,0,'Données projet'!$E$13+1,1))</f>
        <v>352.45777291109863</v>
      </c>
      <c r="CZ18" s="59">
        <f t="shared" si="42"/>
        <v>340.92165104349181</v>
      </c>
      <c r="DA18" s="15">
        <f>IF(ISNA(VLOOKUP(A18,'Données projet'!$A$139:$I$159,3,0)),0,VLOOKUP(A18,'Données projet'!$A$139:$I$159,3,0))</f>
        <v>1</v>
      </c>
      <c r="DB18" s="15">
        <f>IF(ISNA(VLOOKUP(A18,'Données projet'!$A$139:$I$159,4,0)),0,VLOOKUP(A18,'Données projet'!$A$139:$I$159,4,0))</f>
        <v>32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4.0628205133333335</v>
      </c>
      <c r="DO18" s="12">
        <f>IF('Données projet'!$A$166&gt;35,DO17+DN18-DW17,IF(A18&lt;'Données projet'!$A$166,$DL$205^A18,IF(A18='Données projet'!$A$166,'Données projet'!$B$166,DO17+DN18-DW17)))</f>
        <v>11.04013656618433</v>
      </c>
      <c r="DP18" s="17">
        <f>DO18*VLOOKUP('Données projet'!$B$14,Paramètres!$A$1:$I$89,3,0)*VLOOKUP('Données projet'!$B$14,Paramètres!$A$1:$I$89,5,0)</f>
        <v>7.4057236085964488</v>
      </c>
      <c r="DQ18" s="13">
        <f t="shared" si="43"/>
        <v>2.7033476998701533</v>
      </c>
      <c r="DR18" s="20">
        <f t="shared" si="16"/>
        <v>17.606632528912666</v>
      </c>
      <c r="DS18" s="59">
        <f t="shared" si="17"/>
        <v>222.1033824617937</v>
      </c>
      <c r="DT18" s="59">
        <f ca="1">AVERAGE(OFFSET($DS$3,0,0,'Données projet'!$E$14+1,1))-AVERAGE(OFFSET($H$3,0,0,'Données projet'!$E$14+1,1))</f>
        <v>441.20130048888439</v>
      </c>
      <c r="DU18" s="59">
        <f t="shared" si="44"/>
        <v>237.47732532183946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>
        <f>VLOOKUP(A18,'Données projet'!$A$191:$I$211,2,0)</f>
        <v>65</v>
      </c>
      <c r="EH18" s="12">
        <f>VLOOKUP(A18,'Données projet'!$A$191:$I$211,9,0)</f>
        <v>10.8</v>
      </c>
      <c r="EI18" s="12">
        <f t="array" ref="EI18">INDEX(EH:EH,MIN(IF(ISNUMBER(EH18:EH214),ROW(EH18:EH214),"")))</f>
        <v>10.8</v>
      </c>
      <c r="EJ18" s="12">
        <f>IF('Données projet'!$A$192&gt;35,EJ17+EI18-ER17,IF(A18&lt;'Données projet'!$A$192,$EG$205^A18,IF(A18='Données projet'!$A$192,'Données projet'!$B$192,EJ17+EI18-ER17)))</f>
        <v>65</v>
      </c>
      <c r="EK18" s="17">
        <f>EJ18*VLOOKUP('Données projet'!$B$15,Paramètres!$A$1:$I$89,3,0)*VLOOKUP('Données projet'!$B$15,Paramètres!$A$1:$I$89,5,0)</f>
        <v>51.713999999999999</v>
      </c>
      <c r="EL18" s="13">
        <f t="shared" si="45"/>
        <v>15.055535578337075</v>
      </c>
      <c r="EM18" s="20">
        <f t="shared" si="19"/>
        <v>116.29027446560372</v>
      </c>
      <c r="EN18" s="59">
        <f t="shared" si="20"/>
        <v>320.78702439848473</v>
      </c>
      <c r="EO18" s="59">
        <f ca="1">AVERAGE(OFFSET($EN$3,0,0,'Données projet'!$E$15+1,1))-AVERAGE(OFFSET($H$3,0,0,'Données projet'!$E$15+1,1))</f>
        <v>377.27600411578322</v>
      </c>
      <c r="EP18" s="59">
        <f t="shared" si="46"/>
        <v>364.58250627635425</v>
      </c>
      <c r="EQ18" s="15">
        <f>IF(ISNA(VLOOKUP(A18,'Données projet'!$A$191:$I$211,3,0)),0,VLOOKUP(A18,'Données projet'!$A$191:$I$211,3,0))</f>
        <v>1</v>
      </c>
      <c r="ER18" s="15">
        <f>IF(ISNA(VLOOKUP(A18,'Données projet'!$A$191:$I$211,4,0)),0,VLOOKUP(A18,'Données projet'!$A$191:$I$211,4,0))</f>
        <v>32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>
        <f>EXP(-LN(2)/35)*EV17+(1-EXP(-LN(2)/35))/(LN(2)/35)*ER18*ES18*VLOOKUP('Données projet'!$B$15,Paramètres!$A$1:$I$89,3,0)*0.475*44/12</f>
        <v>0</v>
      </c>
      <c r="EW18" s="21">
        <f>EXP(-LN(2)/25)*EW17+(1-EXP(-LN(2)/25))/(LN(2)/25)*Calculateur!ER18*Calculateur!ET18*VLOOKUP('Données projet'!$B$15,Paramètres!$A$1:$I$89,3,0)*0.475*44/12</f>
        <v>0</v>
      </c>
      <c r="EX18" s="21">
        <f>EXP(-LN(2)/2)*EX17+(1-EXP(-LN(2)/2))/(LN(2)/2)*ER18*EU18*VLOOKUP('Données projet'!$B$15,Paramètres!$A$1:$I$89,3,0)*0.475*44/12</f>
        <v>0</v>
      </c>
      <c r="EY18" s="22">
        <f t="shared" si="21"/>
        <v>0</v>
      </c>
      <c r="EZ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>
        <f>VLOOKUP(A18,'Données projet'!$A$217:$I$237,2,0)</f>
        <v>65</v>
      </c>
      <c r="FC18" s="12">
        <f>VLOOKUP(A18,'Données projet'!$A$217:$I$237,9,0)</f>
        <v>10.8</v>
      </c>
      <c r="FD18" s="12">
        <f t="array" ref="FD18">INDEX(FC:FC,MIN(IF(ISNUMBER(FC18:FC214),ROW(FC18:FC214),"")))</f>
        <v>10.8</v>
      </c>
      <c r="FE18" s="12">
        <f>IF('Données projet'!$A$218&gt;35,FE17+FD18-FM17,IF(A18&lt;'Données projet'!$A$218,$FB$205^A18,IF(A18='Données projet'!$A$218,'Données projet'!$B$218,FE17+FD18-FM17)))</f>
        <v>65</v>
      </c>
      <c r="FF18" s="17">
        <f>FE18*VLOOKUP('Données projet'!$B$16,Paramètres!$A$1:$I$89,3,0)*VLOOKUP('Données projet'!$B$16,Paramètres!$A$1:$I$89,5,0)</f>
        <v>52.728000000000009</v>
      </c>
      <c r="FG18" s="13">
        <f t="shared" si="47"/>
        <v>15.316084592505286</v>
      </c>
      <c r="FH18" s="20">
        <f t="shared" si="22"/>
        <v>118.51011399861339</v>
      </c>
      <c r="FI18" s="59">
        <f t="shared" si="23"/>
        <v>323.00686393149442</v>
      </c>
      <c r="FJ18" s="59">
        <f ca="1">AVERAGE(OFFSET($FI$3,0,0,'Données projet'!$E$16+1,1))-AVERAGE(OFFSET($H$3,0,0,'Données projet'!$E$16+1,1))</f>
        <v>383.47399633251354</v>
      </c>
      <c r="FK18" s="59">
        <f t="shared" si="48"/>
        <v>370.49129421395628</v>
      </c>
      <c r="FL18" s="15">
        <f>IF(ISNA(VLOOKUP(A18,'Données projet'!$A$217:$I$237,3,0)),0,VLOOKUP(A18,'Données projet'!$A$217:$I$237,3,0))</f>
        <v>1</v>
      </c>
      <c r="FM18" s="15">
        <f>IF(ISNA(VLOOKUP(A18,'Données projet'!$A$217:$I$237,4,0)),0,VLOOKUP(A18,'Données projet'!$A$217:$I$237,4,0))</f>
        <v>32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>
        <f>EXP(-LN(2)/35)*FQ17+(1-EXP(-LN(2)/35))/(LN(2)/35)*FM18*FN18*VLOOKUP('Données projet'!$B$16,Paramètres!$A$1:$I$89,3,0)*0.475*44/12</f>
        <v>0</v>
      </c>
      <c r="FR18" s="21">
        <f>EXP(-LN(2)/25)*FR17+(1-EXP(-LN(2)/25))/(LN(2)/25)*Calculateur!FM18*Calculateur!FO18*VLOOKUP('Données projet'!$B$16,Paramètres!$A$1:$I$89,3,0)*0.475*44/12</f>
        <v>0</v>
      </c>
      <c r="FS18" s="21">
        <f>EXP(-LN(2)/2)*FS17+(1-EXP(-LN(2)/2))/(LN(2)/2)*FM18*FP18*VLOOKUP('Données projet'!$B$16,Paramètres!$A$1:$I$89,3,0)*0.475*44/12</f>
        <v>0</v>
      </c>
      <c r="FT18" s="22">
        <f t="shared" si="24"/>
        <v>0</v>
      </c>
      <c r="FU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4.0628205133333335</v>
      </c>
      <c r="FZ18" s="12">
        <f>IF('Données projet'!$A$244&gt;35,FZ17+FY18-GH17,IF(A18&lt;'Données projet'!$A$244,$FW$205^A18,IF(A18='Données projet'!$A$244,'Données projet'!$B$244,FZ17+FY18-GH17)))</f>
        <v>11.04013656618433</v>
      </c>
      <c r="GA18" s="17">
        <f>FZ18*VLOOKUP('Données projet'!$B$17,Paramètres!$A$1:$I$89,3,0)*VLOOKUP('Données projet'!$B$17,Paramètres!$A$1:$I$89,5,0)</f>
        <v>10.505793956381009</v>
      </c>
      <c r="GB18" s="13">
        <f t="shared" si="49"/>
        <v>3.6820240625727703</v>
      </c>
      <c r="GC18" s="20">
        <f t="shared" si="25"/>
        <v>24.710449716344499</v>
      </c>
      <c r="GD18" s="59">
        <f t="shared" si="26"/>
        <v>229.20719964922554</v>
      </c>
      <c r="GE18" s="59">
        <f ca="1">AVERAGE(OFFSET($GD$3,0,0,'Données projet'!$E$17+1,1))-AVERAGE(OFFSET($H$3,0,0,'Données projet'!$E$17+1,1))</f>
        <v>592.58528889137358</v>
      </c>
      <c r="GF18" s="59">
        <f t="shared" si="50"/>
        <v>311.31528020403709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>
        <f>EXP(-LN(2)/35)*GL17+(1-EXP(-LN(2)/35))/(LN(2)/35)*GH18*GI18*VLOOKUP('Données projet'!$B$17,Paramètres!$A$1:$I$89,3,0)*0.475*44/12</f>
        <v>0</v>
      </c>
      <c r="GM18" s="21">
        <f>EXP(-LN(2)/25)*GM17+(1-EXP(-LN(2)/25))/(LN(2)/25)*Calculateur!GH18*Calculateur!GJ18*VLOOKUP('Données projet'!$B$17,Paramètres!$A$1:$I$89,3,0)*0.475*44/12</f>
        <v>0</v>
      </c>
      <c r="GN18" s="21">
        <f>EXP(-LN(2)/2)*GN17+(1-EXP(-LN(2)/2))/(LN(2)/2)*GH18*GK18*VLOOKUP('Données projet'!$B$17,Paramètres!$A$1:$I$89,3,0)*0.475*44/12</f>
        <v>0</v>
      </c>
      <c r="GO18" s="21">
        <f t="shared" si="27"/>
        <v>0</v>
      </c>
      <c r="GP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>
        <f>VLOOKUP(A18,'Données projet'!$A$269:$I$289,2,0)</f>
        <v>40</v>
      </c>
      <c r="GS18" s="12">
        <f>VLOOKUP(A18,'Données projet'!$A$269:$I$289,9,0)</f>
        <v>2.6666666666666665</v>
      </c>
      <c r="GT18" s="12">
        <f t="array" ref="GT18">INDEX(GS:GS,MIN(IF(ISNUMBER(GS18:GS214),ROW(GS18:GS214),"")))</f>
        <v>2.6666666666666665</v>
      </c>
      <c r="GU18" s="12">
        <f>IF('Données projet'!$A$270&gt;35,GU17+GT18-HC17,IF(A18&lt;'Données projet'!$A$270,$GR$205^A18,IF(A18='Données projet'!$A$270,'Données projet'!$B$270,GU17+GT18-HC17)))</f>
        <v>40</v>
      </c>
      <c r="GV18" s="17">
        <f>GU18*VLOOKUP('Données projet'!$B$18,Paramètres!$A$1:$I$89,3,0)*VLOOKUP('Données projet'!$B$18,Paramètres!$A$1:$I$89,5,0)</f>
        <v>31.200000000000003</v>
      </c>
      <c r="GW18" s="13">
        <f t="shared" si="51"/>
        <v>9.6335657126419925</v>
      </c>
      <c r="GX18" s="20">
        <f t="shared" si="28"/>
        <v>71.118460282851473</v>
      </c>
      <c r="GY18" s="59">
        <f t="shared" si="29"/>
        <v>275.61521021573253</v>
      </c>
      <c r="GZ18" s="59">
        <f ca="1">AVERAGE(OFFSET($GY$3,0,0,'Données projet'!$E$18+1,1))-AVERAGE(OFFSET($H$3,0,0,'Données projet'!$E$18+1,1))</f>
        <v>308.85018589589453</v>
      </c>
      <c r="HA18" s="59">
        <f t="shared" si="52"/>
        <v>302.59481222418219</v>
      </c>
      <c r="HB18" s="15">
        <f>IF(ISNA(VLOOKUP(A18,'Données projet'!$A$269:$I$289,3,0)),0,VLOOKUP(A18,'Données projet'!$A$269:$I$289,3,0))</f>
        <v>1</v>
      </c>
      <c r="HC18" s="15">
        <f>IF(ISNA(VLOOKUP(A18,'Données projet'!$A$269:$I$289,4,0)),0,VLOOKUP(A18,'Données projet'!$A$269:$I$289,4,0))</f>
        <v>3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>
        <f>EXP(-LN(2)/35)*HG17+(1-EXP(-LN(2)/35))/(LN(2)/35)*HC18*HD18*VLOOKUP('Données projet'!$B$18,Paramètres!$A$1:$I$89,3,0)*0.475*44/12</f>
        <v>0</v>
      </c>
      <c r="HH18" s="21">
        <f>EXP(-LN(2)/25)*HH17+(1-EXP(-LN(2)/25))/(LN(2)/25)*Calculateur!HC18*Calculateur!HE18*VLOOKUP('Données projet'!$B$18,Paramètres!$A$1:$I$89,3,0)*0.475*44/12</f>
        <v>0</v>
      </c>
      <c r="HI18" s="21">
        <f>EXP(-LN(2)/2)*HI17+(1-EXP(-LN(2)/2))/(LN(2)/2)*HC18*HF18*VLOOKUP('Données projet'!$B$18,Paramètres!$A$1:$I$89,3,0)*0.475*44/12</f>
        <v>0</v>
      </c>
      <c r="HJ18" s="22">
        <f t="shared" si="30"/>
        <v>0</v>
      </c>
    </row>
    <row r="19" spans="1:218" x14ac:dyDescent="0.35">
      <c r="A19" s="10">
        <f t="shared" si="31"/>
        <v>16</v>
      </c>
      <c r="B19" s="72">
        <f>'Scénario référence'!$B$16*5+'Scénario référence'!$B$17*0+'Scénario référence'!$B$18*5</f>
        <v>5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66">
        <f t="shared" si="1"/>
        <v>183.33333333333334</v>
      </c>
      <c r="I19" s="6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4.0628205133333335</v>
      </c>
      <c r="N19" s="13">
        <f>IF('Données projet'!$A$36&gt;35,N18+M19-V18,IF(A19&lt;'Données projet'!$A$36,$K$205^A19,IF(A19='Données projet'!$A$36,'Données projet'!$B$36,N18+M19-V18)))</f>
        <v>12.957048230073568</v>
      </c>
      <c r="O19" s="13">
        <f>N19*VLOOKUP('Données projet'!$B$9,Paramètres!$A$1:$I$89,3,0)*VLOOKUP('Données projet'!$B$9,Paramètres!$A$1:$I$89,5,0)</f>
        <v>11.723537238570565</v>
      </c>
      <c r="P19" s="13">
        <f t="shared" si="33"/>
        <v>4.0566945001023926</v>
      </c>
      <c r="Q19" s="20">
        <f t="shared" si="2"/>
        <v>27.483903611522063</v>
      </c>
      <c r="R19" s="59">
        <f t="shared" si="0"/>
        <v>234.42594953363613</v>
      </c>
      <c r="S19" s="59">
        <f ca="1">AVERAGE(OFFSET($R$3,0,0,'Données projet'!$E$9+1,1))-AVERAGE(OFFSET($H$3,0,0,'Données projet'!$E$9+1,1))</f>
        <v>567.42635821507474</v>
      </c>
      <c r="T19" s="59">
        <f t="shared" si="34"/>
        <v>299.04735309930152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4.0628205133333335</v>
      </c>
      <c r="AI19" s="13">
        <f>IF('Données projet'!$A$62&gt;35,AI18+AH19-AQ18,IF(A19&lt;'Données projet'!$A$62,$AF$205^A19,IF(A19='Données projet'!$A$62,'Données projet'!$B$62,AI18+AH19-AQ18)))</f>
        <v>12.957048230073568</v>
      </c>
      <c r="AJ19" s="13">
        <f>AI19*VLOOKUP('Données projet'!$B$10,Paramètres!$A$1:$I$89,3,0)*VLOOKUP('Données projet'!$B$10,Paramètres!$A$1:$I$89,5,0)</f>
        <v>13.138446905294597</v>
      </c>
      <c r="AK19" s="13">
        <f t="shared" si="35"/>
        <v>4.4863956419573663</v>
      </c>
      <c r="AL19" s="20">
        <f t="shared" si="4"/>
        <v>30.696600769797168</v>
      </c>
      <c r="AM19" s="59">
        <f t="shared" si="5"/>
        <v>237.63864669191122</v>
      </c>
      <c r="AN19" s="59">
        <f ca="1">AVERAGE(OFFSET($AM$3,0,0,'Données projet'!$E$10+1,1))-AVERAGE(OFFSET($H$3,0,0,'Données projet'!$E$10+1,1))</f>
        <v>626.09203985591455</v>
      </c>
      <c r="AO19" s="59">
        <f t="shared" si="36"/>
        <v>327.65191296575199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1.6</v>
      </c>
      <c r="BD19" s="12">
        <f>IF('Données projet'!$A$88&gt;35,BD18+BC19-BL18,IF(A19&lt;'Données projet'!$A$88,$BA$205^A19,IF(A19='Données projet'!$A$88,'Données projet'!$B$88,BD18+BC19-BL18)))</f>
        <v>15.999999999999986</v>
      </c>
      <c r="BE19" s="13">
        <f>BD19*VLOOKUP('Données projet'!$B$11,Paramètres!$A$1:$I$89,3,0)*VLOOKUP('Données projet'!$B$11,Paramètres!$A$1:$I$89,5,0)</f>
        <v>13.727999999999991</v>
      </c>
      <c r="BF19" s="13">
        <f t="shared" si="37"/>
        <v>4.6638207366437268</v>
      </c>
      <c r="BG19" s="20">
        <f t="shared" si="7"/>
        <v>32.032421116321139</v>
      </c>
      <c r="BH19" s="59">
        <f t="shared" si="8"/>
        <v>238.97446703843519</v>
      </c>
      <c r="BI19" s="59">
        <f ca="1">AVERAGE(OFFSET($BH$3,0,0,'Données projet'!$E$11+1,1))-AVERAGE(OFFSET($H$3,0,0,'Données projet'!$E$11+1,1))</f>
        <v>481.23392184981651</v>
      </c>
      <c r="BJ19" s="59">
        <f t="shared" si="38"/>
        <v>275.88160405468193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4.8773333333333335</v>
      </c>
      <c r="BY19" s="12">
        <f>IF('Données projet'!$A$114&gt;35,BY18+BX19-CG18,IF(A19&lt;'Données projet'!$A$114,$BV$205^A19,IF(A19='Données projet'!$A$114,'Données projet'!$B$114,BY18+BX19-CG18)))</f>
        <v>14.283302564234273</v>
      </c>
      <c r="BZ19" s="13">
        <f>BY19*VLOOKUP('Données projet'!$B$12,Paramètres!$A$1:$I$89,3,0)*VLOOKUP('Données projet'!$B$12,Paramètres!$A$1:$I$89,5,0)</f>
        <v>6.6845856000616397</v>
      </c>
      <c r="CA19" s="13">
        <f t="shared" si="39"/>
        <v>2.4693797555878043</v>
      </c>
      <c r="CB19" s="20">
        <f t="shared" si="10"/>
        <v>15.943156327756114</v>
      </c>
      <c r="CC19" s="59">
        <f t="shared" si="11"/>
        <v>222.88520224987019</v>
      </c>
      <c r="CD19" s="59">
        <f ca="1">AVERAGE(OFFSET($CC$3,0,0,'Données projet'!$E$12+1,1))-AVERAGE(OFFSET($H$3,0,0,'Données projet'!$E$12+1,1))</f>
        <v>331.86732359395467</v>
      </c>
      <c r="CE19" s="59">
        <f t="shared" si="40"/>
        <v>208.64489375183106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13.8</v>
      </c>
      <c r="CT19" s="12">
        <f>IF('Données projet'!$A$140&gt;35,CT18+CS19-DB18,IF(A19&lt;'Données projet'!$A$140,$CQ$205^A19,IF(A19='Données projet'!$A$140,'Données projet'!$B$140,CT18+CS19-DB18)))</f>
        <v>46.8</v>
      </c>
      <c r="CU19" s="17">
        <f>CT19*VLOOKUP('Données projet'!$B$13,Paramètres!$A$1:$I$89,3,0)*VLOOKUP('Données projet'!$B$13,Paramètres!$A$1:$I$89,5,0)</f>
        <v>34.313760000000002</v>
      </c>
      <c r="CV19" s="13">
        <f t="shared" si="41"/>
        <v>10.478324962562111</v>
      </c>
      <c r="CW19" s="20">
        <f t="shared" si="13"/>
        <v>78.012881309795674</v>
      </c>
      <c r="CX19" s="59">
        <f t="shared" si="14"/>
        <v>284.95492723190972</v>
      </c>
      <c r="CY19" s="59">
        <f ca="1">AVERAGE(OFFSET($CX$3,0,0,'Données projet'!$E$13+1,1))-AVERAGE(OFFSET($H$3,0,0,'Données projet'!$E$13+1,1))</f>
        <v>352.45777291109863</v>
      </c>
      <c r="CZ19" s="59">
        <f t="shared" si="42"/>
        <v>340.92165104349181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4.0628205133333335</v>
      </c>
      <c r="DO19" s="12">
        <f>IF('Données projet'!$A$166&gt;35,DO18+DN19-DW18,IF(A19&lt;'Données projet'!$A$166,$DL$205^A19,IF(A19='Données projet'!$A$166,'Données projet'!$B$166,DO18+DN19-DW18)))</f>
        <v>12.957048230073568</v>
      </c>
      <c r="DP19" s="17">
        <f>DO19*VLOOKUP('Données projet'!$B$14,Paramètres!$A$1:$I$89,3,0)*VLOOKUP('Données projet'!$B$14,Paramètres!$A$1:$I$89,5,0)</f>
        <v>8.6915879527333502</v>
      </c>
      <c r="DQ19" s="13">
        <f t="shared" si="43"/>
        <v>3.1141537860813906</v>
      </c>
      <c r="DR19" s="20">
        <f t="shared" si="16"/>
        <v>20.561666861769005</v>
      </c>
      <c r="DS19" s="59">
        <f t="shared" si="17"/>
        <v>227.50371278388306</v>
      </c>
      <c r="DT19" s="59">
        <f ca="1">AVERAGE(OFFSET($DS$3,0,0,'Données projet'!$E$14+1,1))-AVERAGE(OFFSET($H$3,0,0,'Données projet'!$E$14+1,1))</f>
        <v>441.20130048888439</v>
      </c>
      <c r="DU19" s="59">
        <f t="shared" si="44"/>
        <v>237.47732532183946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13.8</v>
      </c>
      <c r="EJ19" s="12">
        <f>IF('Données projet'!$A$192&gt;35,EJ18+EI19-ER18,IF(A19&lt;'Données projet'!$A$192,$EG$205^A19,IF(A19='Données projet'!$A$192,'Données projet'!$B$192,EJ18+EI19-ER18)))</f>
        <v>46.8</v>
      </c>
      <c r="EK19" s="17">
        <f>EJ19*VLOOKUP('Données projet'!$B$15,Paramètres!$A$1:$I$89,3,0)*VLOOKUP('Données projet'!$B$15,Paramètres!$A$1:$I$89,5,0)</f>
        <v>37.234079999999999</v>
      </c>
      <c r="EL19" s="13">
        <f t="shared" si="45"/>
        <v>11.262510356679771</v>
      </c>
      <c r="EM19" s="20">
        <f t="shared" si="19"/>
        <v>84.464894871217254</v>
      </c>
      <c r="EN19" s="59">
        <f t="shared" si="20"/>
        <v>291.40694079333133</v>
      </c>
      <c r="EO19" s="59">
        <f ca="1">AVERAGE(OFFSET($EN$3,0,0,'Données projet'!$E$15+1,1))-AVERAGE(OFFSET($H$3,0,0,'Données projet'!$E$15+1,1))</f>
        <v>377.27600411578322</v>
      </c>
      <c r="EP19" s="59">
        <f t="shared" si="46"/>
        <v>364.58250627635425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>
        <f>EXP(-LN(2)/35)*EV18+(1-EXP(-LN(2)/35))/(LN(2)/35)*ER19*ES19*VLOOKUP('Données projet'!$B$15,Paramètres!$A$1:$I$89,3,0)*0.475*44/12</f>
        <v>0</v>
      </c>
      <c r="EW19" s="21">
        <f>EXP(-LN(2)/25)*EW18+(1-EXP(-LN(2)/25))/(LN(2)/25)*Calculateur!ER19*Calculateur!ET19*VLOOKUP('Données projet'!$B$15,Paramètres!$A$1:$I$89,3,0)*0.475*44/12</f>
        <v>0</v>
      </c>
      <c r="EX19" s="21">
        <f>EXP(-LN(2)/2)*EX18+(1-EXP(-LN(2)/2))/(LN(2)/2)*ER19*EU19*VLOOKUP('Données projet'!$B$15,Paramètres!$A$1:$I$89,3,0)*0.475*44/12</f>
        <v>0</v>
      </c>
      <c r="EY19" s="22">
        <f t="shared" si="21"/>
        <v>0</v>
      </c>
      <c r="EZ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13.8</v>
      </c>
      <c r="FE19" s="12">
        <f>IF('Données projet'!$A$218&gt;35,FE18+FD19-FM18,IF(A19&lt;'Données projet'!$A$218,$FB$205^A19,IF(A19='Données projet'!$A$218,'Données projet'!$B$218,FE18+FD19-FM18)))</f>
        <v>46.8</v>
      </c>
      <c r="FF19" s="17">
        <f>FE19*VLOOKUP('Données projet'!$B$16,Paramètres!$A$1:$I$89,3,0)*VLOOKUP('Données projet'!$B$16,Paramètres!$A$1:$I$89,5,0)</f>
        <v>37.96416</v>
      </c>
      <c r="FG19" s="13">
        <f t="shared" si="47"/>
        <v>11.457417801534429</v>
      </c>
      <c r="FH19" s="20">
        <f t="shared" si="22"/>
        <v>86.075914671005776</v>
      </c>
      <c r="FI19" s="59">
        <f t="shared" si="23"/>
        <v>293.01796059311982</v>
      </c>
      <c r="FJ19" s="59">
        <f ca="1">AVERAGE(OFFSET($FI$3,0,0,'Données projet'!$E$16+1,1))-AVERAGE(OFFSET($H$3,0,0,'Données projet'!$E$16+1,1))</f>
        <v>383.47399633251354</v>
      </c>
      <c r="FK19" s="59">
        <f t="shared" si="48"/>
        <v>370.49129421395628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>
        <f>EXP(-LN(2)/35)*FQ18+(1-EXP(-LN(2)/35))/(LN(2)/35)*FM19*FN19*VLOOKUP('Données projet'!$B$16,Paramètres!$A$1:$I$89,3,0)*0.475*44/12</f>
        <v>0</v>
      </c>
      <c r="FR19" s="21">
        <f>EXP(-LN(2)/25)*FR18+(1-EXP(-LN(2)/25))/(LN(2)/25)*Calculateur!FM19*Calculateur!FO19*VLOOKUP('Données projet'!$B$16,Paramètres!$A$1:$I$89,3,0)*0.475*44/12</f>
        <v>0</v>
      </c>
      <c r="FS19" s="21">
        <f>EXP(-LN(2)/2)*FS18+(1-EXP(-LN(2)/2))/(LN(2)/2)*FM19*FP19*VLOOKUP('Données projet'!$B$16,Paramètres!$A$1:$I$89,3,0)*0.475*44/12</f>
        <v>0</v>
      </c>
      <c r="FT19" s="22">
        <f t="shared" si="24"/>
        <v>0</v>
      </c>
      <c r="FU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4.0628205133333335</v>
      </c>
      <c r="FZ19" s="12">
        <f>IF('Données projet'!$A$244&gt;35,FZ18+FY19-GH18,IF(A19&lt;'Données projet'!$A$244,$FW$205^A19,IF(A19='Données projet'!$A$244,'Données projet'!$B$244,FZ18+FY19-GH18)))</f>
        <v>12.957048230073568</v>
      </c>
      <c r="GA19" s="17">
        <f>FZ19*VLOOKUP('Données projet'!$B$17,Paramètres!$A$1:$I$89,3,0)*VLOOKUP('Données projet'!$B$17,Paramètres!$A$1:$I$89,5,0)</f>
        <v>12.329927095738007</v>
      </c>
      <c r="GB19" s="13">
        <f t="shared" si="49"/>
        <v>4.2415517528339128</v>
      </c>
      <c r="GC19" s="20">
        <f t="shared" si="25"/>
        <v>28.861992327929428</v>
      </c>
      <c r="GD19" s="59">
        <f t="shared" si="26"/>
        <v>235.8040382500435</v>
      </c>
      <c r="GE19" s="59">
        <f ca="1">AVERAGE(OFFSET($GD$3,0,0,'Données projet'!$E$17+1,1))-AVERAGE(OFFSET($H$3,0,0,'Données projet'!$E$17+1,1))</f>
        <v>592.58528889137358</v>
      </c>
      <c r="GF19" s="59">
        <f t="shared" si="50"/>
        <v>311.31528020403709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>
        <f>EXP(-LN(2)/35)*GL18+(1-EXP(-LN(2)/35))/(LN(2)/35)*GH19*GI19*VLOOKUP('Données projet'!$B$17,Paramètres!$A$1:$I$89,3,0)*0.475*44/12</f>
        <v>0</v>
      </c>
      <c r="GM19" s="21">
        <f>EXP(-LN(2)/25)*GM18+(1-EXP(-LN(2)/25))/(LN(2)/25)*Calculateur!GH19*Calculateur!GJ19*VLOOKUP('Données projet'!$B$17,Paramètres!$A$1:$I$89,3,0)*0.475*44/12</f>
        <v>0</v>
      </c>
      <c r="GN19" s="21">
        <f>EXP(-LN(2)/2)*GN18+(1-EXP(-LN(2)/2))/(LN(2)/2)*GH19*GK19*VLOOKUP('Données projet'!$B$17,Paramètres!$A$1:$I$89,3,0)*0.475*44/12</f>
        <v>0</v>
      </c>
      <c r="GO19" s="21">
        <f t="shared" si="27"/>
        <v>0</v>
      </c>
      <c r="GP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9.6</v>
      </c>
      <c r="GU19" s="12">
        <f>IF('Données projet'!$A$270&gt;35,GU18+GT19-HC18,IF(A19&lt;'Données projet'!$A$270,$GR$205^A19,IF(A19='Données projet'!$A$270,'Données projet'!$B$270,GU18+GT19-HC18)))</f>
        <v>46.6</v>
      </c>
      <c r="GV19" s="17">
        <f>GU19*VLOOKUP('Données projet'!$B$18,Paramètres!$A$1:$I$89,3,0)*VLOOKUP('Données projet'!$B$18,Paramètres!$A$1:$I$89,5,0)</f>
        <v>36.347999999999999</v>
      </c>
      <c r="GW19" s="13">
        <f t="shared" si="51"/>
        <v>11.025356771848859</v>
      </c>
      <c r="GX19" s="20">
        <f t="shared" si="28"/>
        <v>82.508596377636763</v>
      </c>
      <c r="GY19" s="59">
        <f t="shared" si="29"/>
        <v>289.45064229975083</v>
      </c>
      <c r="GZ19" s="59">
        <f ca="1">AVERAGE(OFFSET($GY$3,0,0,'Données projet'!$E$18+1,1))-AVERAGE(OFFSET($H$3,0,0,'Données projet'!$E$18+1,1))</f>
        <v>308.85018589589453</v>
      </c>
      <c r="HA19" s="59">
        <f t="shared" si="52"/>
        <v>302.59481222418219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>
        <f>EXP(-LN(2)/35)*HG18+(1-EXP(-LN(2)/35))/(LN(2)/35)*HC19*HD19*VLOOKUP('Données projet'!$B$18,Paramètres!$A$1:$I$89,3,0)*0.475*44/12</f>
        <v>0</v>
      </c>
      <c r="HH19" s="21">
        <f>EXP(-LN(2)/25)*HH18+(1-EXP(-LN(2)/25))/(LN(2)/25)*Calculateur!HC19*Calculateur!HE19*VLOOKUP('Données projet'!$B$18,Paramètres!$A$1:$I$89,3,0)*0.475*44/12</f>
        <v>0</v>
      </c>
      <c r="HI19" s="21">
        <f>EXP(-LN(2)/2)*HI18+(1-EXP(-LN(2)/2))/(LN(2)/2)*HC19*HF19*VLOOKUP('Données projet'!$B$18,Paramètres!$A$1:$I$89,3,0)*0.475*44/12</f>
        <v>0</v>
      </c>
      <c r="HJ19" s="22">
        <f t="shared" si="30"/>
        <v>0</v>
      </c>
    </row>
    <row r="20" spans="1:218" x14ac:dyDescent="0.35">
      <c r="A20" s="10">
        <f t="shared" si="31"/>
        <v>17</v>
      </c>
      <c r="B20" s="72">
        <f>'Scénario référence'!$B$16*5+'Scénario référence'!$B$17*0+'Scénario référence'!$B$18*5</f>
        <v>5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66">
        <f t="shared" si="1"/>
        <v>183.33333333333334</v>
      </c>
      <c r="I20" s="6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4.0628205133333335</v>
      </c>
      <c r="N20" s="13">
        <f>IF('Données projet'!$A$36&gt;35,N19+M20-V19,IF(A20&lt;'Données projet'!$A$36,$K$205^A20,IF(A20='Données projet'!$A$36,'Données projet'!$B$36,N19+M20-V19)))</f>
        <v>15.206795480291483</v>
      </c>
      <c r="O20" s="13">
        <f>N20*VLOOKUP('Données projet'!$B$9,Paramètres!$A$1:$I$89,3,0)*VLOOKUP('Données projet'!$B$9,Paramètres!$A$1:$I$89,5,0)</f>
        <v>13.759108550567733</v>
      </c>
      <c r="P20" s="13">
        <f t="shared" si="33"/>
        <v>4.6731578542694354</v>
      </c>
      <c r="Q20" s="20">
        <f t="shared" si="2"/>
        <v>32.10286398842473</v>
      </c>
      <c r="R20" s="59">
        <f t="shared" si="0"/>
        <v>241.46898830429745</v>
      </c>
      <c r="S20" s="59">
        <f ca="1">AVERAGE(OFFSET($R$3,0,0,'Données projet'!$E$9+1,1))-AVERAGE(OFFSET($H$3,0,0,'Données projet'!$E$9+1,1))</f>
        <v>567.42635821507474</v>
      </c>
      <c r="T20" s="59">
        <f t="shared" si="34"/>
        <v>299.04735309930152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4.0628205133333335</v>
      </c>
      <c r="AI20" s="13">
        <f>IF('Données projet'!$A$62&gt;35,AI19+AH20-AQ19,IF(A20&lt;'Données projet'!$A$62,$AF$205^A20,IF(A20='Données projet'!$A$62,'Données projet'!$B$62,AI19+AH20-AQ19)))</f>
        <v>15.206795480291483</v>
      </c>
      <c r="AJ20" s="13">
        <f>AI20*VLOOKUP('Données projet'!$B$10,Paramètres!$A$1:$I$89,3,0)*VLOOKUP('Données projet'!$B$10,Paramètres!$A$1:$I$89,5,0)</f>
        <v>15.419690617015563</v>
      </c>
      <c r="AK20" s="13">
        <f t="shared" si="35"/>
        <v>5.1681572351686986</v>
      </c>
      <c r="AL20" s="20">
        <f t="shared" si="4"/>
        <v>35.857168342554253</v>
      </c>
      <c r="AM20" s="59">
        <f t="shared" si="5"/>
        <v>245.22329265842697</v>
      </c>
      <c r="AN20" s="59">
        <f ca="1">AVERAGE(OFFSET($AM$3,0,0,'Données projet'!$E$10+1,1))-AVERAGE(OFFSET($H$3,0,0,'Données projet'!$E$10+1,1))</f>
        <v>626.09203985591455</v>
      </c>
      <c r="AO20" s="59">
        <f t="shared" si="36"/>
        <v>327.65191296575199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1.6</v>
      </c>
      <c r="BD20" s="12">
        <f>IF('Données projet'!$A$88&gt;35,BD19+BC20-BL19,IF(A20&lt;'Données projet'!$A$88,$BA$205^A20,IF(A20='Données projet'!$A$88,'Données projet'!$B$88,BD19+BC20-BL19)))</f>
        <v>19.027313840043519</v>
      </c>
      <c r="BE20" s="13">
        <f>BD20*VLOOKUP('Données projet'!$B$11,Paramètres!$A$1:$I$89,3,0)*VLOOKUP('Données projet'!$B$11,Paramètres!$A$1:$I$89,5,0)</f>
        <v>16.325435274757343</v>
      </c>
      <c r="BF20" s="13">
        <f t="shared" si="37"/>
        <v>5.4354984361731269</v>
      </c>
      <c r="BG20" s="20">
        <f t="shared" si="7"/>
        <v>37.90029287987057</v>
      </c>
      <c r="BH20" s="59">
        <f t="shared" si="8"/>
        <v>247.26641719574329</v>
      </c>
      <c r="BI20" s="59">
        <f ca="1">AVERAGE(OFFSET($BH$3,0,0,'Données projet'!$E$11+1,1))-AVERAGE(OFFSET($H$3,0,0,'Données projet'!$E$11+1,1))</f>
        <v>481.23392184981651</v>
      </c>
      <c r="BJ20" s="59">
        <f t="shared" si="38"/>
        <v>275.88160405468193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4.8773333333333335</v>
      </c>
      <c r="BY20" s="12">
        <f>IF('Données projet'!$A$114&gt;35,BY19+BX20-CG19,IF(A20&lt;'Données projet'!$A$114,$BV$205^A20,IF(A20='Données projet'!$A$114,'Données projet'!$B$114,BY19+BX20-CG19)))</f>
        <v>16.865740959811198</v>
      </c>
      <c r="BZ20" s="13">
        <f>BY20*VLOOKUP('Données projet'!$B$12,Paramètres!$A$1:$I$89,3,0)*VLOOKUP('Données projet'!$B$12,Paramètres!$A$1:$I$89,5,0)</f>
        <v>7.893166769191641</v>
      </c>
      <c r="CA20" s="13">
        <f t="shared" si="39"/>
        <v>2.8599819672324562</v>
      </c>
      <c r="CB20" s="20">
        <f t="shared" si="10"/>
        <v>18.728400715938637</v>
      </c>
      <c r="CC20" s="59">
        <f t="shared" si="11"/>
        <v>228.09452503181137</v>
      </c>
      <c r="CD20" s="59">
        <f ca="1">AVERAGE(OFFSET($CC$3,0,0,'Données projet'!$E$12+1,1))-AVERAGE(OFFSET($H$3,0,0,'Données projet'!$E$12+1,1))</f>
        <v>331.86732359395467</v>
      </c>
      <c r="CE20" s="59">
        <f t="shared" si="40"/>
        <v>208.64489375183106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13.8</v>
      </c>
      <c r="CT20" s="12">
        <f>IF('Données projet'!$A$140&gt;35,CT19+CS20-DB19,IF(A20&lt;'Données projet'!$A$140,$CQ$205^A20,IF(A20='Données projet'!$A$140,'Données projet'!$B$140,CT19+CS20-DB19)))</f>
        <v>60.599999999999994</v>
      </c>
      <c r="CU20" s="17">
        <f>CT20*VLOOKUP('Données projet'!$B$13,Paramètres!$A$1:$I$89,3,0)*VLOOKUP('Données projet'!$B$13,Paramètres!$A$1:$I$89,5,0)</f>
        <v>44.431919999999998</v>
      </c>
      <c r="CV20" s="13">
        <f t="shared" si="41"/>
        <v>13.166048117528</v>
      </c>
      <c r="CW20" s="20">
        <f t="shared" si="13"/>
        <v>100.31646113802792</v>
      </c>
      <c r="CX20" s="59">
        <f t="shared" si="14"/>
        <v>309.68258545390063</v>
      </c>
      <c r="CY20" s="59">
        <f ca="1">AVERAGE(OFFSET($CX$3,0,0,'Données projet'!$E$13+1,1))-AVERAGE(OFFSET($H$3,0,0,'Données projet'!$E$13+1,1))</f>
        <v>352.45777291109863</v>
      </c>
      <c r="CZ20" s="59">
        <f t="shared" si="42"/>
        <v>340.92165104349181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4.0628205133333335</v>
      </c>
      <c r="DO20" s="12">
        <f>IF('Données projet'!$A$166&gt;35,DO19+DN20-DW19,IF(A20&lt;'Données projet'!$A$166,$DL$205^A20,IF(A20='Données projet'!$A$166,'Données projet'!$B$166,DO19+DN20-DW19)))</f>
        <v>15.206795480291483</v>
      </c>
      <c r="DP20" s="17">
        <f>DO20*VLOOKUP('Données projet'!$B$14,Paramètres!$A$1:$I$89,3,0)*VLOOKUP('Données projet'!$B$14,Paramètres!$A$1:$I$89,5,0)</f>
        <v>10.200718408179528</v>
      </c>
      <c r="DQ20" s="13">
        <f t="shared" si="43"/>
        <v>3.5873867811494882</v>
      </c>
      <c r="DR20" s="20">
        <f t="shared" si="16"/>
        <v>24.014283204748036</v>
      </c>
      <c r="DS20" s="59">
        <f t="shared" si="17"/>
        <v>233.38040752062076</v>
      </c>
      <c r="DT20" s="59">
        <f ca="1">AVERAGE(OFFSET($DS$3,0,0,'Données projet'!$E$14+1,1))-AVERAGE(OFFSET($H$3,0,0,'Données projet'!$E$14+1,1))</f>
        <v>441.20130048888439</v>
      </c>
      <c r="DU20" s="59">
        <f t="shared" si="44"/>
        <v>237.47732532183946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13.8</v>
      </c>
      <c r="EJ20" s="12">
        <f>IF('Données projet'!$A$192&gt;35,EJ19+EI20-ER19,IF(A20&lt;'Données projet'!$A$192,$EG$205^A20,IF(A20='Données projet'!$A$192,'Données projet'!$B$192,EJ19+EI20-ER19)))</f>
        <v>60.599999999999994</v>
      </c>
      <c r="EK20" s="17">
        <f>EJ20*VLOOKUP('Données projet'!$B$15,Paramètres!$A$1:$I$89,3,0)*VLOOKUP('Données projet'!$B$15,Paramètres!$A$1:$I$89,5,0)</f>
        <v>48.213360000000002</v>
      </c>
      <c r="EL20" s="13">
        <f t="shared" si="45"/>
        <v>14.151379520104694</v>
      </c>
      <c r="EM20" s="20">
        <f t="shared" si="19"/>
        <v>108.61858799751566</v>
      </c>
      <c r="EN20" s="59">
        <f t="shared" si="20"/>
        <v>317.9847123133884</v>
      </c>
      <c r="EO20" s="59">
        <f ca="1">AVERAGE(OFFSET($EN$3,0,0,'Données projet'!$E$15+1,1))-AVERAGE(OFFSET($H$3,0,0,'Données projet'!$E$15+1,1))</f>
        <v>377.27600411578322</v>
      </c>
      <c r="EP20" s="59">
        <f t="shared" si="46"/>
        <v>364.58250627635425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>
        <f>EXP(-LN(2)/35)*EV19+(1-EXP(-LN(2)/35))/(LN(2)/35)*ER20*ES20*VLOOKUP('Données projet'!$B$15,Paramètres!$A$1:$I$89,3,0)*0.475*44/12</f>
        <v>0</v>
      </c>
      <c r="EW20" s="21">
        <f>EXP(-LN(2)/25)*EW19+(1-EXP(-LN(2)/25))/(LN(2)/25)*Calculateur!ER20*Calculateur!ET20*VLOOKUP('Données projet'!$B$15,Paramètres!$A$1:$I$89,3,0)*0.475*44/12</f>
        <v>0</v>
      </c>
      <c r="EX20" s="21">
        <f>EXP(-LN(2)/2)*EX19+(1-EXP(-LN(2)/2))/(LN(2)/2)*ER20*EU20*VLOOKUP('Données projet'!$B$15,Paramètres!$A$1:$I$89,3,0)*0.475*44/12</f>
        <v>0</v>
      </c>
      <c r="EY20" s="22">
        <f t="shared" si="21"/>
        <v>0</v>
      </c>
      <c r="EZ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13.8</v>
      </c>
      <c r="FE20" s="12">
        <f>IF('Données projet'!$A$218&gt;35,FE19+FD20-FM19,IF(A20&lt;'Données projet'!$A$218,$FB$205^A20,IF(A20='Données projet'!$A$218,'Données projet'!$B$218,FE19+FD20-FM19)))</f>
        <v>60.599999999999994</v>
      </c>
      <c r="FF20" s="17">
        <f>FE20*VLOOKUP('Données projet'!$B$16,Paramètres!$A$1:$I$89,3,0)*VLOOKUP('Données projet'!$B$16,Paramètres!$A$1:$I$89,5,0)</f>
        <v>49.158719999999995</v>
      </c>
      <c r="FG20" s="13">
        <f t="shared" si="47"/>
        <v>14.396281334716242</v>
      </c>
      <c r="FH20" s="20">
        <f t="shared" si="22"/>
        <v>110.69162732463077</v>
      </c>
      <c r="FI20" s="59">
        <f t="shared" si="23"/>
        <v>320.05775164050351</v>
      </c>
      <c r="FJ20" s="59">
        <f ca="1">AVERAGE(OFFSET($FI$3,0,0,'Données projet'!$E$16+1,1))-AVERAGE(OFFSET($H$3,0,0,'Données projet'!$E$16+1,1))</f>
        <v>383.47399633251354</v>
      </c>
      <c r="FK20" s="59">
        <f t="shared" si="48"/>
        <v>370.49129421395628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>
        <f>EXP(-LN(2)/35)*FQ19+(1-EXP(-LN(2)/35))/(LN(2)/35)*FM20*FN20*VLOOKUP('Données projet'!$B$16,Paramètres!$A$1:$I$89,3,0)*0.475*44/12</f>
        <v>0</v>
      </c>
      <c r="FR20" s="21">
        <f>EXP(-LN(2)/25)*FR19+(1-EXP(-LN(2)/25))/(LN(2)/25)*Calculateur!FM20*Calculateur!FO20*VLOOKUP('Données projet'!$B$16,Paramètres!$A$1:$I$89,3,0)*0.475*44/12</f>
        <v>0</v>
      </c>
      <c r="FS20" s="21">
        <f>EXP(-LN(2)/2)*FS19+(1-EXP(-LN(2)/2))/(LN(2)/2)*FM20*FP20*VLOOKUP('Données projet'!$B$16,Paramètres!$A$1:$I$89,3,0)*0.475*44/12</f>
        <v>0</v>
      </c>
      <c r="FT20" s="22">
        <f t="shared" si="24"/>
        <v>0</v>
      </c>
      <c r="FU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4.0628205133333335</v>
      </c>
      <c r="FZ20" s="12">
        <f>IF('Données projet'!$A$244&gt;35,FZ19+FY20-GH19,IF(A20&lt;'Données projet'!$A$244,$FW$205^A20,IF(A20='Données projet'!$A$244,'Données projet'!$B$244,FZ19+FY20-GH19)))</f>
        <v>15.206795480291483</v>
      </c>
      <c r="GA20" s="17">
        <f>FZ20*VLOOKUP('Données projet'!$B$17,Paramètres!$A$1:$I$89,3,0)*VLOOKUP('Données projet'!$B$17,Paramètres!$A$1:$I$89,5,0)</f>
        <v>14.470786579045376</v>
      </c>
      <c r="GB20" s="13">
        <f t="shared" si="49"/>
        <v>4.8861063823134332</v>
      </c>
      <c r="GC20" s="20">
        <f t="shared" si="25"/>
        <v>33.713255241033259</v>
      </c>
      <c r="GD20" s="59">
        <f t="shared" si="26"/>
        <v>243.07937955690599</v>
      </c>
      <c r="GE20" s="59">
        <f ca="1">AVERAGE(OFFSET($GD$3,0,0,'Données projet'!$E$17+1,1))-AVERAGE(OFFSET($H$3,0,0,'Données projet'!$E$17+1,1))</f>
        <v>592.58528889137358</v>
      </c>
      <c r="GF20" s="59">
        <f t="shared" si="50"/>
        <v>311.31528020403709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>
        <f>EXP(-LN(2)/35)*GL19+(1-EXP(-LN(2)/35))/(LN(2)/35)*GH20*GI20*VLOOKUP('Données projet'!$B$17,Paramètres!$A$1:$I$89,3,0)*0.475*44/12</f>
        <v>0</v>
      </c>
      <c r="GM20" s="21">
        <f>EXP(-LN(2)/25)*GM19+(1-EXP(-LN(2)/25))/(LN(2)/25)*Calculateur!GH20*Calculateur!GJ20*VLOOKUP('Données projet'!$B$17,Paramètres!$A$1:$I$89,3,0)*0.475*44/12</f>
        <v>0</v>
      </c>
      <c r="GN20" s="21">
        <f>EXP(-LN(2)/2)*GN19+(1-EXP(-LN(2)/2))/(LN(2)/2)*GH20*GK20*VLOOKUP('Données projet'!$B$17,Paramètres!$A$1:$I$89,3,0)*0.475*44/12</f>
        <v>0</v>
      </c>
      <c r="GO20" s="21">
        <f t="shared" si="27"/>
        <v>0</v>
      </c>
      <c r="GP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9.6</v>
      </c>
      <c r="GU20" s="12">
        <f>IF('Données projet'!$A$270&gt;35,GU19+GT20-HC19,IF(A20&lt;'Données projet'!$A$270,$GR$205^A20,IF(A20='Données projet'!$A$270,'Données projet'!$B$270,GU19+GT20-HC19)))</f>
        <v>56.2</v>
      </c>
      <c r="GV20" s="17">
        <f>GU20*VLOOKUP('Données projet'!$B$18,Paramètres!$A$1:$I$89,3,0)*VLOOKUP('Données projet'!$B$18,Paramètres!$A$1:$I$89,5,0)</f>
        <v>43.836000000000006</v>
      </c>
      <c r="GW20" s="13">
        <f t="shared" si="51"/>
        <v>13.009897179721728</v>
      </c>
      <c r="GX20" s="20">
        <f t="shared" si="28"/>
        <v>99.006604254682017</v>
      </c>
      <c r="GY20" s="59">
        <f t="shared" si="29"/>
        <v>308.37272857055473</v>
      </c>
      <c r="GZ20" s="59">
        <f ca="1">AVERAGE(OFFSET($GY$3,0,0,'Données projet'!$E$18+1,1))-AVERAGE(OFFSET($H$3,0,0,'Données projet'!$E$18+1,1))</f>
        <v>308.85018589589453</v>
      </c>
      <c r="HA20" s="59">
        <f t="shared" si="52"/>
        <v>302.59481222418219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>
        <f>EXP(-LN(2)/35)*HG19+(1-EXP(-LN(2)/35))/(LN(2)/35)*HC20*HD20*VLOOKUP('Données projet'!$B$18,Paramètres!$A$1:$I$89,3,0)*0.475*44/12</f>
        <v>0</v>
      </c>
      <c r="HH20" s="21">
        <f>EXP(-LN(2)/25)*HH19+(1-EXP(-LN(2)/25))/(LN(2)/25)*Calculateur!HC20*Calculateur!HE20*VLOOKUP('Données projet'!$B$18,Paramètres!$A$1:$I$89,3,0)*0.475*44/12</f>
        <v>0</v>
      </c>
      <c r="HI20" s="21">
        <f>EXP(-LN(2)/2)*HI19+(1-EXP(-LN(2)/2))/(LN(2)/2)*HC20*HF20*VLOOKUP('Données projet'!$B$18,Paramètres!$A$1:$I$89,3,0)*0.475*44/12</f>
        <v>0</v>
      </c>
      <c r="HJ20" s="22">
        <f t="shared" si="30"/>
        <v>0</v>
      </c>
    </row>
    <row r="21" spans="1:218" x14ac:dyDescent="0.35">
      <c r="A21" s="10">
        <f t="shared" si="31"/>
        <v>18</v>
      </c>
      <c r="B21" s="72">
        <f>'Scénario référence'!$B$16*5+'Scénario référence'!$B$17*0+'Scénario référence'!$B$18*5</f>
        <v>5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66">
        <f t="shared" si="1"/>
        <v>183.33333333333334</v>
      </c>
      <c r="I21" s="6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4.0628205133333335</v>
      </c>
      <c r="N21" s="13">
        <f>IF('Données projet'!$A$36&gt;35,N20+M21-V20,IF(A21&lt;'Données projet'!$A$36,$K$205^A21,IF(A21='Données projet'!$A$36,'Données projet'!$B$36,N20+M21-V20)))</f>
        <v>17.847168944133852</v>
      </c>
      <c r="O21" s="13">
        <f>N21*VLOOKUP('Données projet'!$B$9,Paramètres!$A$1:$I$89,3,0)*VLOOKUP('Données projet'!$B$9,Paramètres!$A$1:$I$89,5,0)</f>
        <v>16.148118460652309</v>
      </c>
      <c r="P21" s="13">
        <f t="shared" si="33"/>
        <v>5.3833002042349793</v>
      </c>
      <c r="Q21" s="20">
        <f t="shared" si="2"/>
        <v>37.500554174678697</v>
      </c>
      <c r="R21" s="59">
        <f t="shared" si="0"/>
        <v>249.26990736668182</v>
      </c>
      <c r="S21" s="59">
        <f ca="1">AVERAGE(OFFSET($R$3,0,0,'Données projet'!$E$9+1,1))-AVERAGE(OFFSET($H$3,0,0,'Données projet'!$E$9+1,1))</f>
        <v>567.42635821507474</v>
      </c>
      <c r="T21" s="59">
        <f t="shared" si="34"/>
        <v>299.04735309930152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4.0628205133333335</v>
      </c>
      <c r="AI21" s="13">
        <f>IF('Données projet'!$A$62&gt;35,AI20+AH21-AQ20,IF(A21&lt;'Données projet'!$A$62,$AF$205^A21,IF(A21='Données projet'!$A$62,'Données projet'!$B$62,AI20+AH21-AQ20)))</f>
        <v>17.847168944133852</v>
      </c>
      <c r="AJ21" s="13">
        <f>AI21*VLOOKUP('Données projet'!$B$10,Paramètres!$A$1:$I$89,3,0)*VLOOKUP('Données projet'!$B$10,Paramètres!$A$1:$I$89,5,0)</f>
        <v>18.097029309351726</v>
      </c>
      <c r="AK21" s="13">
        <f t="shared" si="35"/>
        <v>5.953520674287506</v>
      </c>
      <c r="AL21" s="20">
        <f t="shared" si="4"/>
        <v>41.888041221504999</v>
      </c>
      <c r="AM21" s="59">
        <f t="shared" si="5"/>
        <v>253.65739441350811</v>
      </c>
      <c r="AN21" s="59">
        <f ca="1">AVERAGE(OFFSET($AM$3,0,0,'Données projet'!$E$10+1,1))-AVERAGE(OFFSET($H$3,0,0,'Données projet'!$E$10+1,1))</f>
        <v>626.09203985591455</v>
      </c>
      <c r="AO21" s="59">
        <f t="shared" si="36"/>
        <v>327.65191296575199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1.6</v>
      </c>
      <c r="BD21" s="12">
        <f>IF('Données projet'!$A$88&gt;35,BD20+BC21-BL20,IF(A21&lt;'Données projet'!$A$88,$BA$205^A21,IF(A21='Données projet'!$A$88,'Données projet'!$B$88,BD20+BC21-BL20)))</f>
        <v>22.627416997969497</v>
      </c>
      <c r="BE21" s="13">
        <f>BD21*VLOOKUP('Données projet'!$B$11,Paramètres!$A$1:$I$89,3,0)*VLOOKUP('Données projet'!$B$11,Paramètres!$A$1:$I$89,5,0)</f>
        <v>19.414323784257832</v>
      </c>
      <c r="BF21" s="13">
        <f t="shared" si="37"/>
        <v>6.3348582456241713</v>
      </c>
      <c r="BG21" s="20">
        <f t="shared" si="7"/>
        <v>44.846492035377821</v>
      </c>
      <c r="BH21" s="59">
        <f t="shared" si="8"/>
        <v>256.61584522738093</v>
      </c>
      <c r="BI21" s="59">
        <f ca="1">AVERAGE(OFFSET($BH$3,0,0,'Données projet'!$E$11+1,1))-AVERAGE(OFFSET($H$3,0,0,'Données projet'!$E$11+1,1))</f>
        <v>481.23392184981651</v>
      </c>
      <c r="BJ21" s="59">
        <f t="shared" si="38"/>
        <v>275.88160405468193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4.8773333333333335</v>
      </c>
      <c r="BY21" s="12">
        <f>IF('Données projet'!$A$114&gt;35,BY20+BX21-CG20,IF(A21&lt;'Données projet'!$A$114,$BV$205^A21,IF(A21='Données projet'!$A$114,'Données projet'!$B$114,BY20+BX21-CG20)))</f>
        <v>19.915087343716348</v>
      </c>
      <c r="BZ21" s="13">
        <f>BY21*VLOOKUP('Données projet'!$B$12,Paramètres!$A$1:$I$89,3,0)*VLOOKUP('Données projet'!$B$12,Paramètres!$A$1:$I$89,5,0)</f>
        <v>9.3202608768592512</v>
      </c>
      <c r="CA21" s="13">
        <f t="shared" si="39"/>
        <v>3.3123689600135244</v>
      </c>
      <c r="CB21" s="20">
        <f t="shared" si="10"/>
        <v>22.001830299220078</v>
      </c>
      <c r="CC21" s="59">
        <f t="shared" si="11"/>
        <v>233.77118349122318</v>
      </c>
      <c r="CD21" s="59">
        <f ca="1">AVERAGE(OFFSET($CC$3,0,0,'Données projet'!$E$12+1,1))-AVERAGE(OFFSET($H$3,0,0,'Données projet'!$E$12+1,1))</f>
        <v>331.86732359395467</v>
      </c>
      <c r="CE21" s="59">
        <f t="shared" si="40"/>
        <v>208.64489375183106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13.8</v>
      </c>
      <c r="CT21" s="12">
        <f>IF('Données projet'!$A$140&gt;35,CT20+CS21-DB20,IF(A21&lt;'Données projet'!$A$140,$CQ$205^A21,IF(A21='Données projet'!$A$140,'Données projet'!$B$140,CT20+CS21-DB20)))</f>
        <v>74.399999999999991</v>
      </c>
      <c r="CU21" s="17">
        <f>CT21*VLOOKUP('Données projet'!$B$13,Paramètres!$A$1:$I$89,3,0)*VLOOKUP('Données projet'!$B$13,Paramètres!$A$1:$I$89,5,0)</f>
        <v>54.550079999999994</v>
      </c>
      <c r="CV21" s="13">
        <f t="shared" si="41"/>
        <v>15.782815260920117</v>
      </c>
      <c r="CW21" s="20">
        <f t="shared" si="13"/>
        <v>122.49645924610253</v>
      </c>
      <c r="CX21" s="59">
        <f t="shared" si="14"/>
        <v>334.26581243810563</v>
      </c>
      <c r="CY21" s="59">
        <f ca="1">AVERAGE(OFFSET($CX$3,0,0,'Données projet'!$E$13+1,1))-AVERAGE(OFFSET($H$3,0,0,'Données projet'!$E$13+1,1))</f>
        <v>352.45777291109863</v>
      </c>
      <c r="CZ21" s="59">
        <f t="shared" si="42"/>
        <v>340.92165104349181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4.0628205133333335</v>
      </c>
      <c r="DO21" s="12">
        <f>IF('Données projet'!$A$166&gt;35,DO20+DN21-DW20,IF(A21&lt;'Données projet'!$A$166,$DL$205^A21,IF(A21='Données projet'!$A$166,'Données projet'!$B$166,DO20+DN21-DW20)))</f>
        <v>17.847168944133852</v>
      </c>
      <c r="DP21" s="17">
        <f>DO21*VLOOKUP('Données projet'!$B$14,Paramètres!$A$1:$I$89,3,0)*VLOOKUP('Données projet'!$B$14,Paramètres!$A$1:$I$89,5,0)</f>
        <v>11.971880927724989</v>
      </c>
      <c r="DQ21" s="13">
        <f t="shared" si="43"/>
        <v>4.132533202144737</v>
      </c>
      <c r="DR21" s="20">
        <f t="shared" si="16"/>
        <v>28.048521276189771</v>
      </c>
      <c r="DS21" s="59">
        <f t="shared" si="17"/>
        <v>239.81787446819288</v>
      </c>
      <c r="DT21" s="59">
        <f ca="1">AVERAGE(OFFSET($DS$3,0,0,'Données projet'!$E$14+1,1))-AVERAGE(OFFSET($H$3,0,0,'Données projet'!$E$14+1,1))</f>
        <v>441.20130048888439</v>
      </c>
      <c r="DU21" s="59">
        <f t="shared" si="44"/>
        <v>237.47732532183946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13.8</v>
      </c>
      <c r="EJ21" s="12">
        <f>IF('Données projet'!$A$192&gt;35,EJ20+EI21-ER20,IF(A21&lt;'Données projet'!$A$192,$EG$205^A21,IF(A21='Données projet'!$A$192,'Données projet'!$B$192,EJ20+EI21-ER20)))</f>
        <v>74.399999999999991</v>
      </c>
      <c r="EK21" s="17">
        <f>EJ21*VLOOKUP('Données projet'!$B$15,Paramètres!$A$1:$I$89,3,0)*VLOOKUP('Données projet'!$B$15,Paramètres!$A$1:$I$89,5,0)</f>
        <v>59.192639999999997</v>
      </c>
      <c r="EL21" s="13">
        <f t="shared" si="45"/>
        <v>16.963982408330725</v>
      </c>
      <c r="EM21" s="20">
        <f t="shared" si="19"/>
        <v>132.63945069450935</v>
      </c>
      <c r="EN21" s="59">
        <f t="shared" si="20"/>
        <v>344.40880388651249</v>
      </c>
      <c r="EO21" s="59">
        <f ca="1">AVERAGE(OFFSET($EN$3,0,0,'Données projet'!$E$15+1,1))-AVERAGE(OFFSET($H$3,0,0,'Données projet'!$E$15+1,1))</f>
        <v>377.27600411578322</v>
      </c>
      <c r="EP21" s="59">
        <f t="shared" si="46"/>
        <v>364.58250627635425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>
        <f>EXP(-LN(2)/35)*EV20+(1-EXP(-LN(2)/35))/(LN(2)/35)*ER21*ES21*VLOOKUP('Données projet'!$B$15,Paramètres!$A$1:$I$89,3,0)*0.475*44/12</f>
        <v>0</v>
      </c>
      <c r="EW21" s="21">
        <f>EXP(-LN(2)/25)*EW20+(1-EXP(-LN(2)/25))/(LN(2)/25)*Calculateur!ER21*Calculateur!ET21*VLOOKUP('Données projet'!$B$15,Paramètres!$A$1:$I$89,3,0)*0.475*44/12</f>
        <v>0</v>
      </c>
      <c r="EX21" s="21">
        <f>EXP(-LN(2)/2)*EX20+(1-EXP(-LN(2)/2))/(LN(2)/2)*ER21*EU21*VLOOKUP('Données projet'!$B$15,Paramètres!$A$1:$I$89,3,0)*0.475*44/12</f>
        <v>0</v>
      </c>
      <c r="EY21" s="22">
        <f t="shared" si="21"/>
        <v>0</v>
      </c>
      <c r="EZ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13.8</v>
      </c>
      <c r="FE21" s="12">
        <f>IF('Données projet'!$A$218&gt;35,FE20+FD21-FM20,IF(A21&lt;'Données projet'!$A$218,$FB$205^A21,IF(A21='Données projet'!$A$218,'Données projet'!$B$218,FE20+FD21-FM20)))</f>
        <v>74.399999999999991</v>
      </c>
      <c r="FF21" s="17">
        <f>FE21*VLOOKUP('Données projet'!$B$16,Paramètres!$A$1:$I$89,3,0)*VLOOKUP('Données projet'!$B$16,Paramètres!$A$1:$I$89,5,0)</f>
        <v>60.353279999999998</v>
      </c>
      <c r="FG21" s="13">
        <f t="shared" si="47"/>
        <v>17.257558739100197</v>
      </c>
      <c r="FH21" s="20">
        <f t="shared" si="22"/>
        <v>135.17221080393281</v>
      </c>
      <c r="FI21" s="59">
        <f t="shared" si="23"/>
        <v>346.94156399593589</v>
      </c>
      <c r="FJ21" s="59">
        <f ca="1">AVERAGE(OFFSET($FI$3,0,0,'Données projet'!$E$16+1,1))-AVERAGE(OFFSET($H$3,0,0,'Données projet'!$E$16+1,1))</f>
        <v>383.47399633251354</v>
      </c>
      <c r="FK21" s="59">
        <f t="shared" si="48"/>
        <v>370.49129421395628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>
        <f>EXP(-LN(2)/35)*FQ20+(1-EXP(-LN(2)/35))/(LN(2)/35)*FM21*FN21*VLOOKUP('Données projet'!$B$16,Paramètres!$A$1:$I$89,3,0)*0.475*44/12</f>
        <v>0</v>
      </c>
      <c r="FR21" s="21">
        <f>EXP(-LN(2)/25)*FR20+(1-EXP(-LN(2)/25))/(LN(2)/25)*Calculateur!FM21*Calculateur!FO21*VLOOKUP('Données projet'!$B$16,Paramètres!$A$1:$I$89,3,0)*0.475*44/12</f>
        <v>0</v>
      </c>
      <c r="FS21" s="21">
        <f>EXP(-LN(2)/2)*FS20+(1-EXP(-LN(2)/2))/(LN(2)/2)*FM21*FP21*VLOOKUP('Données projet'!$B$16,Paramètres!$A$1:$I$89,3,0)*0.475*44/12</f>
        <v>0</v>
      </c>
      <c r="FT21" s="22">
        <f t="shared" si="24"/>
        <v>0</v>
      </c>
      <c r="FU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4.0628205133333335</v>
      </c>
      <c r="FZ21" s="12">
        <f>IF('Données projet'!$A$244&gt;35,FZ20+FY21-GH20,IF(A21&lt;'Données projet'!$A$244,$FW$205^A21,IF(A21='Données projet'!$A$244,'Données projet'!$B$244,FZ20+FY21-GH20)))</f>
        <v>17.847168944133852</v>
      </c>
      <c r="GA21" s="17">
        <f>FZ21*VLOOKUP('Données projet'!$B$17,Paramètres!$A$1:$I$89,3,0)*VLOOKUP('Données projet'!$B$17,Paramètres!$A$1:$I$89,5,0)</f>
        <v>16.983365967237773</v>
      </c>
      <c r="GB21" s="13">
        <f t="shared" si="49"/>
        <v>5.6286088135864594</v>
      </c>
      <c r="GC21" s="20">
        <f t="shared" si="25"/>
        <v>39.382522743268872</v>
      </c>
      <c r="GD21" s="59">
        <f t="shared" si="26"/>
        <v>251.15187593527199</v>
      </c>
      <c r="GE21" s="59">
        <f ca="1">AVERAGE(OFFSET($GD$3,0,0,'Données projet'!$E$17+1,1))-AVERAGE(OFFSET($H$3,0,0,'Données projet'!$E$17+1,1))</f>
        <v>592.58528889137358</v>
      </c>
      <c r="GF21" s="59">
        <f t="shared" si="50"/>
        <v>311.31528020403709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>
        <f>EXP(-LN(2)/35)*GL20+(1-EXP(-LN(2)/35))/(LN(2)/35)*GH21*GI21*VLOOKUP('Données projet'!$B$17,Paramètres!$A$1:$I$89,3,0)*0.475*44/12</f>
        <v>0</v>
      </c>
      <c r="GM21" s="21">
        <f>EXP(-LN(2)/25)*GM20+(1-EXP(-LN(2)/25))/(LN(2)/25)*Calculateur!GH21*Calculateur!GJ21*VLOOKUP('Données projet'!$B$17,Paramètres!$A$1:$I$89,3,0)*0.475*44/12</f>
        <v>0</v>
      </c>
      <c r="GN21" s="21">
        <f>EXP(-LN(2)/2)*GN20+(1-EXP(-LN(2)/2))/(LN(2)/2)*GH21*GK21*VLOOKUP('Données projet'!$B$17,Paramètres!$A$1:$I$89,3,0)*0.475*44/12</f>
        <v>0</v>
      </c>
      <c r="GO21" s="21">
        <f t="shared" si="27"/>
        <v>0</v>
      </c>
      <c r="GP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9.6</v>
      </c>
      <c r="GU21" s="12">
        <f>IF('Données projet'!$A$270&gt;35,GU20+GT21-HC20,IF(A21&lt;'Données projet'!$A$270,$GR$205^A21,IF(A21='Données projet'!$A$270,'Données projet'!$B$270,GU20+GT21-HC20)))</f>
        <v>65.8</v>
      </c>
      <c r="GV21" s="17">
        <f>GU21*VLOOKUP('Données projet'!$B$18,Paramètres!$A$1:$I$89,3,0)*VLOOKUP('Données projet'!$B$18,Paramètres!$A$1:$I$89,5,0)</f>
        <v>51.323999999999998</v>
      </c>
      <c r="GW21" s="13">
        <f t="shared" si="51"/>
        <v>14.95516659950003</v>
      </c>
      <c r="GX21" s="20">
        <f t="shared" si="28"/>
        <v>115.43621516079588</v>
      </c>
      <c r="GY21" s="59">
        <f t="shared" si="29"/>
        <v>327.20556835279899</v>
      </c>
      <c r="GZ21" s="59">
        <f ca="1">AVERAGE(OFFSET($GY$3,0,0,'Données projet'!$E$18+1,1))-AVERAGE(OFFSET($H$3,0,0,'Données projet'!$E$18+1,1))</f>
        <v>308.85018589589453</v>
      </c>
      <c r="HA21" s="59">
        <f t="shared" si="52"/>
        <v>302.59481222418219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>
        <f>EXP(-LN(2)/35)*HG20+(1-EXP(-LN(2)/35))/(LN(2)/35)*HC21*HD21*VLOOKUP('Données projet'!$B$18,Paramètres!$A$1:$I$89,3,0)*0.475*44/12</f>
        <v>0</v>
      </c>
      <c r="HH21" s="21">
        <f>EXP(-LN(2)/25)*HH20+(1-EXP(-LN(2)/25))/(LN(2)/25)*Calculateur!HC21*Calculateur!HE21*VLOOKUP('Données projet'!$B$18,Paramètres!$A$1:$I$89,3,0)*0.475*44/12</f>
        <v>0</v>
      </c>
      <c r="HI21" s="21">
        <f>EXP(-LN(2)/2)*HI20+(1-EXP(-LN(2)/2))/(LN(2)/2)*HC21*HF21*VLOOKUP('Données projet'!$B$18,Paramètres!$A$1:$I$89,3,0)*0.475*44/12</f>
        <v>0</v>
      </c>
      <c r="HJ21" s="22">
        <f t="shared" si="30"/>
        <v>0</v>
      </c>
    </row>
    <row r="22" spans="1:218" x14ac:dyDescent="0.35">
      <c r="A22" s="10">
        <f t="shared" si="31"/>
        <v>19</v>
      </c>
      <c r="B22" s="72">
        <f>'Scénario référence'!$B$16*5+'Scénario référence'!$B$17*0+'Scénario référence'!$B$18*5</f>
        <v>5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66">
        <f t="shared" si="1"/>
        <v>183.33333333333334</v>
      </c>
      <c r="I22" s="6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4.0628205133333335</v>
      </c>
      <c r="N22" s="13">
        <f>IF('Données projet'!$A$36&gt;35,N21+M22-V21,IF(A22&lt;'Données projet'!$A$36,$K$205^A22,IF(A22='Données projet'!$A$36,'Données projet'!$B$36,N21+M22-V21)))</f>
        <v>20.945993502264844</v>
      </c>
      <c r="O22" s="13">
        <f>N22*VLOOKUP('Données projet'!$B$9,Paramètres!$A$1:$I$89,3,0)*VLOOKUP('Données projet'!$B$9,Paramètres!$A$1:$I$89,5,0)</f>
        <v>18.951934920849229</v>
      </c>
      <c r="P22" s="13">
        <f t="shared" si="33"/>
        <v>6.2013571962778977</v>
      </c>
      <c r="Q22" s="20">
        <f t="shared" si="2"/>
        <v>43.808650437329739</v>
      </c>
      <c r="R22" s="59">
        <f t="shared" si="0"/>
        <v>257.96074468035329</v>
      </c>
      <c r="S22" s="59">
        <f ca="1">AVERAGE(OFFSET($R$3,0,0,'Données projet'!$E$9+1,1))-AVERAGE(OFFSET($H$3,0,0,'Données projet'!$E$9+1,1))</f>
        <v>567.42635821507474</v>
      </c>
      <c r="T22" s="59">
        <f t="shared" si="34"/>
        <v>299.04735309930152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4.0628205133333335</v>
      </c>
      <c r="AI22" s="13">
        <f>IF('Données projet'!$A$62&gt;35,AI21+AH22-AQ21,IF(A22&lt;'Données projet'!$A$62,$AF$205^A22,IF(A22='Données projet'!$A$62,'Données projet'!$B$62,AI21+AH22-AQ21)))</f>
        <v>20.945993502264844</v>
      </c>
      <c r="AJ22" s="13">
        <f>AI22*VLOOKUP('Données projet'!$B$10,Paramètres!$A$1:$I$89,3,0)*VLOOKUP('Données projet'!$B$10,Paramètres!$A$1:$I$89,5,0)</f>
        <v>21.239237411296553</v>
      </c>
      <c r="AK22" s="13">
        <f t="shared" si="35"/>
        <v>6.8582295016052841</v>
      </c>
      <c r="AL22" s="20">
        <f t="shared" si="4"/>
        <v>48.936421539970695</v>
      </c>
      <c r="AM22" s="59">
        <f t="shared" si="5"/>
        <v>263.08851578299425</v>
      </c>
      <c r="AN22" s="59">
        <f ca="1">AVERAGE(OFFSET($AM$3,0,0,'Données projet'!$E$10+1,1))-AVERAGE(OFFSET($H$3,0,0,'Données projet'!$E$10+1,1))</f>
        <v>626.09203985591455</v>
      </c>
      <c r="AO22" s="59">
        <f t="shared" si="36"/>
        <v>327.65191296575199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1.6</v>
      </c>
      <c r="BD22" s="12">
        <f>IF('Données projet'!$A$88&gt;35,BD21+BC22-BL21,IF(A22&lt;'Données projet'!$A$88,$BA$205^A22,IF(A22='Données projet'!$A$88,'Données projet'!$B$88,BD21+BC22-BL21)))</f>
        <v>26.908685288118836</v>
      </c>
      <c r="BE22" s="13">
        <f>BD22*VLOOKUP('Données projet'!$B$11,Paramètres!$A$1:$I$89,3,0)*VLOOKUP('Données projet'!$B$11,Paramètres!$A$1:$I$89,5,0)</f>
        <v>23.087651977205965</v>
      </c>
      <c r="BF22" s="13">
        <f t="shared" si="37"/>
        <v>7.3830264994807839</v>
      </c>
      <c r="BG22" s="20">
        <f t="shared" si="7"/>
        <v>53.069765013562751</v>
      </c>
      <c r="BH22" s="59">
        <f t="shared" si="8"/>
        <v>267.2218592565863</v>
      </c>
      <c r="BI22" s="59">
        <f ca="1">AVERAGE(OFFSET($BH$3,0,0,'Données projet'!$E$11+1,1))-AVERAGE(OFFSET($H$3,0,0,'Données projet'!$E$11+1,1))</f>
        <v>481.23392184981651</v>
      </c>
      <c r="BJ22" s="59">
        <f t="shared" si="38"/>
        <v>275.88160405468193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4.8773333333333335</v>
      </c>
      <c r="BY22" s="12">
        <f>IF('Données projet'!$A$114&gt;35,BY21+BX22-CG21,IF(A22&lt;'Données projet'!$A$114,$BV$205^A22,IF(A22='Données projet'!$A$114,'Données projet'!$B$114,BY21+BX22-CG21)))</f>
        <v>23.515759245497794</v>
      </c>
      <c r="BZ22" s="13">
        <f>BY22*VLOOKUP('Données projet'!$B$12,Paramètres!$A$1:$I$89,3,0)*VLOOKUP('Données projet'!$B$12,Paramètres!$A$1:$I$89,5,0)</f>
        <v>11.005375326892967</v>
      </c>
      <c r="CA22" s="13">
        <f t="shared" si="39"/>
        <v>3.8363137435716932</v>
      </c>
      <c r="CB22" s="20">
        <f t="shared" si="10"/>
        <v>25.849275131059283</v>
      </c>
      <c r="CC22" s="59">
        <f t="shared" si="11"/>
        <v>240.0013693740828</v>
      </c>
      <c r="CD22" s="59">
        <f ca="1">AVERAGE(OFFSET($CC$3,0,0,'Données projet'!$E$12+1,1))-AVERAGE(OFFSET($H$3,0,0,'Données projet'!$E$12+1,1))</f>
        <v>331.86732359395467</v>
      </c>
      <c r="CE22" s="59">
        <f t="shared" si="40"/>
        <v>208.64489375183106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13.8</v>
      </c>
      <c r="CT22" s="12">
        <f>IF('Données projet'!$A$140&gt;35,CT21+CS22-DB21,IF(A22&lt;'Données projet'!$A$140,$CQ$205^A22,IF(A22='Données projet'!$A$140,'Données projet'!$B$140,CT21+CS22-DB21)))</f>
        <v>88.199999999999989</v>
      </c>
      <c r="CU22" s="17">
        <f>CT22*VLOOKUP('Données projet'!$B$13,Paramètres!$A$1:$I$89,3,0)*VLOOKUP('Données projet'!$B$13,Paramètres!$A$1:$I$89,5,0)</f>
        <v>64.668239999999997</v>
      </c>
      <c r="CV22" s="13">
        <f t="shared" si="41"/>
        <v>18.34335069187722</v>
      </c>
      <c r="CW22" s="20">
        <f t="shared" si="13"/>
        <v>144.57852045501949</v>
      </c>
      <c r="CX22" s="59">
        <f t="shared" si="14"/>
        <v>358.73061469804304</v>
      </c>
      <c r="CY22" s="59">
        <f ca="1">AVERAGE(OFFSET($CX$3,0,0,'Données projet'!$E$13+1,1))-AVERAGE(OFFSET($H$3,0,0,'Données projet'!$E$13+1,1))</f>
        <v>352.45777291109863</v>
      </c>
      <c r="CZ22" s="59">
        <f t="shared" si="42"/>
        <v>340.92165104349181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4.0628205133333335</v>
      </c>
      <c r="DO22" s="12">
        <f>IF('Données projet'!$A$166&gt;35,DO21+DN22-DW21,IF(A22&lt;'Données projet'!$A$166,$DL$205^A22,IF(A22='Données projet'!$A$166,'Données projet'!$B$166,DO21+DN22-DW21)))</f>
        <v>20.945993502264844</v>
      </c>
      <c r="DP22" s="17">
        <f>DO22*VLOOKUP('Données projet'!$B$14,Paramètres!$A$1:$I$89,3,0)*VLOOKUP('Données projet'!$B$14,Paramètres!$A$1:$I$89,5,0)</f>
        <v>14.050572441319257</v>
      </c>
      <c r="DQ22" s="13">
        <f t="shared" si="43"/>
        <v>4.7605211561147769</v>
      </c>
      <c r="DR22" s="20">
        <f t="shared" si="16"/>
        <v>32.762654682197606</v>
      </c>
      <c r="DS22" s="59">
        <f t="shared" si="17"/>
        <v>246.91474892522115</v>
      </c>
      <c r="DT22" s="59">
        <f ca="1">AVERAGE(OFFSET($DS$3,0,0,'Données projet'!$E$14+1,1))-AVERAGE(OFFSET($H$3,0,0,'Données projet'!$E$14+1,1))</f>
        <v>441.20130048888439</v>
      </c>
      <c r="DU22" s="59">
        <f t="shared" si="44"/>
        <v>237.47732532183946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13.8</v>
      </c>
      <c r="EJ22" s="12">
        <f>IF('Données projet'!$A$192&gt;35,EJ21+EI22-ER21,IF(A22&lt;'Données projet'!$A$192,$EG$205^A22,IF(A22='Données projet'!$A$192,'Données projet'!$B$192,EJ21+EI22-ER21)))</f>
        <v>88.199999999999989</v>
      </c>
      <c r="EK22" s="17">
        <f>EJ22*VLOOKUP('Données projet'!$B$15,Paramètres!$A$1:$I$89,3,0)*VLOOKUP('Données projet'!$B$15,Paramètres!$A$1:$I$89,5,0)</f>
        <v>70.171919999999986</v>
      </c>
      <c r="EL22" s="13">
        <f t="shared" si="45"/>
        <v>19.716145269554726</v>
      </c>
      <c r="EM22" s="20">
        <f t="shared" si="19"/>
        <v>156.55504701114111</v>
      </c>
      <c r="EN22" s="59">
        <f t="shared" si="20"/>
        <v>370.70714125416464</v>
      </c>
      <c r="EO22" s="59">
        <f ca="1">AVERAGE(OFFSET($EN$3,0,0,'Données projet'!$E$15+1,1))-AVERAGE(OFFSET($H$3,0,0,'Données projet'!$E$15+1,1))</f>
        <v>377.27600411578322</v>
      </c>
      <c r="EP22" s="59">
        <f t="shared" si="46"/>
        <v>364.58250627635425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>
        <f>EXP(-LN(2)/35)*EV21+(1-EXP(-LN(2)/35))/(LN(2)/35)*ER22*ES22*VLOOKUP('Données projet'!$B$15,Paramètres!$A$1:$I$89,3,0)*0.475*44/12</f>
        <v>0</v>
      </c>
      <c r="EW22" s="21">
        <f>EXP(-LN(2)/25)*EW21+(1-EXP(-LN(2)/25))/(LN(2)/25)*Calculateur!ER22*Calculateur!ET22*VLOOKUP('Données projet'!$B$15,Paramètres!$A$1:$I$89,3,0)*0.475*44/12</f>
        <v>0</v>
      </c>
      <c r="EX22" s="21">
        <f>EXP(-LN(2)/2)*EX21+(1-EXP(-LN(2)/2))/(LN(2)/2)*ER22*EU22*VLOOKUP('Données projet'!$B$15,Paramètres!$A$1:$I$89,3,0)*0.475*44/12</f>
        <v>0</v>
      </c>
      <c r="EY22" s="22">
        <f t="shared" si="21"/>
        <v>0</v>
      </c>
      <c r="EZ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13.8</v>
      </c>
      <c r="FE22" s="12">
        <f>IF('Données projet'!$A$218&gt;35,FE21+FD22-FM21,IF(A22&lt;'Données projet'!$A$218,$FB$205^A22,IF(A22='Données projet'!$A$218,'Données projet'!$B$218,FE21+FD22-FM21)))</f>
        <v>88.199999999999989</v>
      </c>
      <c r="FF22" s="17">
        <f>FE22*VLOOKUP('Données projet'!$B$16,Paramètres!$A$1:$I$89,3,0)*VLOOKUP('Données projet'!$B$16,Paramètres!$A$1:$I$89,5,0)</f>
        <v>71.547839999999994</v>
      </c>
      <c r="FG22" s="13">
        <f t="shared" si="47"/>
        <v>20.05735014974319</v>
      </c>
      <c r="FH22" s="20">
        <f t="shared" si="22"/>
        <v>159.54570617746938</v>
      </c>
      <c r="FI22" s="59">
        <f t="shared" si="23"/>
        <v>373.69780042049291</v>
      </c>
      <c r="FJ22" s="59">
        <f ca="1">AVERAGE(OFFSET($FI$3,0,0,'Données projet'!$E$16+1,1))-AVERAGE(OFFSET($H$3,0,0,'Données projet'!$E$16+1,1))</f>
        <v>383.47399633251354</v>
      </c>
      <c r="FK22" s="59">
        <f t="shared" si="48"/>
        <v>370.49129421395628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>
        <f>EXP(-LN(2)/35)*FQ21+(1-EXP(-LN(2)/35))/(LN(2)/35)*FM22*FN22*VLOOKUP('Données projet'!$B$16,Paramètres!$A$1:$I$89,3,0)*0.475*44/12</f>
        <v>0</v>
      </c>
      <c r="FR22" s="21">
        <f>EXP(-LN(2)/25)*FR21+(1-EXP(-LN(2)/25))/(LN(2)/25)*Calculateur!FM22*Calculateur!FO22*VLOOKUP('Données projet'!$B$16,Paramètres!$A$1:$I$89,3,0)*0.475*44/12</f>
        <v>0</v>
      </c>
      <c r="FS22" s="21">
        <f>EXP(-LN(2)/2)*FS21+(1-EXP(-LN(2)/2))/(LN(2)/2)*FM22*FP22*VLOOKUP('Données projet'!$B$16,Paramètres!$A$1:$I$89,3,0)*0.475*44/12</f>
        <v>0</v>
      </c>
      <c r="FT22" s="22">
        <f t="shared" si="24"/>
        <v>0</v>
      </c>
      <c r="FU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4.0628205133333335</v>
      </c>
      <c r="FZ22" s="12">
        <f>IF('Données projet'!$A$244&gt;35,FZ21+FY22-GH21,IF(A22&lt;'Données projet'!$A$244,$FW$205^A22,IF(A22='Données projet'!$A$244,'Données projet'!$B$244,FZ21+FY22-GH21)))</f>
        <v>20.945993502264844</v>
      </c>
      <c r="GA22" s="17">
        <f>FZ22*VLOOKUP('Données projet'!$B$17,Paramètres!$A$1:$I$89,3,0)*VLOOKUP('Données projet'!$B$17,Paramètres!$A$1:$I$89,5,0)</f>
        <v>19.932207416755226</v>
      </c>
      <c r="GB22" s="13">
        <f t="shared" si="49"/>
        <v>6.4839433891701299</v>
      </c>
      <c r="GC22" s="20">
        <f t="shared" si="25"/>
        <v>46.008129320319995</v>
      </c>
      <c r="GD22" s="59">
        <f t="shared" si="26"/>
        <v>260.16022356334349</v>
      </c>
      <c r="GE22" s="59">
        <f ca="1">AVERAGE(OFFSET($GD$3,0,0,'Données projet'!$E$17+1,1))-AVERAGE(OFFSET($H$3,0,0,'Données projet'!$E$17+1,1))</f>
        <v>592.58528889137358</v>
      </c>
      <c r="GF22" s="59">
        <f t="shared" si="50"/>
        <v>311.31528020403709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>
        <f>EXP(-LN(2)/35)*GL21+(1-EXP(-LN(2)/35))/(LN(2)/35)*GH22*GI22*VLOOKUP('Données projet'!$B$17,Paramètres!$A$1:$I$89,3,0)*0.475*44/12</f>
        <v>0</v>
      </c>
      <c r="GM22" s="21">
        <f>EXP(-LN(2)/25)*GM21+(1-EXP(-LN(2)/25))/(LN(2)/25)*Calculateur!GH22*Calculateur!GJ22*VLOOKUP('Données projet'!$B$17,Paramètres!$A$1:$I$89,3,0)*0.475*44/12</f>
        <v>0</v>
      </c>
      <c r="GN22" s="21">
        <f>EXP(-LN(2)/2)*GN21+(1-EXP(-LN(2)/2))/(LN(2)/2)*GH22*GK22*VLOOKUP('Données projet'!$B$17,Paramètres!$A$1:$I$89,3,0)*0.475*44/12</f>
        <v>0</v>
      </c>
      <c r="GO22" s="21">
        <f t="shared" si="27"/>
        <v>0</v>
      </c>
      <c r="GP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9.6</v>
      </c>
      <c r="GU22" s="12">
        <f>IF('Données projet'!$A$270&gt;35,GU21+GT22-HC21,IF(A22&lt;'Données projet'!$A$270,$GR$205^A22,IF(A22='Données projet'!$A$270,'Données projet'!$B$270,GU21+GT22-HC21)))</f>
        <v>75.399999999999991</v>
      </c>
      <c r="GV22" s="17">
        <f>GU22*VLOOKUP('Données projet'!$B$18,Paramètres!$A$1:$I$89,3,0)*VLOOKUP('Données projet'!$B$18,Paramètres!$A$1:$I$89,5,0)</f>
        <v>58.811999999999998</v>
      </c>
      <c r="GW22" s="13">
        <f t="shared" si="51"/>
        <v>16.86755663452599</v>
      </c>
      <c r="GX22" s="20">
        <f t="shared" si="28"/>
        <v>131.8085611384661</v>
      </c>
      <c r="GY22" s="59">
        <f t="shared" si="29"/>
        <v>345.96065538148963</v>
      </c>
      <c r="GZ22" s="59">
        <f ca="1">AVERAGE(OFFSET($GY$3,0,0,'Données projet'!$E$18+1,1))-AVERAGE(OFFSET($H$3,0,0,'Données projet'!$E$18+1,1))</f>
        <v>308.85018589589453</v>
      </c>
      <c r="HA22" s="59">
        <f t="shared" si="52"/>
        <v>302.59481222418219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>
        <f>EXP(-LN(2)/35)*HG21+(1-EXP(-LN(2)/35))/(LN(2)/35)*HC22*HD22*VLOOKUP('Données projet'!$B$18,Paramètres!$A$1:$I$89,3,0)*0.475*44/12</f>
        <v>0</v>
      </c>
      <c r="HH22" s="21">
        <f>EXP(-LN(2)/25)*HH21+(1-EXP(-LN(2)/25))/(LN(2)/25)*Calculateur!HC22*Calculateur!HE22*VLOOKUP('Données projet'!$B$18,Paramètres!$A$1:$I$89,3,0)*0.475*44/12</f>
        <v>0</v>
      </c>
      <c r="HI22" s="21">
        <f>EXP(-LN(2)/2)*HI21+(1-EXP(-LN(2)/2))/(LN(2)/2)*HC22*HF22*VLOOKUP('Données projet'!$B$18,Paramètres!$A$1:$I$89,3,0)*0.475*44/12</f>
        <v>0</v>
      </c>
      <c r="HJ22" s="22">
        <f t="shared" si="30"/>
        <v>0</v>
      </c>
    </row>
    <row r="23" spans="1:218" x14ac:dyDescent="0.35">
      <c r="A23" s="10">
        <f t="shared" si="31"/>
        <v>20</v>
      </c>
      <c r="B23" s="72">
        <f>'Scénario référence'!$B$16*5+'Scénario référence'!$B$17*0+'Scénario référence'!$B$18*5</f>
        <v>5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66">
        <f t="shared" si="1"/>
        <v>183.33333333333334</v>
      </c>
      <c r="I23" s="6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4.0628205133333335</v>
      </c>
      <c r="N23" s="13">
        <f>IF('Données projet'!$A$36&gt;35,N22+M23-V22,IF(A23&lt;'Données projet'!$A$36,$K$205^A23,IF(A23='Données projet'!$A$36,'Données projet'!$B$36,N22+M23-V22)))</f>
        <v>24.582870547719438</v>
      </c>
      <c r="O23" s="13">
        <f>N23*VLOOKUP('Données projet'!$B$9,Paramètres!$A$1:$I$89,3,0)*VLOOKUP('Données projet'!$B$9,Paramètres!$A$1:$I$89,5,0)</f>
        <v>22.242581271576544</v>
      </c>
      <c r="P23" s="13">
        <f t="shared" si="33"/>
        <v>7.1437277537623007</v>
      </c>
      <c r="Q23" s="20">
        <f t="shared" si="2"/>
        <v>51.181154885798492</v>
      </c>
      <c r="R23" s="59">
        <f t="shared" si="0"/>
        <v>267.69585777269424</v>
      </c>
      <c r="S23" s="59">
        <f ca="1">AVERAGE(OFFSET($R$3,0,0,'Données projet'!$E$9+1,1))-AVERAGE(OFFSET($H$3,0,0,'Données projet'!$E$9+1,1))</f>
        <v>567.42635821507474</v>
      </c>
      <c r="T23" s="59">
        <f t="shared" si="34"/>
        <v>299.04735309930152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4.0628205133333335</v>
      </c>
      <c r="AI23" s="13">
        <f>IF('Données projet'!$A$62&gt;35,AI22+AH23-AQ22,IF(A23&lt;'Données projet'!$A$62,$AF$205^A23,IF(A23='Données projet'!$A$62,'Données projet'!$B$62,AI22+AH23-AQ22)))</f>
        <v>24.582870547719438</v>
      </c>
      <c r="AJ23" s="13">
        <f>AI23*VLOOKUP('Données projet'!$B$10,Paramètres!$A$1:$I$89,3,0)*VLOOKUP('Données projet'!$B$10,Paramètres!$A$1:$I$89,5,0)</f>
        <v>24.927030735387511</v>
      </c>
      <c r="AK23" s="13">
        <f t="shared" si="35"/>
        <v>7.9004196793719998</v>
      </c>
      <c r="AL23" s="20">
        <f t="shared" si="4"/>
        <v>57.174476139039477</v>
      </c>
      <c r="AM23" s="59">
        <f t="shared" si="5"/>
        <v>273.68917902593518</v>
      </c>
      <c r="AN23" s="59">
        <f ca="1">AVERAGE(OFFSET($AM$3,0,0,'Données projet'!$E$10+1,1))-AVERAGE(OFFSET($H$3,0,0,'Données projet'!$E$10+1,1))</f>
        <v>626.09203985591455</v>
      </c>
      <c r="AO23" s="59">
        <f t="shared" si="36"/>
        <v>327.65191296575199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>
        <f>VLOOKUP(A23,'Données projet'!$A$87:$I$107,2,0)</f>
        <v>32</v>
      </c>
      <c r="BB23" s="12">
        <f>VLOOKUP(A23,'Données projet'!$A$87:$I$107,9,0)</f>
        <v>1.6</v>
      </c>
      <c r="BC23" s="12">
        <f t="array" ref="BC23">INDEX(BB:BB,MIN(IF(ISNUMBER(BB23:BB219),ROW(BB23:BB219),"")))</f>
        <v>1.6</v>
      </c>
      <c r="BD23" s="12">
        <f>IF('Données projet'!$A$88&gt;35,BD22+BC23-BL22,IF(A23&lt;'Données projet'!$A$88,$BA$205^A23,IF(A23='Données projet'!$A$88,'Données projet'!$B$88,BD22+BC23-BL22)))</f>
        <v>32</v>
      </c>
      <c r="BE23" s="13">
        <f>BD23*VLOOKUP('Données projet'!$B$11,Paramètres!$A$1:$I$89,3,0)*VLOOKUP('Données projet'!$B$11,Paramètres!$A$1:$I$89,5,0)</f>
        <v>27.456000000000003</v>
      </c>
      <c r="BF23" s="13">
        <f t="shared" si="37"/>
        <v>8.604625104229898</v>
      </c>
      <c r="BG23" s="20">
        <f t="shared" si="7"/>
        <v>62.805588723200408</v>
      </c>
      <c r="BH23" s="59">
        <f t="shared" si="8"/>
        <v>279.32029161009615</v>
      </c>
      <c r="BI23" s="59">
        <f ca="1">AVERAGE(OFFSET($BH$3,0,0,'Données projet'!$E$11+1,1))-AVERAGE(OFFSET($H$3,0,0,'Données projet'!$E$11+1,1))</f>
        <v>481.23392184981651</v>
      </c>
      <c r="BJ23" s="59">
        <f t="shared" si="38"/>
        <v>275.88160405468193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4.8773333333333335</v>
      </c>
      <c r="BY23" s="12">
        <f>IF('Données projet'!$A$114&gt;35,BY22+BX23-CG22,IF(A23&lt;'Données projet'!$A$114,$BV$205^A23,IF(A23='Données projet'!$A$114,'Données projet'!$B$114,BY22+BX23-CG22)))</f>
        <v>27.767436986245297</v>
      </c>
      <c r="BZ23" s="13">
        <f>BY23*VLOOKUP('Données projet'!$B$12,Paramètres!$A$1:$I$89,3,0)*VLOOKUP('Données projet'!$B$12,Paramètres!$A$1:$I$89,5,0)</f>
        <v>12.995160509562799</v>
      </c>
      <c r="CA23" s="13">
        <f t="shared" si="39"/>
        <v>4.4431352052812878</v>
      </c>
      <c r="CB23" s="20">
        <f t="shared" si="10"/>
        <v>30.371698370020116</v>
      </c>
      <c r="CC23" s="59">
        <f t="shared" si="11"/>
        <v>246.88640125691583</v>
      </c>
      <c r="CD23" s="59">
        <f ca="1">AVERAGE(OFFSET($CC$3,0,0,'Données projet'!$E$12+1,1))-AVERAGE(OFFSET($H$3,0,0,'Données projet'!$E$12+1,1))</f>
        <v>331.86732359395467</v>
      </c>
      <c r="CE23" s="59">
        <f t="shared" si="40"/>
        <v>208.64489375183106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>
        <f>VLOOKUP(A23,'Données projet'!$A$139:$I$159,2,0)</f>
        <v>102</v>
      </c>
      <c r="CR23" s="12">
        <f>VLOOKUP(A23,'Données projet'!$A$139:$I$159,9,0)</f>
        <v>13.8</v>
      </c>
      <c r="CS23" s="12">
        <f t="array" ref="CS23">INDEX(CR:CR,MIN(IF(ISNUMBER(CR23:CR219),ROW(CR23:CR219),"")))</f>
        <v>13.8</v>
      </c>
      <c r="CT23" s="12">
        <f>IF('Données projet'!$A$140&gt;35,CT22+CS23-DB22,IF(A23&lt;'Données projet'!$A$140,$CQ$205^A23,IF(A23='Données projet'!$A$140,'Données projet'!$B$140,CT22+CS23-DB22)))</f>
        <v>101.99999999999999</v>
      </c>
      <c r="CU23" s="17">
        <f>CT23*VLOOKUP('Données projet'!$B$13,Paramètres!$A$1:$I$89,3,0)*VLOOKUP('Données projet'!$B$13,Paramètres!$A$1:$I$89,5,0)</f>
        <v>74.786399999999986</v>
      </c>
      <c r="CV23" s="13">
        <f t="shared" si="41"/>
        <v>20.857475351088951</v>
      </c>
      <c r="CW23" s="20">
        <f t="shared" si="13"/>
        <v>166.57974956981323</v>
      </c>
      <c r="CX23" s="59">
        <f t="shared" si="14"/>
        <v>383.09445245670895</v>
      </c>
      <c r="CY23" s="59">
        <f ca="1">AVERAGE(OFFSET($CX$3,0,0,'Données projet'!$E$13+1,1))-AVERAGE(OFFSET($H$3,0,0,'Données projet'!$E$13+1,1))</f>
        <v>352.45777291109863</v>
      </c>
      <c r="CZ23" s="59">
        <f t="shared" si="42"/>
        <v>340.92165104349181</v>
      </c>
      <c r="DA23" s="15">
        <f>IF(ISNA(VLOOKUP(A23,'Données projet'!$A$139:$I$159,3,0)),0,VLOOKUP(A23,'Données projet'!$A$139:$I$159,3,0))</f>
        <v>2</v>
      </c>
      <c r="DB23" s="15">
        <f>IF(ISNA(VLOOKUP(A23,'Données projet'!$A$139:$I$159,4,0)),0,VLOOKUP(A23,'Données projet'!$A$139:$I$159,4,0))</f>
        <v>35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0</v>
      </c>
      <c r="DJ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4.0628205133333335</v>
      </c>
      <c r="DO23" s="12">
        <f>IF('Données projet'!$A$166&gt;35,DO22+DN23-DW22,IF(A23&lt;'Données projet'!$A$166,$DL$205^A23,IF(A23='Données projet'!$A$166,'Données projet'!$B$166,DO22+DN23-DW22)))</f>
        <v>24.582870547719438</v>
      </c>
      <c r="DP23" s="17">
        <f>DO23*VLOOKUP('Données projet'!$B$14,Paramètres!$A$1:$I$89,3,0)*VLOOKUP('Données projet'!$B$14,Paramètres!$A$1:$I$89,5,0)</f>
        <v>16.490189563410198</v>
      </c>
      <c r="DQ23" s="13">
        <f t="shared" si="43"/>
        <v>5.4839394069610297</v>
      </c>
      <c r="DR23" s="20">
        <f t="shared" si="16"/>
        <v>38.271607956729881</v>
      </c>
      <c r="DS23" s="59">
        <f t="shared" si="17"/>
        <v>254.78631084362559</v>
      </c>
      <c r="DT23" s="59">
        <f ca="1">AVERAGE(OFFSET($DS$3,0,0,'Données projet'!$E$14+1,1))-AVERAGE(OFFSET($H$3,0,0,'Données projet'!$E$14+1,1))</f>
        <v>441.20130048888439</v>
      </c>
      <c r="DU23" s="59">
        <f t="shared" si="44"/>
        <v>237.47732532183946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0</v>
      </c>
      <c r="EC23" s="21">
        <f>EXP(-LN(2)/2)*EC22+(1-EXP(-LN(2)/2))/(LN(2)/2)*DW23*DZ23*VLOOKUP('Données projet'!$B$14,Paramètres!$A$1:$I$89,3,0)*0.475*44/12</f>
        <v>0</v>
      </c>
      <c r="ED23" s="22">
        <f t="shared" si="18"/>
        <v>0</v>
      </c>
      <c r="EE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>
        <f>VLOOKUP(A23,'Données projet'!$A$191:$I$211,2,0)</f>
        <v>102</v>
      </c>
      <c r="EH23" s="12">
        <f>VLOOKUP(A23,'Données projet'!$A$191:$I$211,9,0)</f>
        <v>13.8</v>
      </c>
      <c r="EI23" s="12">
        <f t="array" ref="EI23">INDEX(EH:EH,MIN(IF(ISNUMBER(EH23:EH219),ROW(EH23:EH219),"")))</f>
        <v>13.8</v>
      </c>
      <c r="EJ23" s="12">
        <f>IF('Données projet'!$A$192&gt;35,EJ22+EI23-ER22,IF(A23&lt;'Données projet'!$A$192,$EG$205^A23,IF(A23='Données projet'!$A$192,'Données projet'!$B$192,EJ22+EI23-ER22)))</f>
        <v>101.99999999999999</v>
      </c>
      <c r="EK23" s="17">
        <f>EJ23*VLOOKUP('Données projet'!$B$15,Paramètres!$A$1:$I$89,3,0)*VLOOKUP('Données projet'!$B$15,Paramètres!$A$1:$I$89,5,0)</f>
        <v>81.151200000000003</v>
      </c>
      <c r="EL23" s="13">
        <f t="shared" si="45"/>
        <v>22.418424032002342</v>
      </c>
      <c r="EM23" s="20">
        <f t="shared" si="19"/>
        <v>180.38376185573739</v>
      </c>
      <c r="EN23" s="59">
        <f t="shared" si="20"/>
        <v>396.89846474263311</v>
      </c>
      <c r="EO23" s="59">
        <f ca="1">AVERAGE(OFFSET($EN$3,0,0,'Données projet'!$E$15+1,1))-AVERAGE(OFFSET($H$3,0,0,'Données projet'!$E$15+1,1))</f>
        <v>377.27600411578322</v>
      </c>
      <c r="EP23" s="59">
        <f t="shared" si="46"/>
        <v>364.58250627635425</v>
      </c>
      <c r="EQ23" s="15">
        <f>IF(ISNA(VLOOKUP(A23,'Données projet'!$A$191:$I$211,3,0)),0,VLOOKUP(A23,'Données projet'!$A$191:$I$211,3,0))</f>
        <v>2</v>
      </c>
      <c r="ER23" s="15">
        <f>IF(ISNA(VLOOKUP(A23,'Données projet'!$A$191:$I$211,4,0)),0,VLOOKUP(A23,'Données projet'!$A$191:$I$211,4,0))</f>
        <v>35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>
        <f>EXP(-LN(2)/35)*EV22+(1-EXP(-LN(2)/35))/(LN(2)/35)*ER23*ES23*VLOOKUP('Données projet'!$B$15,Paramètres!$A$1:$I$89,3,0)*0.475*44/12</f>
        <v>0</v>
      </c>
      <c r="EW23" s="21">
        <f>EXP(-LN(2)/25)*EW22+(1-EXP(-LN(2)/25))/(LN(2)/25)*Calculateur!ER23*Calculateur!ET23*VLOOKUP('Données projet'!$B$15,Paramètres!$A$1:$I$89,3,0)*0.475*44/12</f>
        <v>0</v>
      </c>
      <c r="EX23" s="21">
        <f>EXP(-LN(2)/2)*EX22+(1-EXP(-LN(2)/2))/(LN(2)/2)*ER23*EU23*VLOOKUP('Données projet'!$B$15,Paramètres!$A$1:$I$89,3,0)*0.475*44/12</f>
        <v>0</v>
      </c>
      <c r="EY23" s="22">
        <f t="shared" si="21"/>
        <v>0</v>
      </c>
      <c r="EZ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>
        <f>VLOOKUP(A23,'Données projet'!$A$217:$I$237,2,0)</f>
        <v>102</v>
      </c>
      <c r="FC23" s="12">
        <f>VLOOKUP(A23,'Données projet'!$A$217:$I$237,9,0)</f>
        <v>13.8</v>
      </c>
      <c r="FD23" s="12">
        <f t="array" ref="FD23">INDEX(FC:FC,MIN(IF(ISNUMBER(FC23:FC219),ROW(FC23:FC219),"")))</f>
        <v>13.8</v>
      </c>
      <c r="FE23" s="12">
        <f>IF('Données projet'!$A$218&gt;35,FE22+FD23-FM22,IF(A23&lt;'Données projet'!$A$218,$FB$205^A23,IF(A23='Données projet'!$A$218,'Données projet'!$B$218,FE22+FD23-FM22)))</f>
        <v>101.99999999999999</v>
      </c>
      <c r="FF23" s="17">
        <f>FE23*VLOOKUP('Données projet'!$B$16,Paramètres!$A$1:$I$89,3,0)*VLOOKUP('Données projet'!$B$16,Paramètres!$A$1:$I$89,5,0)</f>
        <v>82.742399999999989</v>
      </c>
      <c r="FG23" s="13">
        <f t="shared" si="47"/>
        <v>22.806394174303204</v>
      </c>
      <c r="FH23" s="20">
        <f t="shared" si="22"/>
        <v>183.83081652024472</v>
      </c>
      <c r="FI23" s="59">
        <f t="shared" si="23"/>
        <v>400.34551940714044</v>
      </c>
      <c r="FJ23" s="59">
        <f ca="1">AVERAGE(OFFSET($FI$3,0,0,'Données projet'!$E$16+1,1))-AVERAGE(OFFSET($H$3,0,0,'Données projet'!$E$16+1,1))</f>
        <v>383.47399633251354</v>
      </c>
      <c r="FK23" s="59">
        <f t="shared" si="48"/>
        <v>370.49129421395628</v>
      </c>
      <c r="FL23" s="15">
        <f>IF(ISNA(VLOOKUP(A23,'Données projet'!$A$217:$I$237,3,0)),0,VLOOKUP(A23,'Données projet'!$A$217:$I$237,3,0))</f>
        <v>2</v>
      </c>
      <c r="FM23" s="15">
        <f>IF(ISNA(VLOOKUP(A23,'Données projet'!$A$217:$I$237,4,0)),0,VLOOKUP(A23,'Données projet'!$A$217:$I$237,4,0))</f>
        <v>35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>
        <f>EXP(-LN(2)/35)*FQ22+(1-EXP(-LN(2)/35))/(LN(2)/35)*FM23*FN23*VLOOKUP('Données projet'!$B$16,Paramètres!$A$1:$I$89,3,0)*0.475*44/12</f>
        <v>0</v>
      </c>
      <c r="FR23" s="21">
        <f>EXP(-LN(2)/25)*FR22+(1-EXP(-LN(2)/25))/(LN(2)/25)*Calculateur!FM23*Calculateur!FO23*VLOOKUP('Données projet'!$B$16,Paramètres!$A$1:$I$89,3,0)*0.475*44/12</f>
        <v>0</v>
      </c>
      <c r="FS23" s="21">
        <f>EXP(-LN(2)/2)*FS22+(1-EXP(-LN(2)/2))/(LN(2)/2)*FM23*FP23*VLOOKUP('Données projet'!$B$16,Paramètres!$A$1:$I$89,3,0)*0.475*44/12</f>
        <v>0</v>
      </c>
      <c r="FT23" s="22">
        <f t="shared" si="24"/>
        <v>0</v>
      </c>
      <c r="FU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4.0628205133333335</v>
      </c>
      <c r="FZ23" s="12">
        <f>IF('Données projet'!$A$244&gt;35,FZ22+FY23-GH22,IF(A23&lt;'Données projet'!$A$244,$FW$205^A23,IF(A23='Données projet'!$A$244,'Données projet'!$B$244,FZ22+FY23-GH22)))</f>
        <v>24.582870547719438</v>
      </c>
      <c r="GA23" s="17">
        <f>FZ23*VLOOKUP('Données projet'!$B$17,Paramètres!$A$1:$I$89,3,0)*VLOOKUP('Données projet'!$B$17,Paramètres!$A$1:$I$89,5,0)</f>
        <v>23.393059613209818</v>
      </c>
      <c r="GB23" s="13">
        <f t="shared" si="49"/>
        <v>7.4692563058356933</v>
      </c>
      <c r="GC23" s="20">
        <f t="shared" si="25"/>
        <v>53.751866892337596</v>
      </c>
      <c r="GD23" s="59">
        <f t="shared" si="26"/>
        <v>270.26656977923329</v>
      </c>
      <c r="GE23" s="59">
        <f ca="1">AVERAGE(OFFSET($GD$3,0,0,'Données projet'!$E$17+1,1))-AVERAGE(OFFSET($H$3,0,0,'Données projet'!$E$17+1,1))</f>
        <v>592.58528889137358</v>
      </c>
      <c r="GF23" s="59">
        <f t="shared" si="50"/>
        <v>311.31528020403709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>
        <f>EXP(-LN(2)/35)*GL22+(1-EXP(-LN(2)/35))/(LN(2)/35)*GH23*GI23*VLOOKUP('Données projet'!$B$17,Paramètres!$A$1:$I$89,3,0)*0.475*44/12</f>
        <v>0</v>
      </c>
      <c r="GM23" s="21">
        <f>EXP(-LN(2)/25)*GM22+(1-EXP(-LN(2)/25))/(LN(2)/25)*Calculateur!GH23*Calculateur!GJ23*VLOOKUP('Données projet'!$B$17,Paramètres!$A$1:$I$89,3,0)*0.475*44/12</f>
        <v>0</v>
      </c>
      <c r="GN23" s="21">
        <f>EXP(-LN(2)/2)*GN22+(1-EXP(-LN(2)/2))/(LN(2)/2)*GH23*GK23*VLOOKUP('Données projet'!$B$17,Paramètres!$A$1:$I$89,3,0)*0.475*44/12</f>
        <v>0</v>
      </c>
      <c r="GO23" s="21">
        <f t="shared" si="27"/>
        <v>0</v>
      </c>
      <c r="GP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>
        <f>VLOOKUP(A23,'Données projet'!$A$269:$I$289,2,0)</f>
        <v>85</v>
      </c>
      <c r="GS23" s="12">
        <f>VLOOKUP(A23,'Données projet'!$A$269:$I$289,9,0)</f>
        <v>9.6</v>
      </c>
      <c r="GT23" s="12">
        <f t="array" ref="GT23">INDEX(GS:GS,MIN(IF(ISNUMBER(GS23:GS219),ROW(GS23:GS219),"")))</f>
        <v>9.6</v>
      </c>
      <c r="GU23" s="12">
        <f>IF('Données projet'!$A$270&gt;35,GU22+GT23-HC22,IF(A23&lt;'Données projet'!$A$270,$GR$205^A23,IF(A23='Données projet'!$A$270,'Données projet'!$B$270,GU22+GT23-HC22)))</f>
        <v>84.999999999999986</v>
      </c>
      <c r="GV23" s="17">
        <f>GU23*VLOOKUP('Données projet'!$B$18,Paramètres!$A$1:$I$89,3,0)*VLOOKUP('Données projet'!$B$18,Paramètres!$A$1:$I$89,5,0)</f>
        <v>66.3</v>
      </c>
      <c r="GW23" s="13">
        <f t="shared" si="51"/>
        <v>18.751733344032118</v>
      </c>
      <c r="GX23" s="20">
        <f t="shared" si="28"/>
        <v>148.13176890752257</v>
      </c>
      <c r="GY23" s="59">
        <f t="shared" si="29"/>
        <v>364.64647179441829</v>
      </c>
      <c r="GZ23" s="59">
        <f ca="1">AVERAGE(OFFSET($GY$3,0,0,'Données projet'!$E$18+1,1))-AVERAGE(OFFSET($H$3,0,0,'Données projet'!$E$18+1,1))</f>
        <v>308.85018589589453</v>
      </c>
      <c r="HA23" s="59">
        <f t="shared" si="52"/>
        <v>302.59481222418219</v>
      </c>
      <c r="HB23" s="15">
        <f>IF(ISNA(VLOOKUP(A23,'Données projet'!$A$269:$I$289,3,0)),0,VLOOKUP(A23,'Données projet'!$A$269:$I$289,3,0))</f>
        <v>2</v>
      </c>
      <c r="HC23" s="15">
        <f>IF(ISNA(VLOOKUP(A23,'Données projet'!$A$269:$I$289,4,0)),0,VLOOKUP(A23,'Données projet'!$A$269:$I$289,4,0))</f>
        <v>25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>
        <f>EXP(-LN(2)/35)*HG22+(1-EXP(-LN(2)/35))/(LN(2)/35)*HC23*HD23*VLOOKUP('Données projet'!$B$18,Paramètres!$A$1:$I$89,3,0)*0.475*44/12</f>
        <v>0</v>
      </c>
      <c r="HH23" s="21">
        <f>EXP(-LN(2)/25)*HH22+(1-EXP(-LN(2)/25))/(LN(2)/25)*Calculateur!HC23*Calculateur!HE23*VLOOKUP('Données projet'!$B$18,Paramètres!$A$1:$I$89,3,0)*0.475*44/12</f>
        <v>0</v>
      </c>
      <c r="HI23" s="21">
        <f>EXP(-LN(2)/2)*HI22+(1-EXP(-LN(2)/2))/(LN(2)/2)*HC23*HF23*VLOOKUP('Données projet'!$B$18,Paramètres!$A$1:$I$89,3,0)*0.475*44/12</f>
        <v>0</v>
      </c>
      <c r="HJ23" s="22">
        <f t="shared" si="30"/>
        <v>0</v>
      </c>
    </row>
    <row r="24" spans="1:218" x14ac:dyDescent="0.35">
      <c r="A24" s="10">
        <f t="shared" si="31"/>
        <v>21</v>
      </c>
      <c r="B24" s="72">
        <f>'Scénario référence'!$B$16*5+'Scénario référence'!$B$17*0+'Scénario référence'!$B$18*5</f>
        <v>5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66">
        <f t="shared" si="1"/>
        <v>183.33333333333334</v>
      </c>
      <c r="I24" s="6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4.0628205133333335</v>
      </c>
      <c r="N24" s="13">
        <f>IF('Données projet'!$A$36&gt;35,N23+M24-V23,IF(A24&lt;'Données projet'!$A$36,$K$205^A24,IF(A24='Données projet'!$A$36,'Données projet'!$B$36,N23+M24-V23)))</f>
        <v>28.851222755348811</v>
      </c>
      <c r="O24" s="13">
        <f>N24*VLOOKUP('Données projet'!$B$9,Paramètres!$A$1:$I$89,3,0)*VLOOKUP('Données projet'!$B$9,Paramètres!$A$1:$I$89,5,0)</f>
        <v>26.104586349039607</v>
      </c>
      <c r="P24" s="13">
        <f t="shared" si="33"/>
        <v>8.2293028130203645</v>
      </c>
      <c r="Q24" s="20">
        <f t="shared" si="2"/>
        <v>59.79819029058779</v>
      </c>
      <c r="R24" s="59">
        <f t="shared" si="0"/>
        <v>278.65571866646218</v>
      </c>
      <c r="S24" s="59">
        <f ca="1">AVERAGE(OFFSET($R$3,0,0,'Données projet'!$E$9+1,1))-AVERAGE(OFFSET($H$3,0,0,'Données projet'!$E$9+1,1))</f>
        <v>567.42635821507474</v>
      </c>
      <c r="T24" s="59">
        <f t="shared" si="34"/>
        <v>299.04735309930152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4.0628205133333335</v>
      </c>
      <c r="AI24" s="13">
        <f>IF('Données projet'!$A$62&gt;35,AI23+AH24-AQ23,IF(A24&lt;'Données projet'!$A$62,$AF$205^A24,IF(A24='Données projet'!$A$62,'Données projet'!$B$62,AI23+AH24-AQ23)))</f>
        <v>28.851222755348811</v>
      </c>
      <c r="AJ24" s="13">
        <f>AI24*VLOOKUP('Données projet'!$B$10,Paramètres!$A$1:$I$89,3,0)*VLOOKUP('Données projet'!$B$10,Paramètres!$A$1:$I$89,5,0)</f>
        <v>29.255139873923696</v>
      </c>
      <c r="AK24" s="13">
        <f t="shared" si="35"/>
        <v>9.1009831466851168</v>
      </c>
      <c r="AL24" s="20">
        <f t="shared" si="4"/>
        <v>66.803580927560347</v>
      </c>
      <c r="AM24" s="59">
        <f t="shared" si="5"/>
        <v>285.66110930343473</v>
      </c>
      <c r="AN24" s="59">
        <f ca="1">AVERAGE(OFFSET($AM$3,0,0,'Données projet'!$E$10+1,1))-AVERAGE(OFFSET($H$3,0,0,'Données projet'!$E$10+1,1))</f>
        <v>626.09203985591455</v>
      </c>
      <c r="AO24" s="59">
        <f t="shared" si="36"/>
        <v>327.65191296575199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8.8000000000000007</v>
      </c>
      <c r="BD24" s="12">
        <f>IF('Données projet'!$A$88&gt;35,BD23+BC24-BL23,IF(A24&lt;'Données projet'!$A$88,$BA$205^A24,IF(A24='Données projet'!$A$88,'Données projet'!$B$88,BD23+BC24-BL23)))</f>
        <v>40.799999999999997</v>
      </c>
      <c r="BE24" s="13">
        <f>BD24*VLOOKUP('Données projet'!$B$11,Paramètres!$A$1:$I$89,3,0)*VLOOKUP('Données projet'!$B$11,Paramètres!$A$1:$I$89,5,0)</f>
        <v>35.006400000000006</v>
      </c>
      <c r="BF24" s="13">
        <f t="shared" si="37"/>
        <v>10.664997365847841</v>
      </c>
      <c r="BG24" s="20">
        <f t="shared" si="7"/>
        <v>79.544350412184983</v>
      </c>
      <c r="BH24" s="59">
        <f t="shared" si="8"/>
        <v>298.40187878805938</v>
      </c>
      <c r="BI24" s="59">
        <f ca="1">AVERAGE(OFFSET($BH$3,0,0,'Données projet'!$E$11+1,1))-AVERAGE(OFFSET($H$3,0,0,'Données projet'!$E$11+1,1))</f>
        <v>481.23392184981651</v>
      </c>
      <c r="BJ24" s="59">
        <f t="shared" si="38"/>
        <v>275.88160405468193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4.8773333333333335</v>
      </c>
      <c r="BY24" s="12">
        <f>IF('Données projet'!$A$114&gt;35,BY23+BX24-CG23,IF(A24&lt;'Données projet'!$A$114,$BV$205^A24,IF(A24='Données projet'!$A$114,'Données projet'!$B$114,BY23+BX24-CG23)))</f>
        <v>32.787823209778814</v>
      </c>
      <c r="BZ24" s="13">
        <f>BY24*VLOOKUP('Données projet'!$B$12,Paramètres!$A$1:$I$89,3,0)*VLOOKUP('Données projet'!$B$12,Paramètres!$A$1:$I$89,5,0)</f>
        <v>15.344701262176484</v>
      </c>
      <c r="CA24" s="13">
        <f t="shared" si="39"/>
        <v>5.1459426345120232</v>
      </c>
      <c r="CB24" s="20">
        <f t="shared" si="10"/>
        <v>35.687871453399147</v>
      </c>
      <c r="CC24" s="59">
        <f t="shared" si="11"/>
        <v>254.54539982927352</v>
      </c>
      <c r="CD24" s="59">
        <f ca="1">AVERAGE(OFFSET($CC$3,0,0,'Données projet'!$E$12+1,1))-AVERAGE(OFFSET($H$3,0,0,'Données projet'!$E$12+1,1))</f>
        <v>331.86732359395467</v>
      </c>
      <c r="CE24" s="59">
        <f t="shared" si="40"/>
        <v>208.64489375183106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14.8</v>
      </c>
      <c r="CT24" s="12">
        <f>IF('Données projet'!$A$140&gt;35,CT23+CS24-DB23,IF(A24&lt;'Données projet'!$A$140,$CQ$205^A24,IF(A24='Données projet'!$A$140,'Données projet'!$B$140,CT23+CS24-DB23)))</f>
        <v>81.799999999999983</v>
      </c>
      <c r="CU24" s="17">
        <f>CT24*VLOOKUP('Données projet'!$B$13,Paramètres!$A$1:$I$89,3,0)*VLOOKUP('Données projet'!$B$13,Paramètres!$A$1:$I$89,5,0)</f>
        <v>59.975759999999987</v>
      </c>
      <c r="CV24" s="13">
        <f t="shared" si="41"/>
        <v>17.162140235844557</v>
      </c>
      <c r="CW24" s="20">
        <f t="shared" si="13"/>
        <v>134.34850957742924</v>
      </c>
      <c r="CX24" s="59">
        <f t="shared" si="14"/>
        <v>353.20603795330362</v>
      </c>
      <c r="CY24" s="59">
        <f ca="1">AVERAGE(OFFSET($CX$3,0,0,'Données projet'!$E$13+1,1))-AVERAGE(OFFSET($H$3,0,0,'Données projet'!$E$13+1,1))</f>
        <v>352.45777291109863</v>
      </c>
      <c r="CZ24" s="59">
        <f t="shared" si="42"/>
        <v>340.92165104349181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0</v>
      </c>
      <c r="DJ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4.0628205133333335</v>
      </c>
      <c r="DO24" s="12">
        <f>IF('Données projet'!$A$166&gt;35,DO23+DN24-DW23,IF(A24&lt;'Données projet'!$A$166,$DL$205^A24,IF(A24='Données projet'!$A$166,'Données projet'!$B$166,DO23+DN24-DW23)))</f>
        <v>28.851222755348811</v>
      </c>
      <c r="DP24" s="17">
        <f>DO24*VLOOKUP('Données projet'!$B$14,Paramètres!$A$1:$I$89,3,0)*VLOOKUP('Données projet'!$B$14,Paramètres!$A$1:$I$89,5,0)</f>
        <v>19.353400224287981</v>
      </c>
      <c r="DQ24" s="13">
        <f t="shared" si="43"/>
        <v>6.3172897321528065</v>
      </c>
      <c r="DR24" s="20">
        <f t="shared" si="16"/>
        <v>44.709785007467708</v>
      </c>
      <c r="DS24" s="59">
        <f t="shared" si="17"/>
        <v>263.56731338334208</v>
      </c>
      <c r="DT24" s="59">
        <f ca="1">AVERAGE(OFFSET($DS$3,0,0,'Données projet'!$E$14+1,1))-AVERAGE(OFFSET($H$3,0,0,'Données projet'!$E$14+1,1))</f>
        <v>441.20130048888439</v>
      </c>
      <c r="DU24" s="59">
        <f t="shared" si="44"/>
        <v>237.47732532183946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0</v>
      </c>
      <c r="EC24" s="21">
        <f>EXP(-LN(2)/2)*EC23+(1-EXP(-LN(2)/2))/(LN(2)/2)*DW24*DZ24*VLOOKUP('Données projet'!$B$14,Paramètres!$A$1:$I$89,3,0)*0.475*44/12</f>
        <v>0</v>
      </c>
      <c r="ED24" s="22">
        <f t="shared" si="18"/>
        <v>0</v>
      </c>
      <c r="EE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14.8</v>
      </c>
      <c r="EJ24" s="12">
        <f>IF('Données projet'!$A$192&gt;35,EJ23+EI24-ER23,IF(A24&lt;'Données projet'!$A$192,$EG$205^A24,IF(A24='Données projet'!$A$192,'Données projet'!$B$192,EJ23+EI24-ER23)))</f>
        <v>81.799999999999983</v>
      </c>
      <c r="EK24" s="17">
        <f>EJ24*VLOOKUP('Données projet'!$B$15,Paramètres!$A$1:$I$89,3,0)*VLOOKUP('Données projet'!$B$15,Paramètres!$A$1:$I$89,5,0)</f>
        <v>65.080079999999981</v>
      </c>
      <c r="EL24" s="13">
        <f t="shared" si="45"/>
        <v>18.44653442602603</v>
      </c>
      <c r="EM24" s="20">
        <f t="shared" si="19"/>
        <v>145.47552012532864</v>
      </c>
      <c r="EN24" s="59">
        <f t="shared" si="20"/>
        <v>364.33304850120305</v>
      </c>
      <c r="EO24" s="59">
        <f ca="1">AVERAGE(OFFSET($EN$3,0,0,'Données projet'!$E$15+1,1))-AVERAGE(OFFSET($H$3,0,0,'Données projet'!$E$15+1,1))</f>
        <v>377.27600411578322</v>
      </c>
      <c r="EP24" s="59">
        <f t="shared" si="46"/>
        <v>364.58250627635425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>
        <f>EXP(-LN(2)/35)*EV23+(1-EXP(-LN(2)/35))/(LN(2)/35)*ER24*ES24*VLOOKUP('Données projet'!$B$15,Paramètres!$A$1:$I$89,3,0)*0.475*44/12</f>
        <v>0</v>
      </c>
      <c r="EW24" s="21">
        <f>EXP(-LN(2)/25)*EW23+(1-EXP(-LN(2)/25))/(LN(2)/25)*Calculateur!ER24*Calculateur!ET24*VLOOKUP('Données projet'!$B$15,Paramètres!$A$1:$I$89,3,0)*0.475*44/12</f>
        <v>0</v>
      </c>
      <c r="EX24" s="21">
        <f>EXP(-LN(2)/2)*EX23+(1-EXP(-LN(2)/2))/(LN(2)/2)*ER24*EU24*VLOOKUP('Données projet'!$B$15,Paramètres!$A$1:$I$89,3,0)*0.475*44/12</f>
        <v>0</v>
      </c>
      <c r="EY24" s="22">
        <f t="shared" si="21"/>
        <v>0</v>
      </c>
      <c r="EZ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14.8</v>
      </c>
      <c r="FE24" s="12">
        <f>IF('Données projet'!$A$218&gt;35,FE23+FD24-FM23,IF(A24&lt;'Données projet'!$A$218,$FB$205^A24,IF(A24='Données projet'!$A$218,'Données projet'!$B$218,FE23+FD24-FM23)))</f>
        <v>81.799999999999983</v>
      </c>
      <c r="FF24" s="17">
        <f>FE24*VLOOKUP('Données projet'!$B$16,Paramètres!$A$1:$I$89,3,0)*VLOOKUP('Données projet'!$B$16,Paramètres!$A$1:$I$89,5,0)</f>
        <v>66.356159999999988</v>
      </c>
      <c r="FG24" s="13">
        <f t="shared" si="47"/>
        <v>18.765767596743419</v>
      </c>
      <c r="FH24" s="20">
        <f t="shared" si="22"/>
        <v>148.25402389766143</v>
      </c>
      <c r="FI24" s="59">
        <f t="shared" si="23"/>
        <v>367.11155227353584</v>
      </c>
      <c r="FJ24" s="59">
        <f ca="1">AVERAGE(OFFSET($FI$3,0,0,'Données projet'!$E$16+1,1))-AVERAGE(OFFSET($H$3,0,0,'Données projet'!$E$16+1,1))</f>
        <v>383.47399633251354</v>
      </c>
      <c r="FK24" s="59">
        <f t="shared" si="48"/>
        <v>370.49129421395628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>
        <f>EXP(-LN(2)/35)*FQ23+(1-EXP(-LN(2)/35))/(LN(2)/35)*FM24*FN24*VLOOKUP('Données projet'!$B$16,Paramètres!$A$1:$I$89,3,0)*0.475*44/12</f>
        <v>0</v>
      </c>
      <c r="FR24" s="21">
        <f>EXP(-LN(2)/25)*FR23+(1-EXP(-LN(2)/25))/(LN(2)/25)*Calculateur!FM24*Calculateur!FO24*VLOOKUP('Données projet'!$B$16,Paramètres!$A$1:$I$89,3,0)*0.475*44/12</f>
        <v>0</v>
      </c>
      <c r="FS24" s="21">
        <f>EXP(-LN(2)/2)*FS23+(1-EXP(-LN(2)/2))/(LN(2)/2)*FM24*FP24*VLOOKUP('Données projet'!$B$16,Paramètres!$A$1:$I$89,3,0)*0.475*44/12</f>
        <v>0</v>
      </c>
      <c r="FT24" s="22">
        <f t="shared" si="24"/>
        <v>0</v>
      </c>
      <c r="FU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4.0628205133333335</v>
      </c>
      <c r="FZ24" s="12">
        <f>IF('Données projet'!$A$244&gt;35,FZ23+FY24-GH23,IF(A24&lt;'Données projet'!$A$244,$FW$205^A24,IF(A24='Données projet'!$A$244,'Données projet'!$B$244,FZ23+FY24-GH23)))</f>
        <v>28.851222755348811</v>
      </c>
      <c r="GA24" s="17">
        <f>FZ24*VLOOKUP('Données projet'!$B$17,Paramètres!$A$1:$I$89,3,0)*VLOOKUP('Données projet'!$B$17,Paramètres!$A$1:$I$89,5,0)</f>
        <v>27.454823573989927</v>
      </c>
      <c r="GB24" s="13">
        <f t="shared" si="49"/>
        <v>8.6042993304737561</v>
      </c>
      <c r="GC24" s="20">
        <f t="shared" si="25"/>
        <v>62.802972391940919</v>
      </c>
      <c r="GD24" s="59">
        <f t="shared" si="26"/>
        <v>281.66050076781528</v>
      </c>
      <c r="GE24" s="59">
        <f ca="1">AVERAGE(OFFSET($GD$3,0,0,'Données projet'!$E$17+1,1))-AVERAGE(OFFSET($H$3,0,0,'Données projet'!$E$17+1,1))</f>
        <v>592.58528889137358</v>
      </c>
      <c r="GF24" s="59">
        <f t="shared" si="50"/>
        <v>311.31528020403709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>
        <f>EXP(-LN(2)/35)*GL23+(1-EXP(-LN(2)/35))/(LN(2)/35)*GH24*GI24*VLOOKUP('Données projet'!$B$17,Paramètres!$A$1:$I$89,3,0)*0.475*44/12</f>
        <v>0</v>
      </c>
      <c r="GM24" s="21">
        <f>EXP(-LN(2)/25)*GM23+(1-EXP(-LN(2)/25))/(LN(2)/25)*Calculateur!GH24*Calculateur!GJ24*VLOOKUP('Données projet'!$B$17,Paramètres!$A$1:$I$89,3,0)*0.475*44/12</f>
        <v>0</v>
      </c>
      <c r="GN24" s="21">
        <f>EXP(-LN(2)/2)*GN23+(1-EXP(-LN(2)/2))/(LN(2)/2)*GH24*GK24*VLOOKUP('Données projet'!$B$17,Paramètres!$A$1:$I$89,3,0)*0.475*44/12</f>
        <v>0</v>
      </c>
      <c r="GO24" s="21">
        <f t="shared" si="27"/>
        <v>0</v>
      </c>
      <c r="GP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10.6</v>
      </c>
      <c r="GU24" s="12">
        <f>IF('Données projet'!$A$270&gt;35,GU23+GT24-HC23,IF(A24&lt;'Données projet'!$A$270,$GR$205^A24,IF(A24='Données projet'!$A$270,'Données projet'!$B$270,GU23+GT24-HC23)))</f>
        <v>70.59999999999998</v>
      </c>
      <c r="GV24" s="17">
        <f>GU24*VLOOKUP('Données projet'!$B$18,Paramètres!$A$1:$I$89,3,0)*VLOOKUP('Données projet'!$B$18,Paramètres!$A$1:$I$89,5,0)</f>
        <v>55.067999999999984</v>
      </c>
      <c r="GW24" s="13">
        <f t="shared" si="51"/>
        <v>15.915148294580479</v>
      </c>
      <c r="GX24" s="20">
        <f t="shared" si="28"/>
        <v>123.62898327972762</v>
      </c>
      <c r="GY24" s="59">
        <f t="shared" si="29"/>
        <v>342.48651165560199</v>
      </c>
      <c r="GZ24" s="59">
        <f ca="1">AVERAGE(OFFSET($GY$3,0,0,'Données projet'!$E$18+1,1))-AVERAGE(OFFSET($H$3,0,0,'Données projet'!$E$18+1,1))</f>
        <v>308.85018589589453</v>
      </c>
      <c r="HA24" s="59">
        <f t="shared" si="52"/>
        <v>302.59481222418219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>
        <f>EXP(-LN(2)/35)*HG23+(1-EXP(-LN(2)/35))/(LN(2)/35)*HC24*HD24*VLOOKUP('Données projet'!$B$18,Paramètres!$A$1:$I$89,3,0)*0.475*44/12</f>
        <v>0</v>
      </c>
      <c r="HH24" s="21">
        <f>EXP(-LN(2)/25)*HH23+(1-EXP(-LN(2)/25))/(LN(2)/25)*Calculateur!HC24*Calculateur!HE24*VLOOKUP('Données projet'!$B$18,Paramètres!$A$1:$I$89,3,0)*0.475*44/12</f>
        <v>0</v>
      </c>
      <c r="HI24" s="21">
        <f>EXP(-LN(2)/2)*HI23+(1-EXP(-LN(2)/2))/(LN(2)/2)*HC24*HF24*VLOOKUP('Données projet'!$B$18,Paramètres!$A$1:$I$89,3,0)*0.475*44/12</f>
        <v>0</v>
      </c>
      <c r="HJ24" s="22">
        <f t="shared" si="30"/>
        <v>0</v>
      </c>
    </row>
    <row r="25" spans="1:218" x14ac:dyDescent="0.35">
      <c r="A25" s="10">
        <f t="shared" si="31"/>
        <v>22</v>
      </c>
      <c r="B25" s="72">
        <f>'Scénario référence'!$B$16*5+'Scénario référence'!$B$17*0+'Scénario référence'!$B$18*5</f>
        <v>5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66">
        <f t="shared" si="1"/>
        <v>183.33333333333334</v>
      </c>
      <c r="I25" s="6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4.0628205133333335</v>
      </c>
      <c r="N25" s="13">
        <f>IF('Données projet'!$A$36&gt;35,N24+M25-V24,IF(A25&lt;'Données projet'!$A$36,$K$205^A25,IF(A25='Données projet'!$A$36,'Données projet'!$B$36,N24+M25-V24)))</f>
        <v>33.860693886946351</v>
      </c>
      <c r="O25" s="13">
        <f>N25*VLOOKUP('Données projet'!$B$9,Paramètres!$A$1:$I$89,3,0)*VLOOKUP('Données projet'!$B$9,Paramètres!$A$1:$I$89,5,0)</f>
        <v>30.637155828909059</v>
      </c>
      <c r="P25" s="13">
        <f t="shared" si="33"/>
        <v>9.4798440145929224</v>
      </c>
      <c r="Q25" s="20">
        <f t="shared" si="2"/>
        <v>69.870441394099274</v>
      </c>
      <c r="R25" s="59">
        <f t="shared" si="0"/>
        <v>291.05135529756768</v>
      </c>
      <c r="S25" s="59">
        <f ca="1">AVERAGE(OFFSET($R$3,0,0,'Données projet'!$E$9+1,1))-AVERAGE(OFFSET($H$3,0,0,'Données projet'!$E$9+1,1))</f>
        <v>567.42635821507474</v>
      </c>
      <c r="T25" s="59">
        <f t="shared" si="34"/>
        <v>299.04735309930152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4.0628205133333335</v>
      </c>
      <c r="AI25" s="13">
        <f>IF('Données projet'!$A$62&gt;35,AI24+AH25-AQ24,IF(A25&lt;'Données projet'!$A$62,$AF$205^A25,IF(A25='Données projet'!$A$62,'Données projet'!$B$62,AI24+AH25-AQ24)))</f>
        <v>33.860693886946351</v>
      </c>
      <c r="AJ25" s="13">
        <f>AI25*VLOOKUP('Données projet'!$B$10,Paramètres!$A$1:$I$89,3,0)*VLOOKUP('Données projet'!$B$10,Paramètres!$A$1:$I$89,5,0)</f>
        <v>34.334743601363606</v>
      </c>
      <c r="AK25" s="13">
        <f t="shared" si="35"/>
        <v>10.483986623205627</v>
      </c>
      <c r="AL25" s="20">
        <f t="shared" si="4"/>
        <v>78.059288474458086</v>
      </c>
      <c r="AM25" s="59">
        <f t="shared" si="5"/>
        <v>299.24020237792649</v>
      </c>
      <c r="AN25" s="59">
        <f ca="1">AVERAGE(OFFSET($AM$3,0,0,'Données projet'!$E$10+1,1))-AVERAGE(OFFSET($H$3,0,0,'Données projet'!$E$10+1,1))</f>
        <v>626.09203985591455</v>
      </c>
      <c r="AO25" s="59">
        <f t="shared" si="36"/>
        <v>327.65191296575199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8.8000000000000007</v>
      </c>
      <c r="BD25" s="12">
        <f>IF('Données projet'!$A$88&gt;35,BD24+BC25-BL24,IF(A25&lt;'Données projet'!$A$88,$BA$205^A25,IF(A25='Données projet'!$A$88,'Données projet'!$B$88,BD24+BC25-BL24)))</f>
        <v>49.599999999999994</v>
      </c>
      <c r="BE25" s="13">
        <f>BD25*VLOOKUP('Données projet'!$B$11,Paramètres!$A$1:$I$89,3,0)*VLOOKUP('Données projet'!$B$11,Paramètres!$A$1:$I$89,5,0)</f>
        <v>42.556799999999996</v>
      </c>
      <c r="BF25" s="13">
        <f t="shared" si="37"/>
        <v>12.673863978067095</v>
      </c>
      <c r="BG25" s="20">
        <f t="shared" si="7"/>
        <v>96.193406428466844</v>
      </c>
      <c r="BH25" s="59">
        <f t="shared" si="8"/>
        <v>317.37432033193522</v>
      </c>
      <c r="BI25" s="59">
        <f ca="1">AVERAGE(OFFSET($BH$3,0,0,'Données projet'!$E$11+1,1))-AVERAGE(OFFSET($H$3,0,0,'Données projet'!$E$11+1,1))</f>
        <v>481.23392184981651</v>
      </c>
      <c r="BJ25" s="59">
        <f t="shared" si="38"/>
        <v>275.88160405468193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4.8773333333333335</v>
      </c>
      <c r="BY25" s="12">
        <f>IF('Données projet'!$A$114&gt;35,BY24+BX25-CG24,IF(A25&lt;'Données projet'!$A$114,$BV$205^A25,IF(A25='Données projet'!$A$114,'Données projet'!$B$114,BY24+BX25-CG24)))</f>
        <v>38.715901340416693</v>
      </c>
      <c r="BZ25" s="13">
        <f>BY25*VLOOKUP('Données projet'!$B$12,Paramètres!$A$1:$I$89,3,0)*VLOOKUP('Données projet'!$B$12,Paramètres!$A$1:$I$89,5,0)</f>
        <v>18.119041827315012</v>
      </c>
      <c r="CA25" s="13">
        <f t="shared" si="39"/>
        <v>5.9599189253148284</v>
      </c>
      <c r="CB25" s="20">
        <f t="shared" si="10"/>
        <v>41.937523310830301</v>
      </c>
      <c r="CC25" s="59">
        <f t="shared" si="11"/>
        <v>263.11843721429869</v>
      </c>
      <c r="CD25" s="59">
        <f ca="1">AVERAGE(OFFSET($CC$3,0,0,'Données projet'!$E$12+1,1))-AVERAGE(OFFSET($H$3,0,0,'Données projet'!$E$12+1,1))</f>
        <v>331.86732359395467</v>
      </c>
      <c r="CE25" s="59">
        <f t="shared" si="40"/>
        <v>208.64489375183106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14.8</v>
      </c>
      <c r="CT25" s="12">
        <f>IF('Données projet'!$A$140&gt;35,CT24+CS25-DB24,IF(A25&lt;'Données projet'!$A$140,$CQ$205^A25,IF(A25='Données projet'!$A$140,'Données projet'!$B$140,CT24+CS25-DB24)))</f>
        <v>96.59999999999998</v>
      </c>
      <c r="CU25" s="17">
        <f>CT25*VLOOKUP('Données projet'!$B$13,Paramètres!$A$1:$I$89,3,0)*VLOOKUP('Données projet'!$B$13,Paramètres!$A$1:$I$89,5,0)</f>
        <v>70.827119999999979</v>
      </c>
      <c r="CV25" s="13">
        <f t="shared" si="41"/>
        <v>19.878719982140016</v>
      </c>
      <c r="CW25" s="20">
        <f t="shared" si="13"/>
        <v>157.97933796889382</v>
      </c>
      <c r="CX25" s="59">
        <f t="shared" si="14"/>
        <v>379.16025187236221</v>
      </c>
      <c r="CY25" s="59">
        <f ca="1">AVERAGE(OFFSET($CX$3,0,0,'Données projet'!$E$13+1,1))-AVERAGE(OFFSET($H$3,0,0,'Données projet'!$E$13+1,1))</f>
        <v>352.45777291109863</v>
      </c>
      <c r="CZ25" s="59">
        <f t="shared" si="42"/>
        <v>340.92165104349181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</v>
      </c>
      <c r="DH25" s="21">
        <f>EXP(-LN(2)/2)*DH24+(1-EXP(-LN(2)/2))/(LN(2)/2)*DB25*DE25*VLOOKUP('Données projet'!$B$13,Paramètres!$A$1:$I$89,3,0)*0.475*44/12</f>
        <v>0</v>
      </c>
      <c r="DI25" s="22">
        <f t="shared" si="15"/>
        <v>0</v>
      </c>
      <c r="DJ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4.0628205133333335</v>
      </c>
      <c r="DO25" s="12">
        <f>IF('Données projet'!$A$166&gt;35,DO24+DN25-DW24,IF(A25&lt;'Données projet'!$A$166,$DL$205^A25,IF(A25='Données projet'!$A$166,'Données projet'!$B$166,DO24+DN25-DW24)))</f>
        <v>33.860693886946351</v>
      </c>
      <c r="DP25" s="17">
        <f>DO25*VLOOKUP('Données projet'!$B$14,Paramètres!$A$1:$I$89,3,0)*VLOOKUP('Données projet'!$B$14,Paramètres!$A$1:$I$89,5,0)</f>
        <v>22.713753459363613</v>
      </c>
      <c r="DQ25" s="13">
        <f t="shared" si="43"/>
        <v>7.2772776280689673</v>
      </c>
      <c r="DR25" s="20">
        <f t="shared" si="16"/>
        <v>52.23437914394507</v>
      </c>
      <c r="DS25" s="59">
        <f t="shared" si="17"/>
        <v>273.41529304741346</v>
      </c>
      <c r="DT25" s="59">
        <f ca="1">AVERAGE(OFFSET($DS$3,0,0,'Données projet'!$E$14+1,1))-AVERAGE(OFFSET($H$3,0,0,'Données projet'!$E$14+1,1))</f>
        <v>441.20130048888439</v>
      </c>
      <c r="DU25" s="59">
        <f t="shared" si="44"/>
        <v>237.47732532183946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0</v>
      </c>
      <c r="EC25" s="21">
        <f>EXP(-LN(2)/2)*EC24+(1-EXP(-LN(2)/2))/(LN(2)/2)*DW25*DZ25*VLOOKUP('Données projet'!$B$14,Paramètres!$A$1:$I$89,3,0)*0.475*44/12</f>
        <v>0</v>
      </c>
      <c r="ED25" s="22">
        <f t="shared" si="18"/>
        <v>0</v>
      </c>
      <c r="EE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14.8</v>
      </c>
      <c r="EJ25" s="12">
        <f>IF('Données projet'!$A$192&gt;35,EJ24+EI25-ER24,IF(A25&lt;'Données projet'!$A$192,$EG$205^A25,IF(A25='Données projet'!$A$192,'Données projet'!$B$192,EJ24+EI25-ER24)))</f>
        <v>96.59999999999998</v>
      </c>
      <c r="EK25" s="17">
        <f>EJ25*VLOOKUP('Données projet'!$B$15,Paramètres!$A$1:$I$89,3,0)*VLOOKUP('Données projet'!$B$15,Paramètres!$A$1:$I$89,5,0)</f>
        <v>76.854959999999991</v>
      </c>
      <c r="EL25" s="13">
        <f t="shared" si="45"/>
        <v>21.366419773799993</v>
      </c>
      <c r="EM25" s="20">
        <f t="shared" si="19"/>
        <v>171.06890310603498</v>
      </c>
      <c r="EN25" s="59">
        <f t="shared" si="20"/>
        <v>392.24981700950337</v>
      </c>
      <c r="EO25" s="59">
        <f ca="1">AVERAGE(OFFSET($EN$3,0,0,'Données projet'!$E$15+1,1))-AVERAGE(OFFSET($H$3,0,0,'Données projet'!$E$15+1,1))</f>
        <v>377.27600411578322</v>
      </c>
      <c r="EP25" s="59">
        <f t="shared" si="46"/>
        <v>364.58250627635425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>
        <f>EXP(-LN(2)/35)*EV24+(1-EXP(-LN(2)/35))/(LN(2)/35)*ER25*ES25*VLOOKUP('Données projet'!$B$15,Paramètres!$A$1:$I$89,3,0)*0.475*44/12</f>
        <v>0</v>
      </c>
      <c r="EW25" s="21">
        <f>EXP(-LN(2)/25)*EW24+(1-EXP(-LN(2)/25))/(LN(2)/25)*Calculateur!ER25*Calculateur!ET25*VLOOKUP('Données projet'!$B$15,Paramètres!$A$1:$I$89,3,0)*0.475*44/12</f>
        <v>0</v>
      </c>
      <c r="EX25" s="21">
        <f>EXP(-LN(2)/2)*EX24+(1-EXP(-LN(2)/2))/(LN(2)/2)*ER25*EU25*VLOOKUP('Données projet'!$B$15,Paramètres!$A$1:$I$89,3,0)*0.475*44/12</f>
        <v>0</v>
      </c>
      <c r="EY25" s="22">
        <f t="shared" si="21"/>
        <v>0</v>
      </c>
      <c r="EZ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14.8</v>
      </c>
      <c r="FE25" s="12">
        <f>IF('Données projet'!$A$218&gt;35,FE24+FD25-FM24,IF(A25&lt;'Données projet'!$A$218,$FB$205^A25,IF(A25='Données projet'!$A$218,'Données projet'!$B$218,FE24+FD25-FM24)))</f>
        <v>96.59999999999998</v>
      </c>
      <c r="FF25" s="17">
        <f>FE25*VLOOKUP('Données projet'!$B$16,Paramètres!$A$1:$I$89,3,0)*VLOOKUP('Données projet'!$B$16,Paramètres!$A$1:$I$89,5,0)</f>
        <v>78.361919999999984</v>
      </c>
      <c r="FG25" s="13">
        <f t="shared" si="47"/>
        <v>21.736184076066191</v>
      </c>
      <c r="FH25" s="20">
        <f t="shared" si="22"/>
        <v>174.33753126581527</v>
      </c>
      <c r="FI25" s="59">
        <f t="shared" si="23"/>
        <v>395.51844516928367</v>
      </c>
      <c r="FJ25" s="59">
        <f ca="1">AVERAGE(OFFSET($FI$3,0,0,'Données projet'!$E$16+1,1))-AVERAGE(OFFSET($H$3,0,0,'Données projet'!$E$16+1,1))</f>
        <v>383.47399633251354</v>
      </c>
      <c r="FK25" s="59">
        <f t="shared" si="48"/>
        <v>370.49129421395628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>
        <f>EXP(-LN(2)/35)*FQ24+(1-EXP(-LN(2)/35))/(LN(2)/35)*FM25*FN25*VLOOKUP('Données projet'!$B$16,Paramètres!$A$1:$I$89,3,0)*0.475*44/12</f>
        <v>0</v>
      </c>
      <c r="FR25" s="21">
        <f>EXP(-LN(2)/25)*FR24+(1-EXP(-LN(2)/25))/(LN(2)/25)*Calculateur!FM25*Calculateur!FO25*VLOOKUP('Données projet'!$B$16,Paramètres!$A$1:$I$89,3,0)*0.475*44/12</f>
        <v>0</v>
      </c>
      <c r="FS25" s="21">
        <f>EXP(-LN(2)/2)*FS24+(1-EXP(-LN(2)/2))/(LN(2)/2)*FM25*FP25*VLOOKUP('Données projet'!$B$16,Paramètres!$A$1:$I$89,3,0)*0.475*44/12</f>
        <v>0</v>
      </c>
      <c r="FT25" s="22">
        <f t="shared" si="24"/>
        <v>0</v>
      </c>
      <c r="FU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4.0628205133333335</v>
      </c>
      <c r="FZ25" s="12">
        <f>IF('Données projet'!$A$244&gt;35,FZ24+FY25-GH24,IF(A25&lt;'Données projet'!$A$244,$FW$205^A25,IF(A25='Données projet'!$A$244,'Données projet'!$B$244,FZ24+FY25-GH24)))</f>
        <v>33.860693886946351</v>
      </c>
      <c r="GA25" s="17">
        <f>FZ25*VLOOKUP('Données projet'!$B$17,Paramètres!$A$1:$I$89,3,0)*VLOOKUP('Données projet'!$B$17,Paramètres!$A$1:$I$89,5,0)</f>
        <v>32.221836302818147</v>
      </c>
      <c r="GB25" s="13">
        <f t="shared" si="49"/>
        <v>9.9118257477051337</v>
      </c>
      <c r="GC25" s="20">
        <f t="shared" si="25"/>
        <v>73.382794737994715</v>
      </c>
      <c r="GD25" s="59">
        <f t="shared" si="26"/>
        <v>294.56370864146311</v>
      </c>
      <c r="GE25" s="59">
        <f ca="1">AVERAGE(OFFSET($GD$3,0,0,'Données projet'!$E$17+1,1))-AVERAGE(OFFSET($H$3,0,0,'Données projet'!$E$17+1,1))</f>
        <v>592.58528889137358</v>
      </c>
      <c r="GF25" s="59">
        <f t="shared" si="50"/>
        <v>311.31528020403709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>
        <f>EXP(-LN(2)/35)*GL24+(1-EXP(-LN(2)/35))/(LN(2)/35)*GH25*GI25*VLOOKUP('Données projet'!$B$17,Paramètres!$A$1:$I$89,3,0)*0.475*44/12</f>
        <v>0</v>
      </c>
      <c r="GM25" s="21">
        <f>EXP(-LN(2)/25)*GM24+(1-EXP(-LN(2)/25))/(LN(2)/25)*Calculateur!GH25*Calculateur!GJ25*VLOOKUP('Données projet'!$B$17,Paramètres!$A$1:$I$89,3,0)*0.475*44/12</f>
        <v>0</v>
      </c>
      <c r="GN25" s="21">
        <f>EXP(-LN(2)/2)*GN24+(1-EXP(-LN(2)/2))/(LN(2)/2)*GH25*GK25*VLOOKUP('Données projet'!$B$17,Paramètres!$A$1:$I$89,3,0)*0.475*44/12</f>
        <v>0</v>
      </c>
      <c r="GO25" s="21">
        <f t="shared" si="27"/>
        <v>0</v>
      </c>
      <c r="GP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10.6</v>
      </c>
      <c r="GU25" s="12">
        <f>IF('Données projet'!$A$270&gt;35,GU24+GT25-HC24,IF(A25&lt;'Données projet'!$A$270,$GR$205^A25,IF(A25='Données projet'!$A$270,'Données projet'!$B$270,GU24+GT25-HC24)))</f>
        <v>81.199999999999974</v>
      </c>
      <c r="GV25" s="17">
        <f>GU25*VLOOKUP('Données projet'!$B$18,Paramètres!$A$1:$I$89,3,0)*VLOOKUP('Données projet'!$B$18,Paramètres!$A$1:$I$89,5,0)</f>
        <v>63.335999999999984</v>
      </c>
      <c r="GW25" s="13">
        <f t="shared" si="51"/>
        <v>18.009040022946227</v>
      </c>
      <c r="GX25" s="20">
        <f t="shared" si="28"/>
        <v>141.67594470663133</v>
      </c>
      <c r="GY25" s="59">
        <f t="shared" si="29"/>
        <v>362.85685861009972</v>
      </c>
      <c r="GZ25" s="59">
        <f ca="1">AVERAGE(OFFSET($GY$3,0,0,'Données projet'!$E$18+1,1))-AVERAGE(OFFSET($H$3,0,0,'Données projet'!$E$18+1,1))</f>
        <v>308.85018589589453</v>
      </c>
      <c r="HA25" s="59">
        <f t="shared" si="52"/>
        <v>302.59481222418219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>
        <f>EXP(-LN(2)/35)*HG24+(1-EXP(-LN(2)/35))/(LN(2)/35)*HC25*HD25*VLOOKUP('Données projet'!$B$18,Paramètres!$A$1:$I$89,3,0)*0.475*44/12</f>
        <v>0</v>
      </c>
      <c r="HH25" s="21">
        <f>EXP(-LN(2)/25)*HH24+(1-EXP(-LN(2)/25))/(LN(2)/25)*Calculateur!HC25*Calculateur!HE25*VLOOKUP('Données projet'!$B$18,Paramètres!$A$1:$I$89,3,0)*0.475*44/12</f>
        <v>0</v>
      </c>
      <c r="HI25" s="21">
        <f>EXP(-LN(2)/2)*HI24+(1-EXP(-LN(2)/2))/(LN(2)/2)*HC25*HF25*VLOOKUP('Données projet'!$B$18,Paramètres!$A$1:$I$89,3,0)*0.475*44/12</f>
        <v>0</v>
      </c>
      <c r="HJ25" s="22">
        <f t="shared" si="30"/>
        <v>0</v>
      </c>
    </row>
    <row r="26" spans="1:218" x14ac:dyDescent="0.35">
      <c r="A26" s="10">
        <f t="shared" si="31"/>
        <v>23</v>
      </c>
      <c r="B26" s="72">
        <f>'Scénario référence'!$B$16*5+'Scénario référence'!$B$17*0+'Scénario référence'!$B$18*5</f>
        <v>5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66">
        <f t="shared" si="1"/>
        <v>183.33333333333334</v>
      </c>
      <c r="I26" s="6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4.0628205133333335</v>
      </c>
      <c r="N26" s="13">
        <f>IF('Données projet'!$A$36&gt;35,N25+M26-V25,IF(A26&lt;'Données projet'!$A$36,$K$205^A26,IF(A26='Données projet'!$A$36,'Données projet'!$B$36,N25+M26-V25)))</f>
        <v>39.739965277309587</v>
      </c>
      <c r="O26" s="13">
        <f>N26*VLOOKUP('Données projet'!$B$9,Paramètres!$A$1:$I$89,3,0)*VLOOKUP('Données projet'!$B$9,Paramètres!$A$1:$I$89,5,0)</f>
        <v>35.956720582909711</v>
      </c>
      <c r="P26" s="13">
        <f t="shared" si="33"/>
        <v>10.920419941143177</v>
      </c>
      <c r="Q26" s="20">
        <f t="shared" si="2"/>
        <v>81.644353079392104</v>
      </c>
      <c r="R26" s="59">
        <f t="shared" si="0"/>
        <v>305.12954978893862</v>
      </c>
      <c r="S26" s="59">
        <f ca="1">AVERAGE(OFFSET($R$3,0,0,'Données projet'!$E$9+1,1))-AVERAGE(OFFSET($H$3,0,0,'Données projet'!$E$9+1,1))</f>
        <v>567.42635821507474</v>
      </c>
      <c r="T26" s="59">
        <f t="shared" si="34"/>
        <v>299.04735309930152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4.0628205133333335</v>
      </c>
      <c r="AI26" s="13">
        <f>IF('Données projet'!$A$62&gt;35,AI25+AH26-AQ25,IF(A26&lt;'Données projet'!$A$62,$AF$205^A26,IF(A26='Données projet'!$A$62,'Données projet'!$B$62,AI25+AH26-AQ25)))</f>
        <v>39.739965277309587</v>
      </c>
      <c r="AJ26" s="13">
        <f>AI26*VLOOKUP('Données projet'!$B$10,Paramètres!$A$1:$I$89,3,0)*VLOOKUP('Données projet'!$B$10,Paramètres!$A$1:$I$89,5,0)</f>
        <v>40.296324791191921</v>
      </c>
      <c r="AK26" s="13">
        <f t="shared" si="35"/>
        <v>12.077154055118635</v>
      </c>
      <c r="AL26" s="20">
        <f t="shared" si="4"/>
        <v>91.217142323990871</v>
      </c>
      <c r="AM26" s="59">
        <f t="shared" si="5"/>
        <v>314.70233903353738</v>
      </c>
      <c r="AN26" s="59">
        <f ca="1">AVERAGE(OFFSET($AM$3,0,0,'Données projet'!$E$10+1,1))-AVERAGE(OFFSET($H$3,0,0,'Données projet'!$E$10+1,1))</f>
        <v>626.09203985591455</v>
      </c>
      <c r="AO26" s="59">
        <f t="shared" si="36"/>
        <v>327.65191296575199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8.8000000000000007</v>
      </c>
      <c r="BD26" s="12">
        <f>IF('Données projet'!$A$88&gt;35,BD25+BC26-BL25,IF(A26&lt;'Données projet'!$A$88,$BA$205^A26,IF(A26='Données projet'!$A$88,'Données projet'!$B$88,BD25+BC26-BL25)))</f>
        <v>58.399999999999991</v>
      </c>
      <c r="BE26" s="13">
        <f>BD26*VLOOKUP('Données projet'!$B$11,Paramètres!$A$1:$I$89,3,0)*VLOOKUP('Données projet'!$B$11,Paramètres!$A$1:$I$89,5,0)</f>
        <v>50.107199999999999</v>
      </c>
      <c r="BF26" s="13">
        <f t="shared" si="37"/>
        <v>14.641441079141797</v>
      </c>
      <c r="BG26" s="20">
        <f t="shared" si="7"/>
        <v>112.77054987950528</v>
      </c>
      <c r="BH26" s="59">
        <f t="shared" si="8"/>
        <v>336.2557465890518</v>
      </c>
      <c r="BI26" s="59">
        <f ca="1">AVERAGE(OFFSET($BH$3,0,0,'Données projet'!$E$11+1,1))-AVERAGE(OFFSET($H$3,0,0,'Données projet'!$E$11+1,1))</f>
        <v>481.23392184981651</v>
      </c>
      <c r="BJ26" s="59">
        <f t="shared" si="38"/>
        <v>275.88160405468193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4.8773333333333335</v>
      </c>
      <c r="BY26" s="12">
        <f>IF('Données projet'!$A$114&gt;35,BY25+BX26-CG25,IF(A26&lt;'Données projet'!$A$114,$BV$205^A26,IF(A26='Données projet'!$A$114,'Données projet'!$B$114,BY25+BX26-CG25)))</f>
        <v>45.71578317385319</v>
      </c>
      <c r="BZ26" s="13">
        <f>BY26*VLOOKUP('Données projet'!$B$12,Paramètres!$A$1:$I$89,3,0)*VLOOKUP('Données projet'!$B$12,Paramètres!$A$1:$I$89,5,0)</f>
        <v>21.394986525363294</v>
      </c>
      <c r="CA26" s="13">
        <f t="shared" si="39"/>
        <v>6.9026485756179028</v>
      </c>
      <c r="CB26" s="20">
        <f t="shared" si="10"/>
        <v>49.285047800875581</v>
      </c>
      <c r="CC26" s="59">
        <f t="shared" si="11"/>
        <v>272.77024451042206</v>
      </c>
      <c r="CD26" s="59">
        <f ca="1">AVERAGE(OFFSET($CC$3,0,0,'Données projet'!$E$12+1,1))-AVERAGE(OFFSET($H$3,0,0,'Données projet'!$E$12+1,1))</f>
        <v>331.86732359395467</v>
      </c>
      <c r="CE26" s="59">
        <f t="shared" si="40"/>
        <v>208.64489375183106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14.8</v>
      </c>
      <c r="CT26" s="12">
        <f>IF('Données projet'!$A$140&gt;35,CT25+CS26-DB25,IF(A26&lt;'Données projet'!$A$140,$CQ$205^A26,IF(A26='Données projet'!$A$140,'Données projet'!$B$140,CT25+CS26-DB25)))</f>
        <v>111.39999999999998</v>
      </c>
      <c r="CU26" s="17">
        <f>CT26*VLOOKUP('Données projet'!$B$13,Paramètres!$A$1:$I$89,3,0)*VLOOKUP('Données projet'!$B$13,Paramètres!$A$1:$I$89,5,0)</f>
        <v>81.678479999999993</v>
      </c>
      <c r="CV26" s="13">
        <f t="shared" si="41"/>
        <v>22.547083950915322</v>
      </c>
      <c r="CW26" s="20">
        <f t="shared" si="13"/>
        <v>181.52619054784418</v>
      </c>
      <c r="CX26" s="59">
        <f t="shared" si="14"/>
        <v>405.01138725739065</v>
      </c>
      <c r="CY26" s="59">
        <f ca="1">AVERAGE(OFFSET($CX$3,0,0,'Données projet'!$E$13+1,1))-AVERAGE(OFFSET($H$3,0,0,'Données projet'!$E$13+1,1))</f>
        <v>352.45777291109863</v>
      </c>
      <c r="CZ26" s="59">
        <f t="shared" si="42"/>
        <v>340.92165104349181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</v>
      </c>
      <c r="DH26" s="21">
        <f>EXP(-LN(2)/2)*DH25+(1-EXP(-LN(2)/2))/(LN(2)/2)*DB26*DE26*VLOOKUP('Données projet'!$B$13,Paramètres!$A$1:$I$89,3,0)*0.475*44/12</f>
        <v>0</v>
      </c>
      <c r="DI26" s="22">
        <f t="shared" si="15"/>
        <v>0</v>
      </c>
      <c r="DJ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4.0628205133333335</v>
      </c>
      <c r="DO26" s="12">
        <f>IF('Données projet'!$A$166&gt;35,DO25+DN26-DW25,IF(A26&lt;'Données projet'!$A$166,$DL$205^A26,IF(A26='Données projet'!$A$166,'Données projet'!$B$166,DO25+DN26-DW25)))</f>
        <v>39.739965277309587</v>
      </c>
      <c r="DP26" s="17">
        <f>DO26*VLOOKUP('Données projet'!$B$14,Paramètres!$A$1:$I$89,3,0)*VLOOKUP('Données projet'!$B$14,Paramètres!$A$1:$I$89,5,0)</f>
        <v>26.657568708019269</v>
      </c>
      <c r="DQ26" s="13">
        <f t="shared" si="43"/>
        <v>8.3831471915007079</v>
      </c>
      <c r="DR26" s="20">
        <f t="shared" si="16"/>
        <v>61.029246858330623</v>
      </c>
      <c r="DS26" s="59">
        <f t="shared" si="17"/>
        <v>284.51444356787715</v>
      </c>
      <c r="DT26" s="59">
        <f ca="1">AVERAGE(OFFSET($DS$3,0,0,'Données projet'!$E$14+1,1))-AVERAGE(OFFSET($H$3,0,0,'Données projet'!$E$14+1,1))</f>
        <v>441.20130048888439</v>
      </c>
      <c r="DU26" s="59">
        <f t="shared" si="44"/>
        <v>237.47732532183946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0</v>
      </c>
      <c r="EC26" s="21">
        <f>EXP(-LN(2)/2)*EC25+(1-EXP(-LN(2)/2))/(LN(2)/2)*DW26*DZ26*VLOOKUP('Données projet'!$B$14,Paramètres!$A$1:$I$89,3,0)*0.475*44/12</f>
        <v>0</v>
      </c>
      <c r="ED26" s="22">
        <f t="shared" si="18"/>
        <v>0</v>
      </c>
      <c r="EE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14.8</v>
      </c>
      <c r="EJ26" s="12">
        <f>IF('Données projet'!$A$192&gt;35,EJ25+EI26-ER25,IF(A26&lt;'Données projet'!$A$192,$EG$205^A26,IF(A26='Données projet'!$A$192,'Données projet'!$B$192,EJ25+EI26-ER25)))</f>
        <v>111.39999999999998</v>
      </c>
      <c r="EK26" s="17">
        <f>EJ26*VLOOKUP('Données projet'!$B$15,Paramètres!$A$1:$I$89,3,0)*VLOOKUP('Données projet'!$B$15,Paramètres!$A$1:$I$89,5,0)</f>
        <v>88.629839999999987</v>
      </c>
      <c r="EL26" s="13">
        <f t="shared" si="45"/>
        <v>24.23448093253452</v>
      </c>
      <c r="EM26" s="20">
        <f t="shared" si="19"/>
        <v>196.57202562416424</v>
      </c>
      <c r="EN26" s="59">
        <f t="shared" si="20"/>
        <v>420.05722233371074</v>
      </c>
      <c r="EO26" s="59">
        <f ca="1">AVERAGE(OFFSET($EN$3,0,0,'Données projet'!$E$15+1,1))-AVERAGE(OFFSET($H$3,0,0,'Données projet'!$E$15+1,1))</f>
        <v>377.27600411578322</v>
      </c>
      <c r="EP26" s="59">
        <f t="shared" si="46"/>
        <v>364.58250627635425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>
        <f>EXP(-LN(2)/35)*EV25+(1-EXP(-LN(2)/35))/(LN(2)/35)*ER26*ES26*VLOOKUP('Données projet'!$B$15,Paramètres!$A$1:$I$89,3,0)*0.475*44/12</f>
        <v>0</v>
      </c>
      <c r="EW26" s="21">
        <f>EXP(-LN(2)/25)*EW25+(1-EXP(-LN(2)/25))/(LN(2)/25)*Calculateur!ER26*Calculateur!ET26*VLOOKUP('Données projet'!$B$15,Paramètres!$A$1:$I$89,3,0)*0.475*44/12</f>
        <v>0</v>
      </c>
      <c r="EX26" s="21">
        <f>EXP(-LN(2)/2)*EX25+(1-EXP(-LN(2)/2))/(LN(2)/2)*ER26*EU26*VLOOKUP('Données projet'!$B$15,Paramètres!$A$1:$I$89,3,0)*0.475*44/12</f>
        <v>0</v>
      </c>
      <c r="EY26" s="22">
        <f t="shared" si="21"/>
        <v>0</v>
      </c>
      <c r="EZ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14.8</v>
      </c>
      <c r="FE26" s="12">
        <f>IF('Données projet'!$A$218&gt;35,FE25+FD26-FM25,IF(A26&lt;'Données projet'!$A$218,$FB$205^A26,IF(A26='Données projet'!$A$218,'Données projet'!$B$218,FE25+FD26-FM25)))</f>
        <v>111.39999999999998</v>
      </c>
      <c r="FF26" s="17">
        <f>FE26*VLOOKUP('Données projet'!$B$16,Paramètres!$A$1:$I$89,3,0)*VLOOKUP('Données projet'!$B$16,Paramètres!$A$1:$I$89,5,0)</f>
        <v>90.367679999999993</v>
      </c>
      <c r="FG26" s="13">
        <f t="shared" si="47"/>
        <v>24.653879504109455</v>
      </c>
      <c r="FH26" s="20">
        <f t="shared" si="22"/>
        <v>200.32921613632394</v>
      </c>
      <c r="FI26" s="59">
        <f t="shared" si="23"/>
        <v>423.81441284587044</v>
      </c>
      <c r="FJ26" s="59">
        <f ca="1">AVERAGE(OFFSET($FI$3,0,0,'Données projet'!$E$16+1,1))-AVERAGE(OFFSET($H$3,0,0,'Données projet'!$E$16+1,1))</f>
        <v>383.47399633251354</v>
      </c>
      <c r="FK26" s="59">
        <f t="shared" si="48"/>
        <v>370.49129421395628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>
        <f>EXP(-LN(2)/35)*FQ25+(1-EXP(-LN(2)/35))/(LN(2)/35)*FM26*FN26*VLOOKUP('Données projet'!$B$16,Paramètres!$A$1:$I$89,3,0)*0.475*44/12</f>
        <v>0</v>
      </c>
      <c r="FR26" s="21">
        <f>EXP(-LN(2)/25)*FR25+(1-EXP(-LN(2)/25))/(LN(2)/25)*Calculateur!FM26*Calculateur!FO26*VLOOKUP('Données projet'!$B$16,Paramètres!$A$1:$I$89,3,0)*0.475*44/12</f>
        <v>0</v>
      </c>
      <c r="FS26" s="21">
        <f>EXP(-LN(2)/2)*FS25+(1-EXP(-LN(2)/2))/(LN(2)/2)*FM26*FP26*VLOOKUP('Données projet'!$B$16,Paramètres!$A$1:$I$89,3,0)*0.475*44/12</f>
        <v>0</v>
      </c>
      <c r="FT26" s="22">
        <f t="shared" si="24"/>
        <v>0</v>
      </c>
      <c r="FU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4.0628205133333335</v>
      </c>
      <c r="FZ26" s="12">
        <f>IF('Données projet'!$A$244&gt;35,FZ25+FY26-GH25,IF(A26&lt;'Données projet'!$A$244,$FW$205^A26,IF(A26='Données projet'!$A$244,'Données projet'!$B$244,FZ25+FY26-GH25)))</f>
        <v>39.739965277309587</v>
      </c>
      <c r="GA26" s="17">
        <f>FZ26*VLOOKUP('Données projet'!$B$17,Paramètres!$A$1:$I$89,3,0)*VLOOKUP('Données projet'!$B$17,Paramètres!$A$1:$I$89,5,0)</f>
        <v>37.816550957887799</v>
      </c>
      <c r="GB26" s="13">
        <f t="shared" si="49"/>
        <v>11.418046476477128</v>
      </c>
      <c r="GC26" s="20">
        <f t="shared" si="25"/>
        <v>85.750257198185579</v>
      </c>
      <c r="GD26" s="59">
        <f t="shared" si="26"/>
        <v>309.23545390773211</v>
      </c>
      <c r="GE26" s="59">
        <f ca="1">AVERAGE(OFFSET($GD$3,0,0,'Données projet'!$E$17+1,1))-AVERAGE(OFFSET($H$3,0,0,'Données projet'!$E$17+1,1))</f>
        <v>592.58528889137358</v>
      </c>
      <c r="GF26" s="59">
        <f t="shared" si="50"/>
        <v>311.31528020403709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>
        <f>EXP(-LN(2)/35)*GL25+(1-EXP(-LN(2)/35))/(LN(2)/35)*GH26*GI26*VLOOKUP('Données projet'!$B$17,Paramètres!$A$1:$I$89,3,0)*0.475*44/12</f>
        <v>0</v>
      </c>
      <c r="GM26" s="21">
        <f>EXP(-LN(2)/25)*GM25+(1-EXP(-LN(2)/25))/(LN(2)/25)*Calculateur!GH26*Calculateur!GJ26*VLOOKUP('Données projet'!$B$17,Paramètres!$A$1:$I$89,3,0)*0.475*44/12</f>
        <v>0</v>
      </c>
      <c r="GN26" s="21">
        <f>EXP(-LN(2)/2)*GN25+(1-EXP(-LN(2)/2))/(LN(2)/2)*GH26*GK26*VLOOKUP('Données projet'!$B$17,Paramètres!$A$1:$I$89,3,0)*0.475*44/12</f>
        <v>0</v>
      </c>
      <c r="GO26" s="21">
        <f t="shared" si="27"/>
        <v>0</v>
      </c>
      <c r="GP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10.6</v>
      </c>
      <c r="GU26" s="12">
        <f>IF('Données projet'!$A$270&gt;35,GU25+GT26-HC25,IF(A26&lt;'Données projet'!$A$270,$GR$205^A26,IF(A26='Données projet'!$A$270,'Données projet'!$B$270,GU25+GT26-HC25)))</f>
        <v>91.799999999999969</v>
      </c>
      <c r="GV26" s="17">
        <f>GU26*VLOOKUP('Données projet'!$B$18,Paramètres!$A$1:$I$89,3,0)*VLOOKUP('Données projet'!$B$18,Paramètres!$A$1:$I$89,5,0)</f>
        <v>71.603999999999985</v>
      </c>
      <c r="GW26" s="13">
        <f t="shared" si="51"/>
        <v>20.071260561992585</v>
      </c>
      <c r="GX26" s="20">
        <f t="shared" si="28"/>
        <v>159.66774547880371</v>
      </c>
      <c r="GY26" s="59">
        <f t="shared" si="29"/>
        <v>383.15294218835021</v>
      </c>
      <c r="GZ26" s="59">
        <f ca="1">AVERAGE(OFFSET($GY$3,0,0,'Données projet'!$E$18+1,1))-AVERAGE(OFFSET($H$3,0,0,'Données projet'!$E$18+1,1))</f>
        <v>308.85018589589453</v>
      </c>
      <c r="HA26" s="59">
        <f t="shared" si="52"/>
        <v>302.59481222418219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>
        <f>EXP(-LN(2)/35)*HG25+(1-EXP(-LN(2)/35))/(LN(2)/35)*HC26*HD26*VLOOKUP('Données projet'!$B$18,Paramètres!$A$1:$I$89,3,0)*0.475*44/12</f>
        <v>0</v>
      </c>
      <c r="HH26" s="21">
        <f>EXP(-LN(2)/25)*HH25+(1-EXP(-LN(2)/25))/(LN(2)/25)*Calculateur!HC26*Calculateur!HE26*VLOOKUP('Données projet'!$B$18,Paramètres!$A$1:$I$89,3,0)*0.475*44/12</f>
        <v>0</v>
      </c>
      <c r="HI26" s="21">
        <f>EXP(-LN(2)/2)*HI25+(1-EXP(-LN(2)/2))/(LN(2)/2)*HC26*HF26*VLOOKUP('Données projet'!$B$18,Paramètres!$A$1:$I$89,3,0)*0.475*44/12</f>
        <v>0</v>
      </c>
      <c r="HJ26" s="22">
        <f t="shared" si="30"/>
        <v>0</v>
      </c>
    </row>
    <row r="27" spans="1:218" x14ac:dyDescent="0.35">
      <c r="A27" s="10">
        <f t="shared" si="31"/>
        <v>24</v>
      </c>
      <c r="B27" s="72">
        <f>'Scénario référence'!$B$16*5+'Scénario référence'!$B$17*0+'Scénario référence'!$B$18*5</f>
        <v>5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66">
        <f t="shared" si="1"/>
        <v>183.33333333333334</v>
      </c>
      <c r="I27" s="6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4.0628205133333335</v>
      </c>
      <c r="N27" s="13">
        <f>IF('Données projet'!$A$36&gt;35,N26+M27-V26,IF(A27&lt;'Données projet'!$A$36,$K$205^A27,IF(A27='Données projet'!$A$36,'Données projet'!$B$36,N26+M27-V26)))</f>
        <v>46.64006135003023</v>
      </c>
      <c r="O27" s="13">
        <f>N27*VLOOKUP('Données projet'!$B$9,Paramètres!$A$1:$I$89,3,0)*VLOOKUP('Données projet'!$B$9,Paramètres!$A$1:$I$89,5,0)</f>
        <v>42.199927509507354</v>
      </c>
      <c r="P27" s="13">
        <f t="shared" si="33"/>
        <v>12.579908646950299</v>
      </c>
      <c r="Q27" s="20">
        <f t="shared" si="2"/>
        <v>95.408214639163745</v>
      </c>
      <c r="R27" s="59">
        <f t="shared" si="0"/>
        <v>321.17892282278353</v>
      </c>
      <c r="S27" s="59">
        <f ca="1">AVERAGE(OFFSET($R$3,0,0,'Données projet'!$E$9+1,1))-AVERAGE(OFFSET($H$3,0,0,'Données projet'!$E$9+1,1))</f>
        <v>567.42635821507474</v>
      </c>
      <c r="T27" s="59">
        <f t="shared" si="34"/>
        <v>299.04735309930152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4.0628205133333335</v>
      </c>
      <c r="AI27" s="13">
        <f>IF('Données projet'!$A$62&gt;35,AI26+AH27-AQ26,IF(A27&lt;'Données projet'!$A$62,$AF$205^A27,IF(A27='Données projet'!$A$62,'Données projet'!$B$62,AI26+AH27-AQ26)))</f>
        <v>46.64006135003023</v>
      </c>
      <c r="AJ27" s="13">
        <f>AI27*VLOOKUP('Données projet'!$B$10,Paramètres!$A$1:$I$89,3,0)*VLOOKUP('Données projet'!$B$10,Paramètres!$A$1:$I$89,5,0)</f>
        <v>47.293022208930658</v>
      </c>
      <c r="AK27" s="13">
        <f t="shared" si="35"/>
        <v>13.912422374540427</v>
      </c>
      <c r="AL27" s="20">
        <f t="shared" si="4"/>
        <v>106.59948264954546</v>
      </c>
      <c r="AM27" s="59">
        <f t="shared" si="5"/>
        <v>332.37019083316528</v>
      </c>
      <c r="AN27" s="59">
        <f ca="1">AVERAGE(OFFSET($AM$3,0,0,'Données projet'!$E$10+1,1))-AVERAGE(OFFSET($H$3,0,0,'Données projet'!$E$10+1,1))</f>
        <v>626.09203985591455</v>
      </c>
      <c r="AO27" s="59">
        <f t="shared" si="36"/>
        <v>327.65191296575199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8.8000000000000007</v>
      </c>
      <c r="BD27" s="12">
        <f>IF('Données projet'!$A$88&gt;35,BD26+BC27-BL26,IF(A27&lt;'Données projet'!$A$88,$BA$205^A27,IF(A27='Données projet'!$A$88,'Données projet'!$B$88,BD26+BC27-BL26)))</f>
        <v>67.199999999999989</v>
      </c>
      <c r="BE27" s="13">
        <f>BD27*VLOOKUP('Données projet'!$B$11,Paramètres!$A$1:$I$89,3,0)*VLOOKUP('Données projet'!$B$11,Paramètres!$A$1:$I$89,5,0)</f>
        <v>57.657599999999995</v>
      </c>
      <c r="BF27" s="13">
        <f t="shared" si="37"/>
        <v>16.574671209026025</v>
      </c>
      <c r="BG27" s="20">
        <f t="shared" si="7"/>
        <v>129.28787235572034</v>
      </c>
      <c r="BH27" s="59">
        <f t="shared" si="8"/>
        <v>355.05858053934014</v>
      </c>
      <c r="BI27" s="59">
        <f ca="1">AVERAGE(OFFSET($BH$3,0,0,'Données projet'!$E$11+1,1))-AVERAGE(OFFSET($H$3,0,0,'Données projet'!$E$11+1,1))</f>
        <v>481.23392184981651</v>
      </c>
      <c r="BJ27" s="59">
        <f t="shared" si="38"/>
        <v>275.88160405468193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4.8773333333333335</v>
      </c>
      <c r="BY27" s="12">
        <f>IF('Données projet'!$A$114&gt;35,BY26+BX27-CG26,IF(A27&lt;'Données projet'!$A$114,$BV$205^A27,IF(A27='Données projet'!$A$114,'Données projet'!$B$114,BY26+BX27-CG26)))</f>
        <v>53.981252117124654</v>
      </c>
      <c r="BZ27" s="13">
        <f>BY27*VLOOKUP('Données projet'!$B$12,Paramètres!$A$1:$I$89,3,0)*VLOOKUP('Données projet'!$B$12,Paramètres!$A$1:$I$89,5,0)</f>
        <v>25.263225990814338</v>
      </c>
      <c r="CA27" s="13">
        <f t="shared" si="39"/>
        <v>7.9944975687673434</v>
      </c>
      <c r="CB27" s="20">
        <f t="shared" si="10"/>
        <v>57.923868532938087</v>
      </c>
      <c r="CC27" s="59">
        <f t="shared" si="11"/>
        <v>283.69457671655789</v>
      </c>
      <c r="CD27" s="59">
        <f ca="1">AVERAGE(OFFSET($CC$3,0,0,'Données projet'!$E$12+1,1))-AVERAGE(OFFSET($H$3,0,0,'Données projet'!$E$12+1,1))</f>
        <v>331.86732359395467</v>
      </c>
      <c r="CE27" s="59">
        <f t="shared" si="40"/>
        <v>208.64489375183106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14.8</v>
      </c>
      <c r="CT27" s="12">
        <f>IF('Données projet'!$A$140&gt;35,CT26+CS27-DB26,IF(A27&lt;'Données projet'!$A$140,$CQ$205^A27,IF(A27='Données projet'!$A$140,'Données projet'!$B$140,CT26+CS27-DB26)))</f>
        <v>126.19999999999997</v>
      </c>
      <c r="CU27" s="17">
        <f>CT27*VLOOKUP('Données projet'!$B$13,Paramètres!$A$1:$I$89,3,0)*VLOOKUP('Données projet'!$B$13,Paramètres!$A$1:$I$89,5,0)</f>
        <v>92.529839999999979</v>
      </c>
      <c r="CV27" s="13">
        <f t="shared" si="41"/>
        <v>25.174373611210889</v>
      </c>
      <c r="CW27" s="20">
        <f t="shared" si="13"/>
        <v>205.0015053728589</v>
      </c>
      <c r="CX27" s="59">
        <f t="shared" si="14"/>
        <v>430.77221355647873</v>
      </c>
      <c r="CY27" s="59">
        <f ca="1">AVERAGE(OFFSET($CX$3,0,0,'Données projet'!$E$13+1,1))-AVERAGE(OFFSET($H$3,0,0,'Données projet'!$E$13+1,1))</f>
        <v>352.45777291109863</v>
      </c>
      <c r="CZ27" s="59">
        <f t="shared" si="42"/>
        <v>340.92165104349181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0</v>
      </c>
      <c r="DH27" s="21">
        <f>EXP(-LN(2)/2)*DH26+(1-EXP(-LN(2)/2))/(LN(2)/2)*DB27*DE27*VLOOKUP('Données projet'!$B$13,Paramètres!$A$1:$I$89,3,0)*0.475*44/12</f>
        <v>0</v>
      </c>
      <c r="DI27" s="22">
        <f t="shared" si="15"/>
        <v>0</v>
      </c>
      <c r="DJ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4.0628205133333335</v>
      </c>
      <c r="DO27" s="12">
        <f>IF('Données projet'!$A$166&gt;35,DO26+DN27-DW26,IF(A27&lt;'Données projet'!$A$166,$DL$205^A27,IF(A27='Données projet'!$A$166,'Données projet'!$B$166,DO26+DN27-DW26)))</f>
        <v>46.64006135003023</v>
      </c>
      <c r="DP27" s="17">
        <f>DO27*VLOOKUP('Données projet'!$B$14,Paramètres!$A$1:$I$89,3,0)*VLOOKUP('Données projet'!$B$14,Paramètres!$A$1:$I$89,5,0)</f>
        <v>31.286153153600278</v>
      </c>
      <c r="DQ27" s="13">
        <f t="shared" si="43"/>
        <v>9.657066890412743</v>
      </c>
      <c r="DR27" s="20">
        <f t="shared" si="16"/>
        <v>71.309441576655999</v>
      </c>
      <c r="DS27" s="59">
        <f t="shared" si="17"/>
        <v>297.08014976027579</v>
      </c>
      <c r="DT27" s="59">
        <f ca="1">AVERAGE(OFFSET($DS$3,0,0,'Données projet'!$E$14+1,1))-AVERAGE(OFFSET($H$3,0,0,'Données projet'!$E$14+1,1))</f>
        <v>441.20130048888439</v>
      </c>
      <c r="DU27" s="59">
        <f t="shared" si="44"/>
        <v>237.47732532183946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0</v>
      </c>
      <c r="EC27" s="21">
        <f>EXP(-LN(2)/2)*EC26+(1-EXP(-LN(2)/2))/(LN(2)/2)*DW27*DZ27*VLOOKUP('Données projet'!$B$14,Paramètres!$A$1:$I$89,3,0)*0.475*44/12</f>
        <v>0</v>
      </c>
      <c r="ED27" s="22">
        <f t="shared" si="18"/>
        <v>0</v>
      </c>
      <c r="EE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14.8</v>
      </c>
      <c r="EJ27" s="12">
        <f>IF('Données projet'!$A$192&gt;35,EJ26+EI27-ER26,IF(A27&lt;'Données projet'!$A$192,$EG$205^A27,IF(A27='Données projet'!$A$192,'Données projet'!$B$192,EJ26+EI27-ER26)))</f>
        <v>126.19999999999997</v>
      </c>
      <c r="EK27" s="17">
        <f>EJ27*VLOOKUP('Données projet'!$B$15,Paramètres!$A$1:$I$89,3,0)*VLOOKUP('Données projet'!$B$15,Paramètres!$A$1:$I$89,5,0)</f>
        <v>100.40472</v>
      </c>
      <c r="EL27" s="13">
        <f t="shared" si="45"/>
        <v>27.058393830330502</v>
      </c>
      <c r="EM27" s="20">
        <f t="shared" si="19"/>
        <v>221.99825658782561</v>
      </c>
      <c r="EN27" s="59">
        <f t="shared" si="20"/>
        <v>447.76896477144544</v>
      </c>
      <c r="EO27" s="59">
        <f ca="1">AVERAGE(OFFSET($EN$3,0,0,'Données projet'!$E$15+1,1))-AVERAGE(OFFSET($H$3,0,0,'Données projet'!$E$15+1,1))</f>
        <v>377.27600411578322</v>
      </c>
      <c r="EP27" s="59">
        <f t="shared" si="46"/>
        <v>364.58250627635425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>
        <f>EXP(-LN(2)/35)*EV26+(1-EXP(-LN(2)/35))/(LN(2)/35)*ER27*ES27*VLOOKUP('Données projet'!$B$15,Paramètres!$A$1:$I$89,3,0)*0.475*44/12</f>
        <v>0</v>
      </c>
      <c r="EW27" s="21">
        <f>EXP(-LN(2)/25)*EW26+(1-EXP(-LN(2)/25))/(LN(2)/25)*Calculateur!ER27*Calculateur!ET27*VLOOKUP('Données projet'!$B$15,Paramètres!$A$1:$I$89,3,0)*0.475*44/12</f>
        <v>0</v>
      </c>
      <c r="EX27" s="21">
        <f>EXP(-LN(2)/2)*EX26+(1-EXP(-LN(2)/2))/(LN(2)/2)*ER27*EU27*VLOOKUP('Données projet'!$B$15,Paramètres!$A$1:$I$89,3,0)*0.475*44/12</f>
        <v>0</v>
      </c>
      <c r="EY27" s="22">
        <f t="shared" si="21"/>
        <v>0</v>
      </c>
      <c r="EZ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14.8</v>
      </c>
      <c r="FE27" s="12">
        <f>IF('Données projet'!$A$218&gt;35,FE26+FD27-FM26,IF(A27&lt;'Données projet'!$A$218,$FB$205^A27,IF(A27='Données projet'!$A$218,'Données projet'!$B$218,FE26+FD27-FM26)))</f>
        <v>126.19999999999997</v>
      </c>
      <c r="FF27" s="17">
        <f>FE27*VLOOKUP('Données projet'!$B$16,Paramètres!$A$1:$I$89,3,0)*VLOOKUP('Données projet'!$B$16,Paramètres!$A$1:$I$89,5,0)</f>
        <v>102.37344</v>
      </c>
      <c r="FG27" s="13">
        <f t="shared" si="47"/>
        <v>27.526662647523008</v>
      </c>
      <c r="FH27" s="20">
        <f t="shared" si="22"/>
        <v>226.24267877776924</v>
      </c>
      <c r="FI27" s="59">
        <f t="shared" si="23"/>
        <v>452.01338696138907</v>
      </c>
      <c r="FJ27" s="59">
        <f ca="1">AVERAGE(OFFSET($FI$3,0,0,'Données projet'!$E$16+1,1))-AVERAGE(OFFSET($H$3,0,0,'Données projet'!$E$16+1,1))</f>
        <v>383.47399633251354</v>
      </c>
      <c r="FK27" s="59">
        <f t="shared" si="48"/>
        <v>370.49129421395628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>
        <f>EXP(-LN(2)/35)*FQ26+(1-EXP(-LN(2)/35))/(LN(2)/35)*FM27*FN27*VLOOKUP('Données projet'!$B$16,Paramètres!$A$1:$I$89,3,0)*0.475*44/12</f>
        <v>0</v>
      </c>
      <c r="FR27" s="21">
        <f>EXP(-LN(2)/25)*FR26+(1-EXP(-LN(2)/25))/(LN(2)/25)*Calculateur!FM27*Calculateur!FO27*VLOOKUP('Données projet'!$B$16,Paramètres!$A$1:$I$89,3,0)*0.475*44/12</f>
        <v>0</v>
      </c>
      <c r="FS27" s="21">
        <f>EXP(-LN(2)/2)*FS26+(1-EXP(-LN(2)/2))/(LN(2)/2)*FM27*FP27*VLOOKUP('Données projet'!$B$16,Paramètres!$A$1:$I$89,3,0)*0.475*44/12</f>
        <v>0</v>
      </c>
      <c r="FT27" s="22">
        <f t="shared" si="24"/>
        <v>0</v>
      </c>
      <c r="FU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4.0628205133333335</v>
      </c>
      <c r="FZ27" s="12">
        <f>IF('Données projet'!$A$244&gt;35,FZ26+FY27-GH26,IF(A27&lt;'Données projet'!$A$244,$FW$205^A27,IF(A27='Données projet'!$A$244,'Données projet'!$B$244,FZ26+FY27-GH26)))</f>
        <v>46.64006135003023</v>
      </c>
      <c r="GA27" s="17">
        <f>FZ27*VLOOKUP('Données projet'!$B$17,Paramètres!$A$1:$I$89,3,0)*VLOOKUP('Données projet'!$B$17,Paramètres!$A$1:$I$89,5,0)</f>
        <v>44.38268238068877</v>
      </c>
      <c r="GB27" s="13">
        <f t="shared" si="49"/>
        <v>13.153155499043805</v>
      </c>
      <c r="GC27" s="20">
        <f t="shared" si="25"/>
        <v>100.20825097386756</v>
      </c>
      <c r="GD27" s="59">
        <f t="shared" si="26"/>
        <v>325.97895915748734</v>
      </c>
      <c r="GE27" s="59">
        <f ca="1">AVERAGE(OFFSET($GD$3,0,0,'Données projet'!$E$17+1,1))-AVERAGE(OFFSET($H$3,0,0,'Données projet'!$E$17+1,1))</f>
        <v>592.58528889137358</v>
      </c>
      <c r="GF27" s="59">
        <f t="shared" si="50"/>
        <v>311.31528020403709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>
        <f>EXP(-LN(2)/35)*GL26+(1-EXP(-LN(2)/35))/(LN(2)/35)*GH27*GI27*VLOOKUP('Données projet'!$B$17,Paramètres!$A$1:$I$89,3,0)*0.475*44/12</f>
        <v>0</v>
      </c>
      <c r="GM27" s="21">
        <f>EXP(-LN(2)/25)*GM26+(1-EXP(-LN(2)/25))/(LN(2)/25)*Calculateur!GH27*Calculateur!GJ27*VLOOKUP('Données projet'!$B$17,Paramètres!$A$1:$I$89,3,0)*0.475*44/12</f>
        <v>0</v>
      </c>
      <c r="GN27" s="21">
        <f>EXP(-LN(2)/2)*GN26+(1-EXP(-LN(2)/2))/(LN(2)/2)*GH27*GK27*VLOOKUP('Données projet'!$B$17,Paramètres!$A$1:$I$89,3,0)*0.475*44/12</f>
        <v>0</v>
      </c>
      <c r="GO27" s="21">
        <f t="shared" si="27"/>
        <v>0</v>
      </c>
      <c r="GP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10.6</v>
      </c>
      <c r="GU27" s="12">
        <f>IF('Données projet'!$A$270&gt;35,GU26+GT27-HC26,IF(A27&lt;'Données projet'!$A$270,$GR$205^A27,IF(A27='Données projet'!$A$270,'Données projet'!$B$270,GU26+GT27-HC26)))</f>
        <v>102.39999999999996</v>
      </c>
      <c r="GV27" s="17">
        <f>GU27*VLOOKUP('Données projet'!$B$18,Paramètres!$A$1:$I$89,3,0)*VLOOKUP('Données projet'!$B$18,Paramètres!$A$1:$I$89,5,0)</f>
        <v>79.871999999999971</v>
      </c>
      <c r="GW27" s="13">
        <f t="shared" si="51"/>
        <v>22.105884547145401</v>
      </c>
      <c r="GX27" s="20">
        <f t="shared" si="28"/>
        <v>177.61148225294485</v>
      </c>
      <c r="GY27" s="59">
        <f t="shared" si="29"/>
        <v>403.38219043656466</v>
      </c>
      <c r="GZ27" s="59">
        <f ca="1">AVERAGE(OFFSET($GY$3,0,0,'Données projet'!$E$18+1,1))-AVERAGE(OFFSET($H$3,0,0,'Données projet'!$E$18+1,1))</f>
        <v>308.85018589589453</v>
      </c>
      <c r="HA27" s="59">
        <f t="shared" si="52"/>
        <v>302.59481222418219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>
        <f>EXP(-LN(2)/35)*HG26+(1-EXP(-LN(2)/35))/(LN(2)/35)*HC27*HD27*VLOOKUP('Données projet'!$B$18,Paramètres!$A$1:$I$89,3,0)*0.475*44/12</f>
        <v>0</v>
      </c>
      <c r="HH27" s="21">
        <f>EXP(-LN(2)/25)*HH26+(1-EXP(-LN(2)/25))/(LN(2)/25)*Calculateur!HC27*Calculateur!HE27*VLOOKUP('Données projet'!$B$18,Paramètres!$A$1:$I$89,3,0)*0.475*44/12</f>
        <v>0</v>
      </c>
      <c r="HI27" s="21">
        <f>EXP(-LN(2)/2)*HI26+(1-EXP(-LN(2)/2))/(LN(2)/2)*HC27*HF27*VLOOKUP('Données projet'!$B$18,Paramètres!$A$1:$I$89,3,0)*0.475*44/12</f>
        <v>0</v>
      </c>
      <c r="HJ27" s="22">
        <f t="shared" si="30"/>
        <v>0</v>
      </c>
    </row>
    <row r="28" spans="1:218" x14ac:dyDescent="0.35">
      <c r="A28" s="10">
        <f t="shared" si="31"/>
        <v>25</v>
      </c>
      <c r="B28" s="72">
        <f>'Scénario référence'!$B$16*5+'Scénario référence'!$B$17*0+'Scénario référence'!$B$18*5</f>
        <v>5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66">
        <f t="shared" si="1"/>
        <v>183.33333333333334</v>
      </c>
      <c r="I28" s="6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4.0628205133333335</v>
      </c>
      <c r="N28" s="13">
        <f>IF('Données projet'!$A$36&gt;35,N27+M28-V27,IF(A28&lt;'Données projet'!$A$36,$K$205^A28,IF(A28='Données projet'!$A$36,'Données projet'!$B$36,N27+M28-V27)))</f>
        <v>54.738229073808903</v>
      </c>
      <c r="O28" s="13">
        <f>N28*VLOOKUP('Données projet'!$B$9,Paramètres!$A$1:$I$89,3,0)*VLOOKUP('Données projet'!$B$9,Paramètres!$A$1:$I$89,5,0)</f>
        <v>49.527149665982293</v>
      </c>
      <c r="P28" s="13">
        <f t="shared" si="33"/>
        <v>14.491576552783048</v>
      </c>
      <c r="Q28" s="20">
        <f t="shared" si="2"/>
        <v>111.49928149768296</v>
      </c>
      <c r="R28" s="59">
        <f t="shared" si="0"/>
        <v>339.53705546401505</v>
      </c>
      <c r="S28" s="59">
        <f ca="1">AVERAGE(OFFSET($R$3,0,0,'Données projet'!$E$9+1,1))-AVERAGE(OFFSET($H$3,0,0,'Données projet'!$E$9+1,1))</f>
        <v>567.42635821507474</v>
      </c>
      <c r="T28" s="59">
        <f t="shared" si="34"/>
        <v>299.04735309930152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4.0628205133333335</v>
      </c>
      <c r="AI28" s="13">
        <f>IF('Données projet'!$A$62&gt;35,AI27+AH28-AQ27,IF(A28&lt;'Données projet'!$A$62,$AF$205^A28,IF(A28='Données projet'!$A$62,'Données projet'!$B$62,AI27+AH28-AQ27)))</f>
        <v>54.738229073808903</v>
      </c>
      <c r="AJ28" s="13">
        <f>AI28*VLOOKUP('Données projet'!$B$10,Paramètres!$A$1:$I$89,3,0)*VLOOKUP('Données projet'!$B$10,Paramètres!$A$1:$I$89,5,0)</f>
        <v>55.504564280842231</v>
      </c>
      <c r="AK28" s="13">
        <f t="shared" si="35"/>
        <v>16.02658171322895</v>
      </c>
      <c r="AL28" s="20">
        <f t="shared" si="4"/>
        <v>124.58341260634063</v>
      </c>
      <c r="AM28" s="59">
        <f t="shared" si="5"/>
        <v>352.62118657267274</v>
      </c>
      <c r="AN28" s="59">
        <f ca="1">AVERAGE(OFFSET($AM$3,0,0,'Données projet'!$E$10+1,1))-AVERAGE(OFFSET($H$3,0,0,'Données projet'!$E$10+1,1))</f>
        <v>626.09203985591455</v>
      </c>
      <c r="AO28" s="59">
        <f t="shared" si="36"/>
        <v>327.65191296575199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>
        <f>VLOOKUP(A28,'Données projet'!$A$87:$I$107,2,0)</f>
        <v>76</v>
      </c>
      <c r="BB28" s="12">
        <f>VLOOKUP(A28,'Données projet'!$A$87:$I$107,9,0)</f>
        <v>8.8000000000000007</v>
      </c>
      <c r="BC28" s="12">
        <f t="array" ref="BC28">INDEX(BB:BB,MIN(IF(ISNUMBER(BB28:BB224),ROW(BB28:BB224),"")))</f>
        <v>8.8000000000000007</v>
      </c>
      <c r="BD28" s="12">
        <f>IF('Données projet'!$A$88&gt;35,BD27+BC28-BL27,IF(A28&lt;'Données projet'!$A$88,$BA$205^A28,IF(A28='Données projet'!$A$88,'Données projet'!$B$88,BD27+BC28-BL27)))</f>
        <v>75.999999999999986</v>
      </c>
      <c r="BE28" s="13">
        <f>BD28*VLOOKUP('Données projet'!$B$11,Paramètres!$A$1:$I$89,3,0)*VLOOKUP('Données projet'!$B$11,Paramètres!$A$1:$I$89,5,0)</f>
        <v>65.207999999999998</v>
      </c>
      <c r="BF28" s="13">
        <f t="shared" si="37"/>
        <v>18.478568429485204</v>
      </c>
      <c r="BG28" s="20">
        <f t="shared" si="7"/>
        <v>145.75410668135339</v>
      </c>
      <c r="BH28" s="59">
        <f t="shared" si="8"/>
        <v>373.7918806476855</v>
      </c>
      <c r="BI28" s="59">
        <f ca="1">AVERAGE(OFFSET($BH$3,0,0,'Données projet'!$E$11+1,1))-AVERAGE(OFFSET($H$3,0,0,'Données projet'!$E$11+1,1))</f>
        <v>481.23392184981651</v>
      </c>
      <c r="BJ28" s="59">
        <f t="shared" si="38"/>
        <v>275.88160405468193</v>
      </c>
      <c r="BK28" s="15">
        <f>IF(ISNA(VLOOKUP(A28,'Données projet'!$A$87:$I$107,3,0)),0,VLOOKUP(A28,'Données projet'!$A$87:$I$107,3,0))</f>
        <v>1</v>
      </c>
      <c r="BL28" s="15">
        <f>IF(ISNA(VLOOKUP(A28,'Données projet'!$A$87:$I$107,4,0)),0,VLOOKUP(A28,'Données projet'!$A$87:$I$107,4,0))</f>
        <v>7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4.8773333333333335</v>
      </c>
      <c r="BY28" s="12">
        <f>IF('Données projet'!$A$114&gt;35,BY27+BX28-CG27,IF(A28&lt;'Données projet'!$A$114,$BV$205^A28,IF(A28='Données projet'!$A$114,'Données projet'!$B$114,BY27+BX28-CG27)))</f>
        <v>63.74112785186194</v>
      </c>
      <c r="BZ28" s="13">
        <f>BY28*VLOOKUP('Données projet'!$B$12,Paramètres!$A$1:$I$89,3,0)*VLOOKUP('Données projet'!$B$12,Paramètres!$A$1:$I$89,5,0)</f>
        <v>29.830847834671388</v>
      </c>
      <c r="CA28" s="13">
        <f t="shared" si="39"/>
        <v>9.2590533440717326</v>
      </c>
      <c r="CB28" s="20">
        <f t="shared" si="10"/>
        <v>68.081577886310939</v>
      </c>
      <c r="CC28" s="59">
        <f t="shared" si="11"/>
        <v>296.11935185264304</v>
      </c>
      <c r="CD28" s="59">
        <f ca="1">AVERAGE(OFFSET($CC$3,0,0,'Données projet'!$E$12+1,1))-AVERAGE(OFFSET($H$3,0,0,'Données projet'!$E$12+1,1))</f>
        <v>331.86732359395467</v>
      </c>
      <c r="CE28" s="59">
        <f t="shared" si="40"/>
        <v>208.64489375183106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>
        <f>VLOOKUP(A28,'Données projet'!$A$139:$I$159,2,0)</f>
        <v>141</v>
      </c>
      <c r="CR28" s="12">
        <f>VLOOKUP(A28,'Données projet'!$A$139:$I$159,9,0)</f>
        <v>14.8</v>
      </c>
      <c r="CS28" s="12">
        <f t="array" ref="CS28">INDEX(CR:CR,MIN(IF(ISNUMBER(CR28:CR224),ROW(CR28:CR224),"")))</f>
        <v>14.8</v>
      </c>
      <c r="CT28" s="12">
        <f>IF('Données projet'!$A$140&gt;35,CT27+CS28-DB27,IF(A28&lt;'Données projet'!$A$140,$CQ$205^A28,IF(A28='Données projet'!$A$140,'Données projet'!$B$140,CT27+CS28-DB27)))</f>
        <v>140.99999999999997</v>
      </c>
      <c r="CU28" s="17">
        <f>CT28*VLOOKUP('Données projet'!$B$13,Paramètres!$A$1:$I$89,3,0)*VLOOKUP('Données projet'!$B$13,Paramètres!$A$1:$I$89,5,0)</f>
        <v>103.38119999999998</v>
      </c>
      <c r="CV28" s="13">
        <f t="shared" si="41"/>
        <v>27.765956260923325</v>
      </c>
      <c r="CW28" s="20">
        <f t="shared" si="13"/>
        <v>228.41463048777476</v>
      </c>
      <c r="CX28" s="59">
        <f t="shared" si="14"/>
        <v>456.45240445410684</v>
      </c>
      <c r="CY28" s="59">
        <f ca="1">AVERAGE(OFFSET($CX$3,0,0,'Données projet'!$E$13+1,1))-AVERAGE(OFFSET($H$3,0,0,'Données projet'!$E$13+1,1))</f>
        <v>352.45777291109863</v>
      </c>
      <c r="CZ28" s="59">
        <f t="shared" si="42"/>
        <v>340.92165104349181</v>
      </c>
      <c r="DA28" s="15">
        <f>IF(ISNA(VLOOKUP(A28,'Données projet'!$A$139:$I$159,3,0)),0,VLOOKUP(A28,'Données projet'!$A$139:$I$159,3,0))</f>
        <v>3</v>
      </c>
      <c r="DB28" s="15">
        <f>IF(ISNA(VLOOKUP(A28,'Données projet'!$A$139:$I$159,4,0)),0,VLOOKUP(A28,'Données projet'!$A$139:$I$159,4,0))</f>
        <v>35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0</v>
      </c>
      <c r="DH28" s="21">
        <f>EXP(-LN(2)/2)*DH27+(1-EXP(-LN(2)/2))/(LN(2)/2)*DB28*DE28*VLOOKUP('Données projet'!$B$13,Paramètres!$A$1:$I$89,3,0)*0.475*44/12</f>
        <v>0</v>
      </c>
      <c r="DI28" s="22">
        <f t="shared" si="15"/>
        <v>0</v>
      </c>
      <c r="DJ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4.0628205133333335</v>
      </c>
      <c r="DO28" s="12">
        <f>IF('Données projet'!$A$166&gt;35,DO27+DN28-DW27,IF(A28&lt;'Données projet'!$A$166,$DL$205^A28,IF(A28='Données projet'!$A$166,'Données projet'!$B$166,DO27+DN28-DW27)))</f>
        <v>54.738229073808903</v>
      </c>
      <c r="DP28" s="17">
        <f>DO28*VLOOKUP('Données projet'!$B$14,Paramètres!$A$1:$I$89,3,0)*VLOOKUP('Données projet'!$B$14,Paramètres!$A$1:$I$89,5,0)</f>
        <v>36.718404062711016</v>
      </c>
      <c r="DQ28" s="13">
        <f t="shared" si="43"/>
        <v>11.124573957195588</v>
      </c>
      <c r="DR28" s="20">
        <f t="shared" si="16"/>
        <v>83.32652005133734</v>
      </c>
      <c r="DS28" s="59">
        <f t="shared" si="17"/>
        <v>311.36429401766947</v>
      </c>
      <c r="DT28" s="59">
        <f ca="1">AVERAGE(OFFSET($DS$3,0,0,'Données projet'!$E$14+1,1))-AVERAGE(OFFSET($H$3,0,0,'Données projet'!$E$14+1,1))</f>
        <v>441.20130048888439</v>
      </c>
      <c r="DU28" s="59">
        <f t="shared" si="44"/>
        <v>237.47732532183946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0</v>
      </c>
      <c r="EC28" s="21">
        <f>EXP(-LN(2)/2)*EC27+(1-EXP(-LN(2)/2))/(LN(2)/2)*DW28*DZ28*VLOOKUP('Données projet'!$B$14,Paramètres!$A$1:$I$89,3,0)*0.475*44/12</f>
        <v>0</v>
      </c>
      <c r="ED28" s="22">
        <f t="shared" si="18"/>
        <v>0</v>
      </c>
      <c r="EE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>
        <f>VLOOKUP(A28,'Données projet'!$A$191:$I$211,2,0)</f>
        <v>141</v>
      </c>
      <c r="EH28" s="12">
        <f>VLOOKUP(A28,'Données projet'!$A$191:$I$211,9,0)</f>
        <v>14.8</v>
      </c>
      <c r="EI28" s="12">
        <f t="array" ref="EI28">INDEX(EH:EH,MIN(IF(ISNUMBER(EH28:EH224),ROW(EH28:EH224),"")))</f>
        <v>14.8</v>
      </c>
      <c r="EJ28" s="12">
        <f>IF('Données projet'!$A$192&gt;35,EJ27+EI28-ER27,IF(A28&lt;'Données projet'!$A$192,$EG$205^A28,IF(A28='Données projet'!$A$192,'Données projet'!$B$192,EJ27+EI28-ER27)))</f>
        <v>140.99999999999997</v>
      </c>
      <c r="EK28" s="17">
        <f>EJ28*VLOOKUP('Données projet'!$B$15,Paramètres!$A$1:$I$89,3,0)*VLOOKUP('Données projet'!$B$15,Paramètres!$A$1:$I$89,5,0)</f>
        <v>112.17959999999998</v>
      </c>
      <c r="EL28" s="13">
        <f t="shared" si="45"/>
        <v>29.8439274472838</v>
      </c>
      <c r="EM28" s="20">
        <f t="shared" si="19"/>
        <v>247.35764363735257</v>
      </c>
      <c r="EN28" s="59">
        <f t="shared" si="20"/>
        <v>475.39541760368468</v>
      </c>
      <c r="EO28" s="59">
        <f ca="1">AVERAGE(OFFSET($EN$3,0,0,'Données projet'!$E$15+1,1))-AVERAGE(OFFSET($H$3,0,0,'Données projet'!$E$15+1,1))</f>
        <v>377.27600411578322</v>
      </c>
      <c r="EP28" s="59">
        <f t="shared" si="46"/>
        <v>364.58250627635425</v>
      </c>
      <c r="EQ28" s="15">
        <f>IF(ISNA(VLOOKUP(A28,'Données projet'!$A$191:$I$211,3,0)),0,VLOOKUP(A28,'Données projet'!$A$191:$I$211,3,0))</f>
        <v>3</v>
      </c>
      <c r="ER28" s="15">
        <f>IF(ISNA(VLOOKUP(A28,'Données projet'!$A$191:$I$211,4,0)),0,VLOOKUP(A28,'Données projet'!$A$191:$I$211,4,0))</f>
        <v>35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>
        <f>EXP(-LN(2)/35)*EV27+(1-EXP(-LN(2)/35))/(LN(2)/35)*ER28*ES28*VLOOKUP('Données projet'!$B$15,Paramètres!$A$1:$I$89,3,0)*0.475*44/12</f>
        <v>0</v>
      </c>
      <c r="EW28" s="21">
        <f>EXP(-LN(2)/25)*EW27+(1-EXP(-LN(2)/25))/(LN(2)/25)*Calculateur!ER28*Calculateur!ET28*VLOOKUP('Données projet'!$B$15,Paramètres!$A$1:$I$89,3,0)*0.475*44/12</f>
        <v>0</v>
      </c>
      <c r="EX28" s="21">
        <f>EXP(-LN(2)/2)*EX27+(1-EXP(-LN(2)/2))/(LN(2)/2)*ER28*EU28*VLOOKUP('Données projet'!$B$15,Paramètres!$A$1:$I$89,3,0)*0.475*44/12</f>
        <v>0</v>
      </c>
      <c r="EY28" s="22">
        <f t="shared" si="21"/>
        <v>0</v>
      </c>
      <c r="EZ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>
        <f>VLOOKUP(A28,'Données projet'!$A$217:$I$237,2,0)</f>
        <v>141</v>
      </c>
      <c r="FC28" s="12">
        <f>VLOOKUP(A28,'Données projet'!$A$217:$I$237,9,0)</f>
        <v>14.8</v>
      </c>
      <c r="FD28" s="12">
        <f t="array" ref="FD28">INDEX(FC:FC,MIN(IF(ISNUMBER(FC28:FC224),ROW(FC28:FC224),"")))</f>
        <v>14.8</v>
      </c>
      <c r="FE28" s="12">
        <f>IF('Données projet'!$A$218&gt;35,FE27+FD28-FM27,IF(A28&lt;'Données projet'!$A$218,$FB$205^A28,IF(A28='Données projet'!$A$218,'Données projet'!$B$218,FE27+FD28-FM27)))</f>
        <v>140.99999999999997</v>
      </c>
      <c r="FF28" s="17">
        <f>FE28*VLOOKUP('Données projet'!$B$16,Paramètres!$A$1:$I$89,3,0)*VLOOKUP('Données projet'!$B$16,Paramètres!$A$1:$I$89,5,0)</f>
        <v>114.3792</v>
      </c>
      <c r="FG28" s="13">
        <f t="shared" si="47"/>
        <v>30.360402323573549</v>
      </c>
      <c r="FH28" s="20">
        <f t="shared" si="22"/>
        <v>252.08814071355724</v>
      </c>
      <c r="FI28" s="59">
        <f t="shared" si="23"/>
        <v>480.12591467988932</v>
      </c>
      <c r="FJ28" s="59">
        <f ca="1">AVERAGE(OFFSET($FI$3,0,0,'Données projet'!$E$16+1,1))-AVERAGE(OFFSET($H$3,0,0,'Données projet'!$E$16+1,1))</f>
        <v>383.47399633251354</v>
      </c>
      <c r="FK28" s="59">
        <f t="shared" si="48"/>
        <v>370.49129421395628</v>
      </c>
      <c r="FL28" s="15">
        <f>IF(ISNA(VLOOKUP(A28,'Données projet'!$A$217:$I$237,3,0)),0,VLOOKUP(A28,'Données projet'!$A$217:$I$237,3,0))</f>
        <v>3</v>
      </c>
      <c r="FM28" s="15">
        <f>IF(ISNA(VLOOKUP(A28,'Données projet'!$A$217:$I$237,4,0)),0,VLOOKUP(A28,'Données projet'!$A$217:$I$237,4,0))</f>
        <v>35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>
        <f>EXP(-LN(2)/35)*FQ27+(1-EXP(-LN(2)/35))/(LN(2)/35)*FM28*FN28*VLOOKUP('Données projet'!$B$16,Paramètres!$A$1:$I$89,3,0)*0.475*44/12</f>
        <v>0</v>
      </c>
      <c r="FR28" s="21">
        <f>EXP(-LN(2)/25)*FR27+(1-EXP(-LN(2)/25))/(LN(2)/25)*Calculateur!FM28*Calculateur!FO28*VLOOKUP('Données projet'!$B$16,Paramètres!$A$1:$I$89,3,0)*0.475*44/12</f>
        <v>0</v>
      </c>
      <c r="FS28" s="21">
        <f>EXP(-LN(2)/2)*FS27+(1-EXP(-LN(2)/2))/(LN(2)/2)*FM28*FP28*VLOOKUP('Données projet'!$B$16,Paramètres!$A$1:$I$89,3,0)*0.475*44/12</f>
        <v>0</v>
      </c>
      <c r="FT28" s="22">
        <f t="shared" si="24"/>
        <v>0</v>
      </c>
      <c r="FU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4.0628205133333335</v>
      </c>
      <c r="FZ28" s="12">
        <f>IF('Données projet'!$A$244&gt;35,FZ27+FY28-GH27,IF(A28&lt;'Données projet'!$A$244,$FW$205^A28,IF(A28='Données projet'!$A$244,'Données projet'!$B$244,FZ27+FY28-GH27)))</f>
        <v>54.738229073808903</v>
      </c>
      <c r="GA28" s="17">
        <f>FZ28*VLOOKUP('Données projet'!$B$17,Paramètres!$A$1:$I$89,3,0)*VLOOKUP('Données projet'!$B$17,Paramètres!$A$1:$I$89,5,0)</f>
        <v>52.088898786636555</v>
      </c>
      <c r="GB28" s="13">
        <f t="shared" si="49"/>
        <v>15.151935135177752</v>
      </c>
      <c r="GC28" s="20">
        <f t="shared" si="25"/>
        <v>117.11111908049322</v>
      </c>
      <c r="GD28" s="59">
        <f t="shared" si="26"/>
        <v>345.14889304682532</v>
      </c>
      <c r="GE28" s="59">
        <f ca="1">AVERAGE(OFFSET($GD$3,0,0,'Données projet'!$E$17+1,1))-AVERAGE(OFFSET($H$3,0,0,'Données projet'!$E$17+1,1))</f>
        <v>592.58528889137358</v>
      </c>
      <c r="GF28" s="59">
        <f t="shared" si="50"/>
        <v>311.31528020403709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>
        <f>EXP(-LN(2)/35)*GL27+(1-EXP(-LN(2)/35))/(LN(2)/35)*GH28*GI28*VLOOKUP('Données projet'!$B$17,Paramètres!$A$1:$I$89,3,0)*0.475*44/12</f>
        <v>0</v>
      </c>
      <c r="GM28" s="21">
        <f>EXP(-LN(2)/25)*GM27+(1-EXP(-LN(2)/25))/(LN(2)/25)*Calculateur!GH28*Calculateur!GJ28*VLOOKUP('Données projet'!$B$17,Paramètres!$A$1:$I$89,3,0)*0.475*44/12</f>
        <v>0</v>
      </c>
      <c r="GN28" s="21">
        <f>EXP(-LN(2)/2)*GN27+(1-EXP(-LN(2)/2))/(LN(2)/2)*GH28*GK28*VLOOKUP('Données projet'!$B$17,Paramètres!$A$1:$I$89,3,0)*0.475*44/12</f>
        <v>0</v>
      </c>
      <c r="GO28" s="21">
        <f t="shared" si="27"/>
        <v>0</v>
      </c>
      <c r="GP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>
        <f>VLOOKUP(A28,'Données projet'!$A$269:$I$289,2,0)</f>
        <v>113</v>
      </c>
      <c r="GS28" s="12">
        <f>VLOOKUP(A28,'Données projet'!$A$269:$I$289,9,0)</f>
        <v>10.6</v>
      </c>
      <c r="GT28" s="12">
        <f t="array" ref="GT28">INDEX(GS:GS,MIN(IF(ISNUMBER(GS28:GS224),ROW(GS28:GS224),"")))</f>
        <v>10.6</v>
      </c>
      <c r="GU28" s="12">
        <f>IF('Données projet'!$A$270&gt;35,GU27+GT28-HC27,IF(A28&lt;'Données projet'!$A$270,$GR$205^A28,IF(A28='Données projet'!$A$270,'Données projet'!$B$270,GU27+GT28-HC27)))</f>
        <v>112.99999999999996</v>
      </c>
      <c r="GV28" s="17">
        <f>GU28*VLOOKUP('Données projet'!$B$18,Paramètres!$A$1:$I$89,3,0)*VLOOKUP('Données projet'!$B$18,Paramètres!$A$1:$I$89,5,0)</f>
        <v>88.139999999999972</v>
      </c>
      <c r="GW28" s="13">
        <f t="shared" si="51"/>
        <v>24.116094026318823</v>
      </c>
      <c r="GX28" s="20">
        <f t="shared" si="28"/>
        <v>195.51269709583855</v>
      </c>
      <c r="GY28" s="59">
        <f t="shared" si="29"/>
        <v>423.55047106217069</v>
      </c>
      <c r="GZ28" s="59">
        <f ca="1">AVERAGE(OFFSET($GY$3,0,0,'Données projet'!$E$18+1,1))-AVERAGE(OFFSET($H$3,0,0,'Données projet'!$E$18+1,1))</f>
        <v>308.85018589589453</v>
      </c>
      <c r="HA28" s="59">
        <f t="shared" si="52"/>
        <v>302.59481222418219</v>
      </c>
      <c r="HB28" s="15">
        <f>IF(ISNA(VLOOKUP(A28,'Données projet'!$A$269:$I$289,3,0)),0,VLOOKUP(A28,'Données projet'!$A$269:$I$289,3,0))</f>
        <v>3</v>
      </c>
      <c r="HC28" s="15">
        <f>IF(ISNA(VLOOKUP(A28,'Données projet'!$A$269:$I$289,4,0)),0,VLOOKUP(A28,'Données projet'!$A$269:$I$289,4,0))</f>
        <v>27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>
        <f>EXP(-LN(2)/35)*HG27+(1-EXP(-LN(2)/35))/(LN(2)/35)*HC28*HD28*VLOOKUP('Données projet'!$B$18,Paramètres!$A$1:$I$89,3,0)*0.475*44/12</f>
        <v>0</v>
      </c>
      <c r="HH28" s="21">
        <f>EXP(-LN(2)/25)*HH27+(1-EXP(-LN(2)/25))/(LN(2)/25)*Calculateur!HC28*Calculateur!HE28*VLOOKUP('Données projet'!$B$18,Paramètres!$A$1:$I$89,3,0)*0.475*44/12</f>
        <v>0</v>
      </c>
      <c r="HI28" s="21">
        <f>EXP(-LN(2)/2)*HI27+(1-EXP(-LN(2)/2))/(LN(2)/2)*HC28*HF28*VLOOKUP('Données projet'!$B$18,Paramètres!$A$1:$I$89,3,0)*0.475*44/12</f>
        <v>0</v>
      </c>
      <c r="HJ28" s="22">
        <f t="shared" si="30"/>
        <v>0</v>
      </c>
    </row>
    <row r="29" spans="1:218" x14ac:dyDescent="0.35">
      <c r="A29" s="10">
        <f t="shared" si="31"/>
        <v>26</v>
      </c>
      <c r="B29" s="72">
        <f>'Scénario référence'!$B$16*5+'Scénario référence'!$B$17*0+'Scénario référence'!$B$18*5</f>
        <v>5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66">
        <f t="shared" si="1"/>
        <v>183.33333333333334</v>
      </c>
      <c r="I29" s="6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4.0628205133333335</v>
      </c>
      <c r="N29" s="13">
        <f>IF('Données projet'!$A$36&gt;35,N28+M29-V28,IF(A29&lt;'Données projet'!$A$36,$K$205^A29,IF(A29='Données projet'!$A$36,'Données projet'!$B$36,N28+M29-V28)))</f>
        <v>64.242491013250699</v>
      </c>
      <c r="O29" s="13">
        <f>N29*VLOOKUP('Données projet'!$B$9,Paramètres!$A$1:$I$89,3,0)*VLOOKUP('Données projet'!$B$9,Paramètres!$A$1:$I$89,5,0)</f>
        <v>58.126605868789227</v>
      </c>
      <c r="P29" s="13">
        <f t="shared" si="33"/>
        <v>16.693745310788277</v>
      </c>
      <c r="Q29" s="20">
        <f t="shared" si="2"/>
        <v>130.31211163776413</v>
      </c>
      <c r="R29" s="59">
        <f t="shared" si="0"/>
        <v>360.59882568695434</v>
      </c>
      <c r="S29" s="59">
        <f ca="1">AVERAGE(OFFSET($R$3,0,0,'Données projet'!$E$9+1,1))-AVERAGE(OFFSET($H$3,0,0,'Données projet'!$E$9+1,1))</f>
        <v>567.42635821507474</v>
      </c>
      <c r="T29" s="59">
        <f t="shared" si="34"/>
        <v>299.04735309930152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4.0628205133333335</v>
      </c>
      <c r="AI29" s="13">
        <f>IF('Données projet'!$A$62&gt;35,AI28+AH29-AQ28,IF(A29&lt;'Données projet'!$A$62,$AF$205^A29,IF(A29='Données projet'!$A$62,'Données projet'!$B$62,AI28+AH29-AQ28)))</f>
        <v>64.242491013250699</v>
      </c>
      <c r="AJ29" s="13">
        <f>AI29*VLOOKUP('Données projet'!$B$10,Paramètres!$A$1:$I$89,3,0)*VLOOKUP('Données projet'!$B$10,Paramètres!$A$1:$I$89,5,0)</f>
        <v>65.141885887436217</v>
      </c>
      <c r="AK29" s="13">
        <f t="shared" si="35"/>
        <v>18.462012904441391</v>
      </c>
      <c r="AL29" s="20">
        <f t="shared" si="4"/>
        <v>145.61012372918682</v>
      </c>
      <c r="AM29" s="59">
        <f t="shared" si="5"/>
        <v>375.89683777837701</v>
      </c>
      <c r="AN29" s="59">
        <f ca="1">AVERAGE(OFFSET($AM$3,0,0,'Données projet'!$E$10+1,1))-AVERAGE(OFFSET($H$3,0,0,'Données projet'!$E$10+1,1))</f>
        <v>626.09203985591455</v>
      </c>
      <c r="AO29" s="59">
        <f t="shared" si="36"/>
        <v>327.65191296575199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9.4</v>
      </c>
      <c r="BD29" s="12">
        <f>IF('Données projet'!$A$88&gt;35,BD28+BC29-BL28,IF(A29&lt;'Données projet'!$A$88,$BA$205^A29,IF(A29='Données projet'!$A$88,'Données projet'!$B$88,BD28+BC29-BL28)))</f>
        <v>78.399999999999991</v>
      </c>
      <c r="BE29" s="13">
        <f>BD29*VLOOKUP('Données projet'!$B$11,Paramètres!$A$1:$I$89,3,0)*VLOOKUP('Données projet'!$B$11,Paramètres!$A$1:$I$89,5,0)</f>
        <v>67.267200000000003</v>
      </c>
      <c r="BF29" s="13">
        <f t="shared" si="37"/>
        <v>18.993242158132926</v>
      </c>
      <c r="BG29" s="20">
        <f t="shared" si="7"/>
        <v>150.23693675874819</v>
      </c>
      <c r="BH29" s="59">
        <f t="shared" si="8"/>
        <v>380.52365080793834</v>
      </c>
      <c r="BI29" s="59">
        <f ca="1">AVERAGE(OFFSET($BH$3,0,0,'Données projet'!$E$11+1,1))-AVERAGE(OFFSET($H$3,0,0,'Données projet'!$E$11+1,1))</f>
        <v>481.23392184981651</v>
      </c>
      <c r="BJ29" s="59">
        <f t="shared" si="38"/>
        <v>275.88160405468193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4.8773333333333335</v>
      </c>
      <c r="BY29" s="12">
        <f>IF('Données projet'!$A$114&gt;35,BY28+BX29-CG28,IF(A29&lt;'Données projet'!$A$114,$BV$205^A29,IF(A29='Données projet'!$A$114,'Données projet'!$B$114,BY28+BX29-CG28)))</f>
        <v>75.265600935153429</v>
      </c>
      <c r="BZ29" s="13">
        <f>BY29*VLOOKUP('Données projet'!$B$12,Paramètres!$A$1:$I$89,3,0)*VLOOKUP('Données projet'!$B$12,Paramètres!$A$1:$I$89,5,0)</f>
        <v>35.224301237651801</v>
      </c>
      <c r="CA29" s="13">
        <f t="shared" si="39"/>
        <v>10.723634361125281</v>
      </c>
      <c r="CB29" s="20">
        <f t="shared" si="10"/>
        <v>80.025987834536735</v>
      </c>
      <c r="CC29" s="59">
        <f t="shared" si="11"/>
        <v>310.3127018837269</v>
      </c>
      <c r="CD29" s="59">
        <f ca="1">AVERAGE(OFFSET($CC$3,0,0,'Données projet'!$E$12+1,1))-AVERAGE(OFFSET($H$3,0,0,'Données projet'!$E$12+1,1))</f>
        <v>331.86732359395467</v>
      </c>
      <c r="CE29" s="59">
        <f t="shared" si="40"/>
        <v>208.64489375183106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14.2</v>
      </c>
      <c r="CT29" s="12">
        <f>IF('Données projet'!$A$140&gt;35,CT28+CS29-DB28,IF(A29&lt;'Données projet'!$A$140,$CQ$205^A29,IF(A29='Données projet'!$A$140,'Données projet'!$B$140,CT28+CS29-DB28)))</f>
        <v>120.19999999999996</v>
      </c>
      <c r="CU29" s="17">
        <f>CT29*VLOOKUP('Données projet'!$B$13,Paramètres!$A$1:$I$89,3,0)*VLOOKUP('Données projet'!$B$13,Paramètres!$A$1:$I$89,5,0)</f>
        <v>88.130639999999971</v>
      </c>
      <c r="CV29" s="13">
        <f t="shared" si="41"/>
        <v>24.113831111728981</v>
      </c>
      <c r="CW29" s="20">
        <f t="shared" si="13"/>
        <v>195.49245385292792</v>
      </c>
      <c r="CX29" s="59">
        <f t="shared" si="14"/>
        <v>425.7791679021181</v>
      </c>
      <c r="CY29" s="59">
        <f ca="1">AVERAGE(OFFSET($CX$3,0,0,'Données projet'!$E$13+1,1))-AVERAGE(OFFSET($H$3,0,0,'Données projet'!$E$13+1,1))</f>
        <v>352.45777291109863</v>
      </c>
      <c r="CZ29" s="59">
        <f t="shared" si="42"/>
        <v>340.92165104349181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0</v>
      </c>
      <c r="DH29" s="21">
        <f>EXP(-LN(2)/2)*DH28+(1-EXP(-LN(2)/2))/(LN(2)/2)*DB29*DE29*VLOOKUP('Données projet'!$B$13,Paramètres!$A$1:$I$89,3,0)*0.475*44/12</f>
        <v>0</v>
      </c>
      <c r="DI29" s="22">
        <f t="shared" si="15"/>
        <v>0</v>
      </c>
      <c r="DJ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4.0628205133333335</v>
      </c>
      <c r="DO29" s="12">
        <f>IF('Données projet'!$A$166&gt;35,DO28+DN29-DW28,IF(A29&lt;'Données projet'!$A$166,$DL$205^A29,IF(A29='Données projet'!$A$166,'Données projet'!$B$166,DO28+DN29-DW28)))</f>
        <v>64.242491013250699</v>
      </c>
      <c r="DP29" s="17">
        <f>DO29*VLOOKUP('Données projet'!$B$14,Paramètres!$A$1:$I$89,3,0)*VLOOKUP('Données projet'!$B$14,Paramètres!$A$1:$I$89,5,0)</f>
        <v>43.093862971688573</v>
      </c>
      <c r="DQ29" s="13">
        <f t="shared" si="43"/>
        <v>12.815086312799156</v>
      </c>
      <c r="DR29" s="20">
        <f t="shared" si="16"/>
        <v>97.374753337149457</v>
      </c>
      <c r="DS29" s="59">
        <f t="shared" si="17"/>
        <v>327.66146738633961</v>
      </c>
      <c r="DT29" s="59">
        <f ca="1">AVERAGE(OFFSET($DS$3,0,0,'Données projet'!$E$14+1,1))-AVERAGE(OFFSET($H$3,0,0,'Données projet'!$E$14+1,1))</f>
        <v>441.20130048888439</v>
      </c>
      <c r="DU29" s="59">
        <f t="shared" si="44"/>
        <v>237.47732532183946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0</v>
      </c>
      <c r="EC29" s="21">
        <f>EXP(-LN(2)/2)*EC28+(1-EXP(-LN(2)/2))/(LN(2)/2)*DW29*DZ29*VLOOKUP('Données projet'!$B$14,Paramètres!$A$1:$I$89,3,0)*0.475*44/12</f>
        <v>0</v>
      </c>
      <c r="ED29" s="22">
        <f t="shared" si="18"/>
        <v>0</v>
      </c>
      <c r="EE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14.2</v>
      </c>
      <c r="EJ29" s="12">
        <f>IF('Données projet'!$A$192&gt;35,EJ28+EI29-ER28,IF(A29&lt;'Données projet'!$A$192,$EG$205^A29,IF(A29='Données projet'!$A$192,'Données projet'!$B$192,EJ28+EI29-ER28)))</f>
        <v>120.19999999999996</v>
      </c>
      <c r="EK29" s="17">
        <f>EJ29*VLOOKUP('Données projet'!$B$15,Paramètres!$A$1:$I$89,3,0)*VLOOKUP('Données projet'!$B$15,Paramètres!$A$1:$I$89,5,0)</f>
        <v>95.631119999999967</v>
      </c>
      <c r="EL29" s="13">
        <f t="shared" si="45"/>
        <v>25.918481589892234</v>
      </c>
      <c r="EM29" s="20">
        <f t="shared" si="19"/>
        <v>211.69888943572892</v>
      </c>
      <c r="EN29" s="59">
        <f t="shared" si="20"/>
        <v>441.98560348491912</v>
      </c>
      <c r="EO29" s="59">
        <f ca="1">AVERAGE(OFFSET($EN$3,0,0,'Données projet'!$E$15+1,1))-AVERAGE(OFFSET($H$3,0,0,'Données projet'!$E$15+1,1))</f>
        <v>377.27600411578322</v>
      </c>
      <c r="EP29" s="59">
        <f t="shared" si="46"/>
        <v>364.58250627635425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>
        <f>EXP(-LN(2)/35)*EV28+(1-EXP(-LN(2)/35))/(LN(2)/35)*ER29*ES29*VLOOKUP('Données projet'!$B$15,Paramètres!$A$1:$I$89,3,0)*0.475*44/12</f>
        <v>0</v>
      </c>
      <c r="EW29" s="21">
        <f>EXP(-LN(2)/25)*EW28+(1-EXP(-LN(2)/25))/(LN(2)/25)*Calculateur!ER29*Calculateur!ET29*VLOOKUP('Données projet'!$B$15,Paramètres!$A$1:$I$89,3,0)*0.475*44/12</f>
        <v>0</v>
      </c>
      <c r="EX29" s="21">
        <f>EXP(-LN(2)/2)*EX28+(1-EXP(-LN(2)/2))/(LN(2)/2)*ER29*EU29*VLOOKUP('Données projet'!$B$15,Paramètres!$A$1:$I$89,3,0)*0.475*44/12</f>
        <v>0</v>
      </c>
      <c r="EY29" s="22">
        <f t="shared" si="21"/>
        <v>0</v>
      </c>
      <c r="EZ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14.2</v>
      </c>
      <c r="FE29" s="12">
        <f>IF('Données projet'!$A$218&gt;35,FE28+FD29-FM28,IF(A29&lt;'Données projet'!$A$218,$FB$205^A29,IF(A29='Données projet'!$A$218,'Données projet'!$B$218,FE28+FD29-FM28)))</f>
        <v>120.19999999999996</v>
      </c>
      <c r="FF29" s="17">
        <f>FE29*VLOOKUP('Données projet'!$B$16,Paramètres!$A$1:$I$89,3,0)*VLOOKUP('Données projet'!$B$16,Paramètres!$A$1:$I$89,5,0)</f>
        <v>97.506239999999977</v>
      </c>
      <c r="FG29" s="13">
        <f t="shared" si="47"/>
        <v>26.367023243681039</v>
      </c>
      <c r="FH29" s="20">
        <f t="shared" si="22"/>
        <v>215.74593348274445</v>
      </c>
      <c r="FI29" s="59">
        <f t="shared" si="23"/>
        <v>446.03264753193463</v>
      </c>
      <c r="FJ29" s="59">
        <f ca="1">AVERAGE(OFFSET($FI$3,0,0,'Données projet'!$E$16+1,1))-AVERAGE(OFFSET($H$3,0,0,'Données projet'!$E$16+1,1))</f>
        <v>383.47399633251354</v>
      </c>
      <c r="FK29" s="59">
        <f t="shared" si="48"/>
        <v>370.49129421395628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>
        <f>EXP(-LN(2)/35)*FQ28+(1-EXP(-LN(2)/35))/(LN(2)/35)*FM29*FN29*VLOOKUP('Données projet'!$B$16,Paramètres!$A$1:$I$89,3,0)*0.475*44/12</f>
        <v>0</v>
      </c>
      <c r="FR29" s="21">
        <f>EXP(-LN(2)/25)*FR28+(1-EXP(-LN(2)/25))/(LN(2)/25)*Calculateur!FM29*Calculateur!FO29*VLOOKUP('Données projet'!$B$16,Paramètres!$A$1:$I$89,3,0)*0.475*44/12</f>
        <v>0</v>
      </c>
      <c r="FS29" s="21">
        <f>EXP(-LN(2)/2)*FS28+(1-EXP(-LN(2)/2))/(LN(2)/2)*FM29*FP29*VLOOKUP('Données projet'!$B$16,Paramètres!$A$1:$I$89,3,0)*0.475*44/12</f>
        <v>0</v>
      </c>
      <c r="FT29" s="22">
        <f t="shared" si="24"/>
        <v>0</v>
      </c>
      <c r="FU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4.0628205133333335</v>
      </c>
      <c r="FZ29" s="12">
        <f>IF('Données projet'!$A$244&gt;35,FZ28+FY29-GH28,IF(A29&lt;'Données projet'!$A$244,$FW$205^A29,IF(A29='Données projet'!$A$244,'Données projet'!$B$244,FZ28+FY29-GH28)))</f>
        <v>64.242491013250699</v>
      </c>
      <c r="GA29" s="17">
        <f>FZ29*VLOOKUP('Données projet'!$B$17,Paramètres!$A$1:$I$89,3,0)*VLOOKUP('Données projet'!$B$17,Paramètres!$A$1:$I$89,5,0)</f>
        <v>61.133154448209368</v>
      </c>
      <c r="GB29" s="13">
        <f t="shared" si="49"/>
        <v>17.454453295053341</v>
      </c>
      <c r="GC29" s="20">
        <f t="shared" si="25"/>
        <v>136.87341681951588</v>
      </c>
      <c r="GD29" s="59">
        <f t="shared" si="26"/>
        <v>367.16013086870606</v>
      </c>
      <c r="GE29" s="59">
        <f ca="1">AVERAGE(OFFSET($GD$3,0,0,'Données projet'!$E$17+1,1))-AVERAGE(OFFSET($H$3,0,0,'Données projet'!$E$17+1,1))</f>
        <v>592.58528889137358</v>
      </c>
      <c r="GF29" s="59">
        <f t="shared" si="50"/>
        <v>311.31528020403709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>
        <f>EXP(-LN(2)/35)*GL28+(1-EXP(-LN(2)/35))/(LN(2)/35)*GH29*GI29*VLOOKUP('Données projet'!$B$17,Paramètres!$A$1:$I$89,3,0)*0.475*44/12</f>
        <v>0</v>
      </c>
      <c r="GM29" s="21">
        <f>EXP(-LN(2)/25)*GM28+(1-EXP(-LN(2)/25))/(LN(2)/25)*Calculateur!GH29*Calculateur!GJ29*VLOOKUP('Données projet'!$B$17,Paramètres!$A$1:$I$89,3,0)*0.475*44/12</f>
        <v>0</v>
      </c>
      <c r="GN29" s="21">
        <f>EXP(-LN(2)/2)*GN28+(1-EXP(-LN(2)/2))/(LN(2)/2)*GH29*GK29*VLOOKUP('Données projet'!$B$17,Paramètres!$A$1:$I$89,3,0)*0.475*44/12</f>
        <v>0</v>
      </c>
      <c r="GO29" s="21">
        <f t="shared" si="27"/>
        <v>0</v>
      </c>
      <c r="GP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11.5</v>
      </c>
      <c r="GU29" s="12">
        <f>IF('Données projet'!$A$270&gt;35,GU28+GT29-HC28,IF(A29&lt;'Données projet'!$A$270,$GR$205^A29,IF(A29='Données projet'!$A$270,'Données projet'!$B$270,GU28+GT29-HC28)))</f>
        <v>97.499999999999957</v>
      </c>
      <c r="GV29" s="17">
        <f>GU29*VLOOKUP('Données projet'!$B$18,Paramètres!$A$1:$I$89,3,0)*VLOOKUP('Données projet'!$B$18,Paramètres!$A$1:$I$89,5,0)</f>
        <v>76.049999999999969</v>
      </c>
      <c r="GW29" s="13">
        <f t="shared" si="51"/>
        <v>21.168560890749262</v>
      </c>
      <c r="GX29" s="20">
        <f t="shared" si="28"/>
        <v>169.32232688472158</v>
      </c>
      <c r="GY29" s="59">
        <f t="shared" si="29"/>
        <v>399.60904093391173</v>
      </c>
      <c r="GZ29" s="59">
        <f ca="1">AVERAGE(OFFSET($GY$3,0,0,'Données projet'!$E$18+1,1))-AVERAGE(OFFSET($H$3,0,0,'Données projet'!$E$18+1,1))</f>
        <v>308.85018589589453</v>
      </c>
      <c r="HA29" s="59">
        <f t="shared" si="52"/>
        <v>302.59481222418219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>
        <f>EXP(-LN(2)/35)*HG28+(1-EXP(-LN(2)/35))/(LN(2)/35)*HC29*HD29*VLOOKUP('Données projet'!$B$18,Paramètres!$A$1:$I$89,3,0)*0.475*44/12</f>
        <v>0</v>
      </c>
      <c r="HH29" s="21">
        <f>EXP(-LN(2)/25)*HH28+(1-EXP(-LN(2)/25))/(LN(2)/25)*Calculateur!HC29*Calculateur!HE29*VLOOKUP('Données projet'!$B$18,Paramètres!$A$1:$I$89,3,0)*0.475*44/12</f>
        <v>0</v>
      </c>
      <c r="HI29" s="21">
        <f>EXP(-LN(2)/2)*HI28+(1-EXP(-LN(2)/2))/(LN(2)/2)*HC29*HF29*VLOOKUP('Données projet'!$B$18,Paramètres!$A$1:$I$89,3,0)*0.475*44/12</f>
        <v>0</v>
      </c>
      <c r="HJ29" s="22">
        <f t="shared" si="30"/>
        <v>0</v>
      </c>
    </row>
    <row r="30" spans="1:218" x14ac:dyDescent="0.35">
      <c r="A30" s="10">
        <f t="shared" si="31"/>
        <v>27</v>
      </c>
      <c r="B30" s="72">
        <f>'Scénario référence'!$B$16*5+'Scénario référence'!$B$17*0+'Scénario référence'!$B$18*5</f>
        <v>5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66">
        <f t="shared" si="1"/>
        <v>183.33333333333334</v>
      </c>
      <c r="I30" s="6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4.0628205133333335</v>
      </c>
      <c r="N30" s="13">
        <f>IF('Données projet'!$A$36&gt;35,N29+M30-V29,IF(A30&lt;'Données projet'!$A$36,$K$205^A30,IF(A30='Données projet'!$A$36,'Données projet'!$B$36,N29+M30-V29)))</f>
        <v>75.396988931129442</v>
      </c>
      <c r="O30" s="13">
        <f>N30*VLOOKUP('Données projet'!$B$9,Paramètres!$A$1:$I$89,3,0)*VLOOKUP('Données projet'!$B$9,Paramètres!$A$1:$I$89,5,0)</f>
        <v>68.21919558488591</v>
      </c>
      <c r="P30" s="13">
        <f t="shared" si="33"/>
        <v>19.230560007492496</v>
      </c>
      <c r="Q30" s="20">
        <f t="shared" si="2"/>
        <v>152.30832432339238</v>
      </c>
      <c r="R30" s="59">
        <f t="shared" si="0"/>
        <v>384.82616719595592</v>
      </c>
      <c r="S30" s="59">
        <f ca="1">AVERAGE(OFFSET($R$3,0,0,'Données projet'!$E$9+1,1))-AVERAGE(OFFSET($H$3,0,0,'Données projet'!$E$9+1,1))</f>
        <v>567.42635821507474</v>
      </c>
      <c r="T30" s="59">
        <f t="shared" si="34"/>
        <v>299.04735309930152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4.0628205133333335</v>
      </c>
      <c r="AI30" s="13">
        <f>IF('Données projet'!$A$62&gt;35,AI29+AH30-AQ29,IF(A30&lt;'Données projet'!$A$62,$AF$205^A30,IF(A30='Données projet'!$A$62,'Données projet'!$B$62,AI29+AH30-AQ29)))</f>
        <v>75.396988931129442</v>
      </c>
      <c r="AJ30" s="13">
        <f>AI30*VLOOKUP('Données projet'!$B$10,Paramètres!$A$1:$I$89,3,0)*VLOOKUP('Données projet'!$B$10,Paramètres!$A$1:$I$89,5,0)</f>
        <v>76.452546776165264</v>
      </c>
      <c r="AK30" s="13">
        <f t="shared" si="35"/>
        <v>21.267537057039007</v>
      </c>
      <c r="AL30" s="20">
        <f t="shared" si="4"/>
        <v>170.19581267616408</v>
      </c>
      <c r="AM30" s="59">
        <f t="shared" si="5"/>
        <v>402.71365554872762</v>
      </c>
      <c r="AN30" s="59">
        <f ca="1">AVERAGE(OFFSET($AM$3,0,0,'Données projet'!$E$10+1,1))-AVERAGE(OFFSET($H$3,0,0,'Données projet'!$E$10+1,1))</f>
        <v>626.09203985591455</v>
      </c>
      <c r="AO30" s="59">
        <f t="shared" si="36"/>
        <v>327.65191296575199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9.4</v>
      </c>
      <c r="BD30" s="12">
        <f>IF('Données projet'!$A$88&gt;35,BD29+BC30-BL29,IF(A30&lt;'Données projet'!$A$88,$BA$205^A30,IF(A30='Données projet'!$A$88,'Données projet'!$B$88,BD29+BC30-BL29)))</f>
        <v>87.8</v>
      </c>
      <c r="BE30" s="13">
        <f>BD30*VLOOKUP('Données projet'!$B$11,Paramètres!$A$1:$I$89,3,0)*VLOOKUP('Données projet'!$B$11,Paramètres!$A$1:$I$89,5,0)</f>
        <v>75.332400000000007</v>
      </c>
      <c r="BF30" s="13">
        <f t="shared" si="37"/>
        <v>20.991969498724234</v>
      </c>
      <c r="BG30" s="20">
        <f t="shared" si="7"/>
        <v>167.76494354361137</v>
      </c>
      <c r="BH30" s="59">
        <f t="shared" si="8"/>
        <v>400.28278641617487</v>
      </c>
      <c r="BI30" s="59">
        <f ca="1">AVERAGE(OFFSET($BH$3,0,0,'Données projet'!$E$11+1,1))-AVERAGE(OFFSET($H$3,0,0,'Données projet'!$E$11+1,1))</f>
        <v>481.23392184981651</v>
      </c>
      <c r="BJ30" s="59">
        <f t="shared" si="38"/>
        <v>275.88160405468193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4.8773333333333335</v>
      </c>
      <c r="BY30" s="12">
        <f>IF('Données projet'!$A$114&gt;35,BY29+BX30-CG29,IF(A30&lt;'Données projet'!$A$114,$BV$205^A30,IF(A30='Données projet'!$A$114,'Données projet'!$B$114,BY29+BX30-CG29)))</f>
        <v>88.873712703913057</v>
      </c>
      <c r="BZ30" s="13">
        <f>BY30*VLOOKUP('Données projet'!$B$12,Paramètres!$A$1:$I$89,3,0)*VLOOKUP('Données projet'!$B$12,Paramètres!$A$1:$I$89,5,0)</f>
        <v>41.592897545431306</v>
      </c>
      <c r="CA30" s="13">
        <f t="shared" si="39"/>
        <v>12.419880266132731</v>
      </c>
      <c r="CB30" s="20">
        <f t="shared" si="10"/>
        <v>94.072254688474018</v>
      </c>
      <c r="CC30" s="59">
        <f t="shared" si="11"/>
        <v>326.59009756103751</v>
      </c>
      <c r="CD30" s="59">
        <f ca="1">AVERAGE(OFFSET($CC$3,0,0,'Données projet'!$E$12+1,1))-AVERAGE(OFFSET($H$3,0,0,'Données projet'!$E$12+1,1))</f>
        <v>331.86732359395467</v>
      </c>
      <c r="CE30" s="59">
        <f t="shared" si="40"/>
        <v>208.64489375183106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14.2</v>
      </c>
      <c r="CT30" s="12">
        <f>IF('Données projet'!$A$140&gt;35,CT29+CS30-DB29,IF(A30&lt;'Données projet'!$A$140,$CQ$205^A30,IF(A30='Données projet'!$A$140,'Données projet'!$B$140,CT29+CS30-DB29)))</f>
        <v>134.39999999999995</v>
      </c>
      <c r="CU30" s="17">
        <f>CT30*VLOOKUP('Données projet'!$B$13,Paramètres!$A$1:$I$89,3,0)*VLOOKUP('Données projet'!$B$13,Paramètres!$A$1:$I$89,5,0)</f>
        <v>98.542079999999956</v>
      </c>
      <c r="CV30" s="13">
        <f t="shared" si="41"/>
        <v>26.614371888975242</v>
      </c>
      <c r="CW30" s="20">
        <f t="shared" si="13"/>
        <v>217.98082037329846</v>
      </c>
      <c r="CX30" s="59">
        <f t="shared" si="14"/>
        <v>450.49866324586196</v>
      </c>
      <c r="CY30" s="59">
        <f ca="1">AVERAGE(OFFSET($CX$3,0,0,'Données projet'!$E$13+1,1))-AVERAGE(OFFSET($H$3,0,0,'Données projet'!$E$13+1,1))</f>
        <v>352.45777291109863</v>
      </c>
      <c r="CZ30" s="59">
        <f t="shared" si="42"/>
        <v>340.92165104349181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0</v>
      </c>
      <c r="DH30" s="21">
        <f>EXP(-LN(2)/2)*DH29+(1-EXP(-LN(2)/2))/(LN(2)/2)*DB30*DE30*VLOOKUP('Données projet'!$B$13,Paramètres!$A$1:$I$89,3,0)*0.475*44/12</f>
        <v>0</v>
      </c>
      <c r="DI30" s="22">
        <f t="shared" si="15"/>
        <v>0</v>
      </c>
      <c r="DJ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4.0628205133333335</v>
      </c>
      <c r="DO30" s="12">
        <f>IF('Données projet'!$A$166&gt;35,DO29+DN30-DW29,IF(A30&lt;'Données projet'!$A$166,$DL$205^A30,IF(A30='Données projet'!$A$166,'Données projet'!$B$166,DO29+DN30-DW29)))</f>
        <v>75.396988931129442</v>
      </c>
      <c r="DP30" s="17">
        <f>DO30*VLOOKUP('Données projet'!$B$14,Paramètres!$A$1:$I$89,3,0)*VLOOKUP('Données projet'!$B$14,Paramètres!$A$1:$I$89,5,0)</f>
        <v>50.576300175001627</v>
      </c>
      <c r="DQ30" s="13">
        <f t="shared" si="43"/>
        <v>14.762492283874606</v>
      </c>
      <c r="DR30" s="20">
        <f t="shared" si="16"/>
        <v>113.79839686587609</v>
      </c>
      <c r="DS30" s="59">
        <f t="shared" si="17"/>
        <v>346.31623973843961</v>
      </c>
      <c r="DT30" s="59">
        <f ca="1">AVERAGE(OFFSET($DS$3,0,0,'Données projet'!$E$14+1,1))-AVERAGE(OFFSET($H$3,0,0,'Données projet'!$E$14+1,1))</f>
        <v>441.20130048888439</v>
      </c>
      <c r="DU30" s="59">
        <f t="shared" si="44"/>
        <v>237.47732532183946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0</v>
      </c>
      <c r="EC30" s="21">
        <f>EXP(-LN(2)/2)*EC29+(1-EXP(-LN(2)/2))/(LN(2)/2)*DW30*DZ30*VLOOKUP('Données projet'!$B$14,Paramètres!$A$1:$I$89,3,0)*0.475*44/12</f>
        <v>0</v>
      </c>
      <c r="ED30" s="22">
        <f t="shared" si="18"/>
        <v>0</v>
      </c>
      <c r="EE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14.2</v>
      </c>
      <c r="EJ30" s="12">
        <f>IF('Données projet'!$A$192&gt;35,EJ29+EI30-ER29,IF(A30&lt;'Données projet'!$A$192,$EG$205^A30,IF(A30='Données projet'!$A$192,'Données projet'!$B$192,EJ29+EI30-ER29)))</f>
        <v>134.39999999999995</v>
      </c>
      <c r="EK30" s="17">
        <f>EJ30*VLOOKUP('Données projet'!$B$15,Paramètres!$A$1:$I$89,3,0)*VLOOKUP('Données projet'!$B$15,Paramètres!$A$1:$I$89,5,0)</f>
        <v>106.92863999999996</v>
      </c>
      <c r="EL30" s="13">
        <f t="shared" si="45"/>
        <v>28.606159868782917</v>
      </c>
      <c r="EM30" s="20">
        <f t="shared" si="19"/>
        <v>236.05644310479681</v>
      </c>
      <c r="EN30" s="59">
        <f t="shared" si="20"/>
        <v>468.57428597736032</v>
      </c>
      <c r="EO30" s="59">
        <f ca="1">AVERAGE(OFFSET($EN$3,0,0,'Données projet'!$E$15+1,1))-AVERAGE(OFFSET($H$3,0,0,'Données projet'!$E$15+1,1))</f>
        <v>377.27600411578322</v>
      </c>
      <c r="EP30" s="59">
        <f t="shared" si="46"/>
        <v>364.58250627635425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>
        <f>EXP(-LN(2)/35)*EV29+(1-EXP(-LN(2)/35))/(LN(2)/35)*ER30*ES30*VLOOKUP('Données projet'!$B$15,Paramètres!$A$1:$I$89,3,0)*0.475*44/12</f>
        <v>0</v>
      </c>
      <c r="EW30" s="21">
        <f>EXP(-LN(2)/25)*EW29+(1-EXP(-LN(2)/25))/(LN(2)/25)*Calculateur!ER30*Calculateur!ET30*VLOOKUP('Données projet'!$B$15,Paramètres!$A$1:$I$89,3,0)*0.475*44/12</f>
        <v>0</v>
      </c>
      <c r="EX30" s="21">
        <f>EXP(-LN(2)/2)*EX29+(1-EXP(-LN(2)/2))/(LN(2)/2)*ER30*EU30*VLOOKUP('Données projet'!$B$15,Paramètres!$A$1:$I$89,3,0)*0.475*44/12</f>
        <v>0</v>
      </c>
      <c r="EY30" s="22">
        <f t="shared" si="21"/>
        <v>0</v>
      </c>
      <c r="EZ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14.2</v>
      </c>
      <c r="FE30" s="12">
        <f>IF('Données projet'!$A$218&gt;35,FE29+FD30-FM29,IF(A30&lt;'Données projet'!$A$218,$FB$205^A30,IF(A30='Données projet'!$A$218,'Données projet'!$B$218,FE29+FD30-FM29)))</f>
        <v>134.39999999999995</v>
      </c>
      <c r="FF30" s="17">
        <f>FE30*VLOOKUP('Données projet'!$B$16,Paramètres!$A$1:$I$89,3,0)*VLOOKUP('Données projet'!$B$16,Paramètres!$A$1:$I$89,5,0)</f>
        <v>109.02527999999997</v>
      </c>
      <c r="FG30" s="13">
        <f t="shared" si="47"/>
        <v>29.101214110737224</v>
      </c>
      <c r="FH30" s="20">
        <f t="shared" si="22"/>
        <v>240.57031057620057</v>
      </c>
      <c r="FI30" s="59">
        <f t="shared" si="23"/>
        <v>473.08815344876405</v>
      </c>
      <c r="FJ30" s="59">
        <f ca="1">AVERAGE(OFFSET($FI$3,0,0,'Données projet'!$E$16+1,1))-AVERAGE(OFFSET($H$3,0,0,'Données projet'!$E$16+1,1))</f>
        <v>383.47399633251354</v>
      </c>
      <c r="FK30" s="59">
        <f t="shared" si="48"/>
        <v>370.49129421395628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>
        <f>EXP(-LN(2)/35)*FQ29+(1-EXP(-LN(2)/35))/(LN(2)/35)*FM30*FN30*VLOOKUP('Données projet'!$B$16,Paramètres!$A$1:$I$89,3,0)*0.475*44/12</f>
        <v>0</v>
      </c>
      <c r="FR30" s="21">
        <f>EXP(-LN(2)/25)*FR29+(1-EXP(-LN(2)/25))/(LN(2)/25)*Calculateur!FM30*Calculateur!FO30*VLOOKUP('Données projet'!$B$16,Paramètres!$A$1:$I$89,3,0)*0.475*44/12</f>
        <v>0</v>
      </c>
      <c r="FS30" s="21">
        <f>EXP(-LN(2)/2)*FS29+(1-EXP(-LN(2)/2))/(LN(2)/2)*FM30*FP30*VLOOKUP('Données projet'!$B$16,Paramètres!$A$1:$I$89,3,0)*0.475*44/12</f>
        <v>0</v>
      </c>
      <c r="FT30" s="22">
        <f t="shared" si="24"/>
        <v>0</v>
      </c>
      <c r="FU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4.0628205133333335</v>
      </c>
      <c r="FZ30" s="12">
        <f>IF('Données projet'!$A$244&gt;35,FZ29+FY30-GH29,IF(A30&lt;'Données projet'!$A$244,$FW$205^A30,IF(A30='Données projet'!$A$244,'Données projet'!$B$244,FZ29+FY30-GH29)))</f>
        <v>75.396988931129442</v>
      </c>
      <c r="GA30" s="17">
        <f>FZ30*VLOOKUP('Données projet'!$B$17,Paramètres!$A$1:$I$89,3,0)*VLOOKUP('Données projet'!$B$17,Paramètres!$A$1:$I$89,5,0)</f>
        <v>71.747774666862767</v>
      </c>
      <c r="GB30" s="13">
        <f t="shared" si="49"/>
        <v>20.106866688063089</v>
      </c>
      <c r="GC30" s="20">
        <f t="shared" si="25"/>
        <v>159.98016702649588</v>
      </c>
      <c r="GD30" s="59">
        <f t="shared" si="26"/>
        <v>392.49800989905941</v>
      </c>
      <c r="GE30" s="59">
        <f ca="1">AVERAGE(OFFSET($GD$3,0,0,'Données projet'!$E$17+1,1))-AVERAGE(OFFSET($H$3,0,0,'Données projet'!$E$17+1,1))</f>
        <v>592.58528889137358</v>
      </c>
      <c r="GF30" s="59">
        <f t="shared" si="50"/>
        <v>311.31528020403709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>
        <f>EXP(-LN(2)/35)*GL29+(1-EXP(-LN(2)/35))/(LN(2)/35)*GH30*GI30*VLOOKUP('Données projet'!$B$17,Paramètres!$A$1:$I$89,3,0)*0.475*44/12</f>
        <v>0</v>
      </c>
      <c r="GM30" s="21">
        <f>EXP(-LN(2)/25)*GM29+(1-EXP(-LN(2)/25))/(LN(2)/25)*Calculateur!GH30*Calculateur!GJ30*VLOOKUP('Données projet'!$B$17,Paramètres!$A$1:$I$89,3,0)*0.475*44/12</f>
        <v>0</v>
      </c>
      <c r="GN30" s="21">
        <f>EXP(-LN(2)/2)*GN29+(1-EXP(-LN(2)/2))/(LN(2)/2)*GH30*GK30*VLOOKUP('Données projet'!$B$17,Paramètres!$A$1:$I$89,3,0)*0.475*44/12</f>
        <v>0</v>
      </c>
      <c r="GO30" s="21">
        <f t="shared" si="27"/>
        <v>0</v>
      </c>
      <c r="GP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11.5</v>
      </c>
      <c r="GU30" s="12">
        <f>IF('Données projet'!$A$270&gt;35,GU29+GT30-HC29,IF(A30&lt;'Données projet'!$A$270,$GR$205^A30,IF(A30='Données projet'!$A$270,'Données projet'!$B$270,GU29+GT30-HC29)))</f>
        <v>108.99999999999996</v>
      </c>
      <c r="GV30" s="17">
        <f>GU30*VLOOKUP('Données projet'!$B$18,Paramètres!$A$1:$I$89,3,0)*VLOOKUP('Données projet'!$B$18,Paramètres!$A$1:$I$89,5,0)</f>
        <v>85.019999999999968</v>
      </c>
      <c r="GW30" s="13">
        <f t="shared" si="51"/>
        <v>23.360218970693097</v>
      </c>
      <c r="GX30" s="20">
        <f t="shared" si="28"/>
        <v>188.76221470729038</v>
      </c>
      <c r="GY30" s="59">
        <f t="shared" si="29"/>
        <v>421.28005757985386</v>
      </c>
      <c r="GZ30" s="59">
        <f ca="1">AVERAGE(OFFSET($GY$3,0,0,'Données projet'!$E$18+1,1))-AVERAGE(OFFSET($H$3,0,0,'Données projet'!$E$18+1,1))</f>
        <v>308.85018589589453</v>
      </c>
      <c r="HA30" s="59">
        <f t="shared" si="52"/>
        <v>302.59481222418219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>
        <f>EXP(-LN(2)/35)*HG29+(1-EXP(-LN(2)/35))/(LN(2)/35)*HC30*HD30*VLOOKUP('Données projet'!$B$18,Paramètres!$A$1:$I$89,3,0)*0.475*44/12</f>
        <v>0</v>
      </c>
      <c r="HH30" s="21">
        <f>EXP(-LN(2)/25)*HH29+(1-EXP(-LN(2)/25))/(LN(2)/25)*Calculateur!HC30*Calculateur!HE30*VLOOKUP('Données projet'!$B$18,Paramètres!$A$1:$I$89,3,0)*0.475*44/12</f>
        <v>0</v>
      </c>
      <c r="HI30" s="21">
        <f>EXP(-LN(2)/2)*HI29+(1-EXP(-LN(2)/2))/(LN(2)/2)*HC30*HF30*VLOOKUP('Données projet'!$B$18,Paramètres!$A$1:$I$89,3,0)*0.475*44/12</f>
        <v>0</v>
      </c>
      <c r="HJ30" s="22">
        <f t="shared" si="30"/>
        <v>0</v>
      </c>
    </row>
    <row r="31" spans="1:218" x14ac:dyDescent="0.35">
      <c r="A31" s="10">
        <f t="shared" si="31"/>
        <v>28</v>
      </c>
      <c r="B31" s="72">
        <f>'Scénario référence'!$B$16*5+'Scénario référence'!$B$17*0+'Scénario référence'!$B$18*5</f>
        <v>5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66">
        <f t="shared" si="1"/>
        <v>183.33333333333334</v>
      </c>
      <c r="I31" s="6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4.0628205133333335</v>
      </c>
      <c r="N31" s="13">
        <f>IF('Données projet'!$A$36&gt;35,N30+M31-V30,IF(A31&lt;'Données projet'!$A$36,$K$205^A31,IF(A31='Données projet'!$A$36,'Données projet'!$B$36,N30+M31-V30)))</f>
        <v>88.488255206485093</v>
      </c>
      <c r="O31" s="13">
        <f>N31*VLOOKUP('Données projet'!$B$9,Paramètres!$A$1:$I$89,3,0)*VLOOKUP('Données projet'!$B$9,Paramètres!$A$1:$I$89,5,0)</f>
        <v>80.064173310827712</v>
      </c>
      <c r="P31" s="13">
        <f t="shared" si="33"/>
        <v>22.15287410445745</v>
      </c>
      <c r="Q31" s="20">
        <f t="shared" si="2"/>
        <v>178.02802424828835</v>
      </c>
      <c r="R31" s="59">
        <f t="shared" si="0"/>
        <v>412.75949367027243</v>
      </c>
      <c r="S31" s="59">
        <f ca="1">AVERAGE(OFFSET($R$3,0,0,'Données projet'!$E$9+1,1))-AVERAGE(OFFSET($H$3,0,0,'Données projet'!$E$9+1,1))</f>
        <v>567.42635821507474</v>
      </c>
      <c r="T31" s="59">
        <f t="shared" si="34"/>
        <v>299.04735309930152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4.0628205133333335</v>
      </c>
      <c r="AI31" s="13">
        <f>IF('Données projet'!$A$62&gt;35,AI30+AH31-AQ30,IF(A31&lt;'Données projet'!$A$62,$AF$205^A31,IF(A31='Données projet'!$A$62,'Données projet'!$B$62,AI30+AH31-AQ30)))</f>
        <v>88.488255206485093</v>
      </c>
      <c r="AJ31" s="13">
        <f>AI31*VLOOKUP('Données projet'!$B$10,Paramètres!$A$1:$I$89,3,0)*VLOOKUP('Données projet'!$B$10,Paramètres!$A$1:$I$89,5,0)</f>
        <v>89.727090779375885</v>
      </c>
      <c r="AK31" s="13">
        <f t="shared" si="35"/>
        <v>24.499394232560416</v>
      </c>
      <c r="AL31" s="20">
        <f t="shared" si="4"/>
        <v>198.94446139578906</v>
      </c>
      <c r="AM31" s="59">
        <f t="shared" si="5"/>
        <v>433.67593081777318</v>
      </c>
      <c r="AN31" s="59">
        <f ca="1">AVERAGE(OFFSET($AM$3,0,0,'Données projet'!$E$10+1,1))-AVERAGE(OFFSET($H$3,0,0,'Données projet'!$E$10+1,1))</f>
        <v>626.09203985591455</v>
      </c>
      <c r="AO31" s="59">
        <f t="shared" si="36"/>
        <v>327.65191296575199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9.4</v>
      </c>
      <c r="BD31" s="12">
        <f>IF('Données projet'!$A$88&gt;35,BD30+BC31-BL30,IF(A31&lt;'Données projet'!$A$88,$BA$205^A31,IF(A31='Données projet'!$A$88,'Données projet'!$B$88,BD30+BC31-BL30)))</f>
        <v>97.2</v>
      </c>
      <c r="BE31" s="13">
        <f>BD31*VLOOKUP('Données projet'!$B$11,Paramètres!$A$1:$I$89,3,0)*VLOOKUP('Données projet'!$B$11,Paramètres!$A$1:$I$89,5,0)</f>
        <v>83.397600000000011</v>
      </c>
      <c r="BF31" s="13">
        <f t="shared" si="37"/>
        <v>22.965893371329315</v>
      </c>
      <c r="BG31" s="20">
        <f t="shared" si="7"/>
        <v>185.24975095506522</v>
      </c>
      <c r="BH31" s="59">
        <f t="shared" si="8"/>
        <v>419.98122037704934</v>
      </c>
      <c r="BI31" s="59">
        <f ca="1">AVERAGE(OFFSET($BH$3,0,0,'Données projet'!$E$11+1,1))-AVERAGE(OFFSET($H$3,0,0,'Données projet'!$E$11+1,1))</f>
        <v>481.23392184981651</v>
      </c>
      <c r="BJ31" s="59">
        <f t="shared" si="38"/>
        <v>275.88160405468193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4.8773333333333335</v>
      </c>
      <c r="BY31" s="12">
        <f>IF('Données projet'!$A$114&gt;35,BY30+BX31-CG30,IF(A31&lt;'Données projet'!$A$114,$BV$205^A31,IF(A31='Données projet'!$A$114,'Données projet'!$B$114,BY30+BX31-CG30)))</f>
        <v>104.94218755501358</v>
      </c>
      <c r="BZ31" s="13">
        <f>BY31*VLOOKUP('Données projet'!$B$12,Paramètres!$A$1:$I$89,3,0)*VLOOKUP('Données projet'!$B$12,Paramètres!$A$1:$I$89,5,0)</f>
        <v>49.112943775746352</v>
      </c>
      <c r="CA31" s="13">
        <f t="shared" si="39"/>
        <v>14.384435409721176</v>
      </c>
      <c r="CB31" s="20">
        <f t="shared" si="10"/>
        <v>110.59126874802261</v>
      </c>
      <c r="CC31" s="59">
        <f t="shared" si="11"/>
        <v>345.32273817000669</v>
      </c>
      <c r="CD31" s="59">
        <f ca="1">AVERAGE(OFFSET($CC$3,0,0,'Données projet'!$E$12+1,1))-AVERAGE(OFFSET($H$3,0,0,'Données projet'!$E$12+1,1))</f>
        <v>331.86732359395467</v>
      </c>
      <c r="CE31" s="59">
        <f t="shared" si="40"/>
        <v>208.64489375183106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14.2</v>
      </c>
      <c r="CT31" s="12">
        <f>IF('Données projet'!$A$140&gt;35,CT30+CS31-DB30,IF(A31&lt;'Données projet'!$A$140,$CQ$205^A31,IF(A31='Données projet'!$A$140,'Données projet'!$B$140,CT30+CS31-DB30)))</f>
        <v>148.59999999999994</v>
      </c>
      <c r="CU31" s="17">
        <f>CT31*VLOOKUP('Données projet'!$B$13,Paramètres!$A$1:$I$89,3,0)*VLOOKUP('Données projet'!$B$13,Paramètres!$A$1:$I$89,5,0)</f>
        <v>108.95351999999995</v>
      </c>
      <c r="CV31" s="13">
        <f t="shared" si="41"/>
        <v>29.084288721109843</v>
      </c>
      <c r="CW31" s="20">
        <f t="shared" si="13"/>
        <v>240.41585018926619</v>
      </c>
      <c r="CX31" s="59">
        <f t="shared" si="14"/>
        <v>475.14731961125028</v>
      </c>
      <c r="CY31" s="59">
        <f ca="1">AVERAGE(OFFSET($CX$3,0,0,'Données projet'!$E$13+1,1))-AVERAGE(OFFSET($H$3,0,0,'Données projet'!$E$13+1,1))</f>
        <v>352.45777291109863</v>
      </c>
      <c r="CZ31" s="59">
        <f t="shared" si="42"/>
        <v>340.92165104349181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0</v>
      </c>
      <c r="DH31" s="21">
        <f>EXP(-LN(2)/2)*DH30+(1-EXP(-LN(2)/2))/(LN(2)/2)*DB31*DE31*VLOOKUP('Données projet'!$B$13,Paramètres!$A$1:$I$89,3,0)*0.475*44/12</f>
        <v>0</v>
      </c>
      <c r="DI31" s="22">
        <f t="shared" si="15"/>
        <v>0</v>
      </c>
      <c r="DJ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4.0628205133333335</v>
      </c>
      <c r="DO31" s="12">
        <f>IF('Données projet'!$A$166&gt;35,DO30+DN31-DW30,IF(A31&lt;'Données projet'!$A$166,$DL$205^A31,IF(A31='Données projet'!$A$166,'Données projet'!$B$166,DO30+DN31-DW30)))</f>
        <v>88.488255206485093</v>
      </c>
      <c r="DP31" s="17">
        <f>DO31*VLOOKUP('Données projet'!$B$14,Paramètres!$A$1:$I$89,3,0)*VLOOKUP('Données projet'!$B$14,Paramètres!$A$1:$I$89,5,0)</f>
        <v>59.357921592510202</v>
      </c>
      <c r="DQ31" s="13">
        <f t="shared" si="43"/>
        <v>17.005829934504384</v>
      </c>
      <c r="DR31" s="20">
        <f t="shared" si="16"/>
        <v>133.00020057621705</v>
      </c>
      <c r="DS31" s="59">
        <f t="shared" si="17"/>
        <v>367.73166999820114</v>
      </c>
      <c r="DT31" s="59">
        <f ca="1">AVERAGE(OFFSET($DS$3,0,0,'Données projet'!$E$14+1,1))-AVERAGE(OFFSET($H$3,0,0,'Données projet'!$E$14+1,1))</f>
        <v>441.20130048888439</v>
      </c>
      <c r="DU31" s="59">
        <f t="shared" si="44"/>
        <v>237.47732532183946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0</v>
      </c>
      <c r="EC31" s="21">
        <f>EXP(-LN(2)/2)*EC30+(1-EXP(-LN(2)/2))/(LN(2)/2)*DW31*DZ31*VLOOKUP('Données projet'!$B$14,Paramètres!$A$1:$I$89,3,0)*0.475*44/12</f>
        <v>0</v>
      </c>
      <c r="ED31" s="22">
        <f t="shared" si="18"/>
        <v>0</v>
      </c>
      <c r="EE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14.2</v>
      </c>
      <c r="EJ31" s="12">
        <f>IF('Données projet'!$A$192&gt;35,EJ30+EI31-ER30,IF(A31&lt;'Données projet'!$A$192,$EG$205^A31,IF(A31='Données projet'!$A$192,'Données projet'!$B$192,EJ30+EI31-ER30)))</f>
        <v>148.59999999999994</v>
      </c>
      <c r="EK31" s="17">
        <f>EJ31*VLOOKUP('Données projet'!$B$15,Paramètres!$A$1:$I$89,3,0)*VLOOKUP('Données projet'!$B$15,Paramètres!$A$1:$I$89,5,0)</f>
        <v>118.22615999999996</v>
      </c>
      <c r="EL31" s="13">
        <f t="shared" si="45"/>
        <v>31.260922342884676</v>
      </c>
      <c r="EM31" s="20">
        <f t="shared" si="19"/>
        <v>260.35666841385739</v>
      </c>
      <c r="EN31" s="59">
        <f t="shared" si="20"/>
        <v>495.08813783584151</v>
      </c>
      <c r="EO31" s="59">
        <f ca="1">AVERAGE(OFFSET($EN$3,0,0,'Données projet'!$E$15+1,1))-AVERAGE(OFFSET($H$3,0,0,'Données projet'!$E$15+1,1))</f>
        <v>377.27600411578322</v>
      </c>
      <c r="EP31" s="59">
        <f t="shared" si="46"/>
        <v>364.58250627635425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>
        <f>EXP(-LN(2)/35)*EV30+(1-EXP(-LN(2)/35))/(LN(2)/35)*ER31*ES31*VLOOKUP('Données projet'!$B$15,Paramètres!$A$1:$I$89,3,0)*0.475*44/12</f>
        <v>0</v>
      </c>
      <c r="EW31" s="21">
        <f>EXP(-LN(2)/25)*EW30+(1-EXP(-LN(2)/25))/(LN(2)/25)*Calculateur!ER31*Calculateur!ET31*VLOOKUP('Données projet'!$B$15,Paramètres!$A$1:$I$89,3,0)*0.475*44/12</f>
        <v>0</v>
      </c>
      <c r="EX31" s="21">
        <f>EXP(-LN(2)/2)*EX30+(1-EXP(-LN(2)/2))/(LN(2)/2)*ER31*EU31*VLOOKUP('Données projet'!$B$15,Paramètres!$A$1:$I$89,3,0)*0.475*44/12</f>
        <v>0</v>
      </c>
      <c r="EY31" s="22">
        <f t="shared" si="21"/>
        <v>0</v>
      </c>
      <c r="EZ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14.2</v>
      </c>
      <c r="FE31" s="12">
        <f>IF('Données projet'!$A$218&gt;35,FE30+FD31-FM30,IF(A31&lt;'Données projet'!$A$218,$FB$205^A31,IF(A31='Données projet'!$A$218,'Données projet'!$B$218,FE30+FD31-FM30)))</f>
        <v>148.59999999999994</v>
      </c>
      <c r="FF31" s="17">
        <f>FE31*VLOOKUP('Données projet'!$B$16,Paramètres!$A$1:$I$89,3,0)*VLOOKUP('Données projet'!$B$16,Paramètres!$A$1:$I$89,5,0)</f>
        <v>120.54431999999997</v>
      </c>
      <c r="FG31" s="13">
        <f t="shared" si="47"/>
        <v>31.80191953664422</v>
      </c>
      <c r="FH31" s="20">
        <f t="shared" si="22"/>
        <v>265.33636719298863</v>
      </c>
      <c r="FI31" s="59">
        <f t="shared" si="23"/>
        <v>500.06783661497275</v>
      </c>
      <c r="FJ31" s="59">
        <f ca="1">AVERAGE(OFFSET($FI$3,0,0,'Données projet'!$E$16+1,1))-AVERAGE(OFFSET($H$3,0,0,'Données projet'!$E$16+1,1))</f>
        <v>383.47399633251354</v>
      </c>
      <c r="FK31" s="59">
        <f t="shared" si="48"/>
        <v>370.49129421395628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>
        <f>EXP(-LN(2)/35)*FQ30+(1-EXP(-LN(2)/35))/(LN(2)/35)*FM31*FN31*VLOOKUP('Données projet'!$B$16,Paramètres!$A$1:$I$89,3,0)*0.475*44/12</f>
        <v>0</v>
      </c>
      <c r="FR31" s="21">
        <f>EXP(-LN(2)/25)*FR30+(1-EXP(-LN(2)/25))/(LN(2)/25)*Calculateur!FM31*Calculateur!FO31*VLOOKUP('Données projet'!$B$16,Paramètres!$A$1:$I$89,3,0)*0.475*44/12</f>
        <v>0</v>
      </c>
      <c r="FS31" s="21">
        <f>EXP(-LN(2)/2)*FS30+(1-EXP(-LN(2)/2))/(LN(2)/2)*FM31*FP31*VLOOKUP('Données projet'!$B$16,Paramètres!$A$1:$I$89,3,0)*0.475*44/12</f>
        <v>0</v>
      </c>
      <c r="FT31" s="22">
        <f t="shared" si="24"/>
        <v>0</v>
      </c>
      <c r="FU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4.0628205133333335</v>
      </c>
      <c r="FZ31" s="12">
        <f>IF('Données projet'!$A$244&gt;35,FZ30+FY31-GH30,IF(A31&lt;'Données projet'!$A$244,$FW$205^A31,IF(A31='Données projet'!$A$244,'Données projet'!$B$244,FZ30+FY31-GH30)))</f>
        <v>88.488255206485093</v>
      </c>
      <c r="GA31" s="17">
        <f>FZ31*VLOOKUP('Données projet'!$B$17,Paramètres!$A$1:$I$89,3,0)*VLOOKUP('Données projet'!$B$17,Paramètres!$A$1:$I$89,5,0)</f>
        <v>84.205423654491227</v>
      </c>
      <c r="GB31" s="13">
        <f t="shared" si="49"/>
        <v>23.162346088841272</v>
      </c>
      <c r="GC31" s="20">
        <f t="shared" si="25"/>
        <v>186.99886563630412</v>
      </c>
      <c r="GD31" s="59">
        <f t="shared" si="26"/>
        <v>421.73033505828823</v>
      </c>
      <c r="GE31" s="59">
        <f ca="1">AVERAGE(OFFSET($GD$3,0,0,'Données projet'!$E$17+1,1))-AVERAGE(OFFSET($H$3,0,0,'Données projet'!$E$17+1,1))</f>
        <v>592.58528889137358</v>
      </c>
      <c r="GF31" s="59">
        <f t="shared" si="50"/>
        <v>311.31528020403709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>
        <f>EXP(-LN(2)/35)*GL30+(1-EXP(-LN(2)/35))/(LN(2)/35)*GH31*GI31*VLOOKUP('Données projet'!$B$17,Paramètres!$A$1:$I$89,3,0)*0.475*44/12</f>
        <v>0</v>
      </c>
      <c r="GM31" s="21">
        <f>EXP(-LN(2)/25)*GM30+(1-EXP(-LN(2)/25))/(LN(2)/25)*Calculateur!GH31*Calculateur!GJ31*VLOOKUP('Données projet'!$B$17,Paramètres!$A$1:$I$89,3,0)*0.475*44/12</f>
        <v>0</v>
      </c>
      <c r="GN31" s="21">
        <f>EXP(-LN(2)/2)*GN30+(1-EXP(-LN(2)/2))/(LN(2)/2)*GH31*GK31*VLOOKUP('Données projet'!$B$17,Paramètres!$A$1:$I$89,3,0)*0.475*44/12</f>
        <v>0</v>
      </c>
      <c r="GO31" s="21">
        <f t="shared" si="27"/>
        <v>0</v>
      </c>
      <c r="GP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11.5</v>
      </c>
      <c r="GU31" s="12">
        <f>IF('Données projet'!$A$270&gt;35,GU30+GT31-HC30,IF(A31&lt;'Données projet'!$A$270,$GR$205^A31,IF(A31='Données projet'!$A$270,'Données projet'!$B$270,GU30+GT31-HC30)))</f>
        <v>120.49999999999996</v>
      </c>
      <c r="GV31" s="17">
        <f>GU31*VLOOKUP('Données projet'!$B$18,Paramètres!$A$1:$I$89,3,0)*VLOOKUP('Données projet'!$B$18,Paramètres!$A$1:$I$89,5,0)</f>
        <v>93.989999999999966</v>
      </c>
      <c r="GW31" s="13">
        <f t="shared" si="51"/>
        <v>25.525074036970054</v>
      </c>
      <c r="GX31" s="20">
        <f t="shared" si="28"/>
        <v>208.15542061438944</v>
      </c>
      <c r="GY31" s="59">
        <f t="shared" si="29"/>
        <v>442.88689003637353</v>
      </c>
      <c r="GZ31" s="59">
        <f ca="1">AVERAGE(OFFSET($GY$3,0,0,'Données projet'!$E$18+1,1))-AVERAGE(OFFSET($H$3,0,0,'Données projet'!$E$18+1,1))</f>
        <v>308.85018589589453</v>
      </c>
      <c r="HA31" s="59">
        <f t="shared" si="52"/>
        <v>302.59481222418219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>
        <f>EXP(-LN(2)/35)*HG30+(1-EXP(-LN(2)/35))/(LN(2)/35)*HC31*HD31*VLOOKUP('Données projet'!$B$18,Paramètres!$A$1:$I$89,3,0)*0.475*44/12</f>
        <v>0</v>
      </c>
      <c r="HH31" s="21">
        <f>EXP(-LN(2)/25)*HH30+(1-EXP(-LN(2)/25))/(LN(2)/25)*Calculateur!HC31*Calculateur!HE31*VLOOKUP('Données projet'!$B$18,Paramètres!$A$1:$I$89,3,0)*0.475*44/12</f>
        <v>0</v>
      </c>
      <c r="HI31" s="21">
        <f>EXP(-LN(2)/2)*HI30+(1-EXP(-LN(2)/2))/(LN(2)/2)*HC31*HF31*VLOOKUP('Données projet'!$B$18,Paramètres!$A$1:$I$89,3,0)*0.475*44/12</f>
        <v>0</v>
      </c>
      <c r="HJ31" s="22">
        <f t="shared" si="30"/>
        <v>0</v>
      </c>
    </row>
    <row r="32" spans="1:218" x14ac:dyDescent="0.35">
      <c r="A32" s="10">
        <f t="shared" si="31"/>
        <v>29</v>
      </c>
      <c r="B32" s="72">
        <f>'Scénario référence'!$B$16*5+'Scénario référence'!$B$17*0+'Scénario référence'!$B$18*5</f>
        <v>5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66">
        <f t="shared" si="1"/>
        <v>183.33333333333334</v>
      </c>
      <c r="I32" s="6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4.0628205133333335</v>
      </c>
      <c r="N32" s="13">
        <f>IF('Données projet'!$A$36&gt;35,N31+M32-V31,IF(A32&lt;'Données projet'!$A$36,$K$205^A32,IF(A32='Données projet'!$A$36,'Données projet'!$B$36,N31+M32-V31)))</f>
        <v>103.85257316628947</v>
      </c>
      <c r="O32" s="13">
        <f>N32*VLOOKUP('Données projet'!$B$9,Paramètres!$A$1:$I$89,3,0)*VLOOKUP('Données projet'!$B$9,Paramètres!$A$1:$I$89,5,0)</f>
        <v>93.965808200858717</v>
      </c>
      <c r="P32" s="13">
        <f t="shared" si="33"/>
        <v>25.519268856275549</v>
      </c>
      <c r="Q32" s="20">
        <f t="shared" si="2"/>
        <v>208.10317587450882</v>
      </c>
      <c r="R32" s="59">
        <f t="shared" si="0"/>
        <v>445.03107319728463</v>
      </c>
      <c r="S32" s="59">
        <f ca="1">AVERAGE(OFFSET($R$3,0,0,'Données projet'!$E$9+1,1))-AVERAGE(OFFSET($H$3,0,0,'Données projet'!$E$9+1,1))</f>
        <v>567.42635821507474</v>
      </c>
      <c r="T32" s="59">
        <f t="shared" si="34"/>
        <v>299.04735309930152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4.0628205133333335</v>
      </c>
      <c r="AI32" s="13">
        <f>IF('Données projet'!$A$62&gt;35,AI31+AH32-AQ31,IF(A32&lt;'Données projet'!$A$62,$AF$205^A32,IF(A32='Données projet'!$A$62,'Données projet'!$B$62,AI31+AH32-AQ31)))</f>
        <v>103.85257316628947</v>
      </c>
      <c r="AJ32" s="13">
        <f>AI32*VLOOKUP('Données projet'!$B$10,Paramètres!$A$1:$I$89,3,0)*VLOOKUP('Données projet'!$B$10,Paramètres!$A$1:$I$89,5,0)</f>
        <v>105.30650919061753</v>
      </c>
      <c r="AK32" s="13">
        <f t="shared" si="35"/>
        <v>28.222370844006942</v>
      </c>
      <c r="AL32" s="20">
        <f t="shared" si="4"/>
        <v>232.56279939363762</v>
      </c>
      <c r="AM32" s="59">
        <f t="shared" si="5"/>
        <v>469.49069671641348</v>
      </c>
      <c r="AN32" s="59">
        <f ca="1">AVERAGE(OFFSET($AM$3,0,0,'Données projet'!$E$10+1,1))-AVERAGE(OFFSET($H$3,0,0,'Données projet'!$E$10+1,1))</f>
        <v>626.09203985591455</v>
      </c>
      <c r="AO32" s="59">
        <f t="shared" si="36"/>
        <v>327.65191296575199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9.4</v>
      </c>
      <c r="BD32" s="12">
        <f>IF('Données projet'!$A$88&gt;35,BD31+BC32-BL31,IF(A32&lt;'Données projet'!$A$88,$BA$205^A32,IF(A32='Données projet'!$A$88,'Données projet'!$B$88,BD31+BC32-BL31)))</f>
        <v>106.60000000000001</v>
      </c>
      <c r="BE32" s="13">
        <f>BD32*VLOOKUP('Données projet'!$B$11,Paramètres!$A$1:$I$89,3,0)*VLOOKUP('Données projet'!$B$11,Paramètres!$A$1:$I$89,5,0)</f>
        <v>91.462800000000016</v>
      </c>
      <c r="BF32" s="13">
        <f t="shared" si="37"/>
        <v>24.917685409456144</v>
      </c>
      <c r="BG32" s="20">
        <f t="shared" si="7"/>
        <v>202.69601208813614</v>
      </c>
      <c r="BH32" s="59">
        <f t="shared" si="8"/>
        <v>439.62390941091201</v>
      </c>
      <c r="BI32" s="59">
        <f ca="1">AVERAGE(OFFSET($BH$3,0,0,'Données projet'!$E$11+1,1))-AVERAGE(OFFSET($H$3,0,0,'Données projet'!$E$11+1,1))</f>
        <v>481.23392184981651</v>
      </c>
      <c r="BJ32" s="59">
        <f t="shared" si="38"/>
        <v>275.88160405468193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4.8773333333333335</v>
      </c>
      <c r="BY32" s="12">
        <f>IF('Données projet'!$A$114&gt;35,BY31+BX32-CG31,IF(A32&lt;'Données projet'!$A$114,$BV$205^A32,IF(A32='Données projet'!$A$114,'Données projet'!$B$114,BY31+BX32-CG31)))</f>
        <v>123.91586211236064</v>
      </c>
      <c r="BZ32" s="13">
        <f>BY32*VLOOKUP('Données projet'!$B$12,Paramètres!$A$1:$I$89,3,0)*VLOOKUP('Données projet'!$B$12,Paramètres!$A$1:$I$89,5,0)</f>
        <v>57.992623468584782</v>
      </c>
      <c r="CA32" s="13">
        <f t="shared" si="39"/>
        <v>16.659740482415152</v>
      </c>
      <c r="CB32" s="20">
        <f t="shared" si="10"/>
        <v>130.01953388132486</v>
      </c>
      <c r="CC32" s="59">
        <f t="shared" si="11"/>
        <v>366.94743120410067</v>
      </c>
      <c r="CD32" s="59">
        <f ca="1">AVERAGE(OFFSET($CC$3,0,0,'Données projet'!$E$12+1,1))-AVERAGE(OFFSET($H$3,0,0,'Données projet'!$E$12+1,1))</f>
        <v>331.86732359395467</v>
      </c>
      <c r="CE32" s="59">
        <f t="shared" si="40"/>
        <v>208.64489375183106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14.2</v>
      </c>
      <c r="CT32" s="12">
        <f>IF('Données projet'!$A$140&gt;35,CT31+CS32-DB31,IF(A32&lt;'Données projet'!$A$140,$CQ$205^A32,IF(A32='Données projet'!$A$140,'Données projet'!$B$140,CT31+CS32-DB31)))</f>
        <v>162.79999999999993</v>
      </c>
      <c r="CU32" s="17">
        <f>CT32*VLOOKUP('Données projet'!$B$13,Paramètres!$A$1:$I$89,3,0)*VLOOKUP('Données projet'!$B$13,Paramètres!$A$1:$I$89,5,0)</f>
        <v>119.36495999999994</v>
      </c>
      <c r="CV32" s="13">
        <f t="shared" si="41"/>
        <v>31.526840934707504</v>
      </c>
      <c r="CW32" s="20">
        <f t="shared" si="13"/>
        <v>262.80321996128214</v>
      </c>
      <c r="CX32" s="59">
        <f t="shared" si="14"/>
        <v>499.73111728405797</v>
      </c>
      <c r="CY32" s="59">
        <f ca="1">AVERAGE(OFFSET($CX$3,0,0,'Données projet'!$E$13+1,1))-AVERAGE(OFFSET($H$3,0,0,'Données projet'!$E$13+1,1))</f>
        <v>352.45777291109863</v>
      </c>
      <c r="CZ32" s="59">
        <f t="shared" si="42"/>
        <v>340.92165104349181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0</v>
      </c>
      <c r="DH32" s="21">
        <f>EXP(-LN(2)/2)*DH31+(1-EXP(-LN(2)/2))/(LN(2)/2)*DB32*DE32*VLOOKUP('Données projet'!$B$13,Paramètres!$A$1:$I$89,3,0)*0.475*44/12</f>
        <v>0</v>
      </c>
      <c r="DI32" s="22">
        <f t="shared" si="15"/>
        <v>0</v>
      </c>
      <c r="DJ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4.0628205133333335</v>
      </c>
      <c r="DO32" s="12">
        <f>IF('Données projet'!$A$166&gt;35,DO31+DN32-DW31,IF(A32&lt;'Données projet'!$A$166,$DL$205^A32,IF(A32='Données projet'!$A$166,'Données projet'!$B$166,DO31+DN32-DW31)))</f>
        <v>103.85257316628947</v>
      </c>
      <c r="DP32" s="17">
        <f>DO32*VLOOKUP('Données projet'!$B$14,Paramètres!$A$1:$I$89,3,0)*VLOOKUP('Données projet'!$B$14,Paramètres!$A$1:$I$89,5,0)</f>
        <v>69.664306079946982</v>
      </c>
      <c r="DQ32" s="13">
        <f t="shared" si="43"/>
        <v>19.59006963053135</v>
      </c>
      <c r="DR32" s="20">
        <f t="shared" si="16"/>
        <v>155.45137102908308</v>
      </c>
      <c r="DS32" s="59">
        <f t="shared" si="17"/>
        <v>392.37926835185891</v>
      </c>
      <c r="DT32" s="59">
        <f ca="1">AVERAGE(OFFSET($DS$3,0,0,'Données projet'!$E$14+1,1))-AVERAGE(OFFSET($H$3,0,0,'Données projet'!$E$14+1,1))</f>
        <v>441.20130048888439</v>
      </c>
      <c r="DU32" s="59">
        <f t="shared" si="44"/>
        <v>237.47732532183946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0</v>
      </c>
      <c r="EC32" s="21">
        <f>EXP(-LN(2)/2)*EC31+(1-EXP(-LN(2)/2))/(LN(2)/2)*DW32*DZ32*VLOOKUP('Données projet'!$B$14,Paramètres!$A$1:$I$89,3,0)*0.475*44/12</f>
        <v>0</v>
      </c>
      <c r="ED32" s="22">
        <f t="shared" si="18"/>
        <v>0</v>
      </c>
      <c r="EE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14.2</v>
      </c>
      <c r="EJ32" s="12">
        <f>IF('Données projet'!$A$192&gt;35,EJ31+EI32-ER31,IF(A32&lt;'Données projet'!$A$192,$EG$205^A32,IF(A32='Données projet'!$A$192,'Données projet'!$B$192,EJ31+EI32-ER31)))</f>
        <v>162.79999999999993</v>
      </c>
      <c r="EK32" s="17">
        <f>EJ32*VLOOKUP('Données projet'!$B$15,Paramètres!$A$1:$I$89,3,0)*VLOOKUP('Données projet'!$B$15,Paramètres!$A$1:$I$89,5,0)</f>
        <v>129.52367999999996</v>
      </c>
      <c r="EL32" s="13">
        <f t="shared" si="45"/>
        <v>33.886272262901727</v>
      </c>
      <c r="EM32" s="20">
        <f t="shared" si="19"/>
        <v>284.60566685788712</v>
      </c>
      <c r="EN32" s="59">
        <f t="shared" si="20"/>
        <v>521.53356418066301</v>
      </c>
      <c r="EO32" s="59">
        <f ca="1">AVERAGE(OFFSET($EN$3,0,0,'Données projet'!$E$15+1,1))-AVERAGE(OFFSET($H$3,0,0,'Données projet'!$E$15+1,1))</f>
        <v>377.27600411578322</v>
      </c>
      <c r="EP32" s="59">
        <f t="shared" si="46"/>
        <v>364.58250627635425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>
        <f>EXP(-LN(2)/35)*EV31+(1-EXP(-LN(2)/35))/(LN(2)/35)*ER32*ES32*VLOOKUP('Données projet'!$B$15,Paramètres!$A$1:$I$89,3,0)*0.475*44/12</f>
        <v>0</v>
      </c>
      <c r="EW32" s="21">
        <f>EXP(-LN(2)/25)*EW31+(1-EXP(-LN(2)/25))/(LN(2)/25)*Calculateur!ER32*Calculateur!ET32*VLOOKUP('Données projet'!$B$15,Paramètres!$A$1:$I$89,3,0)*0.475*44/12</f>
        <v>0</v>
      </c>
      <c r="EX32" s="21">
        <f>EXP(-LN(2)/2)*EX31+(1-EXP(-LN(2)/2))/(LN(2)/2)*ER32*EU32*VLOOKUP('Données projet'!$B$15,Paramètres!$A$1:$I$89,3,0)*0.475*44/12</f>
        <v>0</v>
      </c>
      <c r="EY32" s="22">
        <f t="shared" si="21"/>
        <v>0</v>
      </c>
      <c r="EZ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14.2</v>
      </c>
      <c r="FE32" s="12">
        <f>IF('Données projet'!$A$218&gt;35,FE31+FD32-FM31,IF(A32&lt;'Données projet'!$A$218,$FB$205^A32,IF(A32='Données projet'!$A$218,'Données projet'!$B$218,FE31+FD32-FM31)))</f>
        <v>162.79999999999993</v>
      </c>
      <c r="FF32" s="17">
        <f>FE32*VLOOKUP('Données projet'!$B$16,Paramètres!$A$1:$I$89,3,0)*VLOOKUP('Données projet'!$B$16,Paramètres!$A$1:$I$89,5,0)</f>
        <v>132.06335999999996</v>
      </c>
      <c r="FG32" s="13">
        <f t="shared" si="47"/>
        <v>34.472703398877925</v>
      </c>
      <c r="FH32" s="20">
        <f t="shared" si="22"/>
        <v>290.05031041971233</v>
      </c>
      <c r="FI32" s="59">
        <f t="shared" si="23"/>
        <v>526.97820774248817</v>
      </c>
      <c r="FJ32" s="59">
        <f ca="1">AVERAGE(OFFSET($FI$3,0,0,'Données projet'!$E$16+1,1))-AVERAGE(OFFSET($H$3,0,0,'Données projet'!$E$16+1,1))</f>
        <v>383.47399633251354</v>
      </c>
      <c r="FK32" s="59">
        <f t="shared" si="48"/>
        <v>370.49129421395628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>
        <f>EXP(-LN(2)/35)*FQ31+(1-EXP(-LN(2)/35))/(LN(2)/35)*FM32*FN32*VLOOKUP('Données projet'!$B$16,Paramètres!$A$1:$I$89,3,0)*0.475*44/12</f>
        <v>0</v>
      </c>
      <c r="FR32" s="21">
        <f>EXP(-LN(2)/25)*FR31+(1-EXP(-LN(2)/25))/(LN(2)/25)*Calculateur!FM32*Calculateur!FO32*VLOOKUP('Données projet'!$B$16,Paramètres!$A$1:$I$89,3,0)*0.475*44/12</f>
        <v>0</v>
      </c>
      <c r="FS32" s="21">
        <f>EXP(-LN(2)/2)*FS31+(1-EXP(-LN(2)/2))/(LN(2)/2)*FM32*FP32*VLOOKUP('Données projet'!$B$16,Paramètres!$A$1:$I$89,3,0)*0.475*44/12</f>
        <v>0</v>
      </c>
      <c r="FT32" s="22">
        <f t="shared" si="24"/>
        <v>0</v>
      </c>
      <c r="FU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4.0628205133333335</v>
      </c>
      <c r="FZ32" s="12">
        <f>IF('Données projet'!$A$244&gt;35,FZ31+FY32-GH31,IF(A32&lt;'Données projet'!$A$244,$FW$205^A32,IF(A32='Données projet'!$A$244,'Données projet'!$B$244,FZ31+FY32-GH31)))</f>
        <v>103.85257316628947</v>
      </c>
      <c r="GA32" s="17">
        <f>FZ32*VLOOKUP('Données projet'!$B$17,Paramètres!$A$1:$I$89,3,0)*VLOOKUP('Données projet'!$B$17,Paramètres!$A$1:$I$89,5,0)</f>
        <v>98.826108625041059</v>
      </c>
      <c r="GB32" s="13">
        <f t="shared" si="49"/>
        <v>26.682142208550211</v>
      </c>
      <c r="GC32" s="20">
        <f t="shared" si="25"/>
        <v>218.59353686850477</v>
      </c>
      <c r="GD32" s="59">
        <f t="shared" si="26"/>
        <v>455.5214341912806</v>
      </c>
      <c r="GE32" s="59">
        <f ca="1">AVERAGE(OFFSET($GD$3,0,0,'Données projet'!$E$17+1,1))-AVERAGE(OFFSET($H$3,0,0,'Données projet'!$E$17+1,1))</f>
        <v>592.58528889137358</v>
      </c>
      <c r="GF32" s="59">
        <f t="shared" si="50"/>
        <v>311.31528020403709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>
        <f>EXP(-LN(2)/35)*GL31+(1-EXP(-LN(2)/35))/(LN(2)/35)*GH32*GI32*VLOOKUP('Données projet'!$B$17,Paramètres!$A$1:$I$89,3,0)*0.475*44/12</f>
        <v>0</v>
      </c>
      <c r="GM32" s="21">
        <f>EXP(-LN(2)/25)*GM31+(1-EXP(-LN(2)/25))/(LN(2)/25)*Calculateur!GH32*Calculateur!GJ32*VLOOKUP('Données projet'!$B$17,Paramètres!$A$1:$I$89,3,0)*0.475*44/12</f>
        <v>0</v>
      </c>
      <c r="GN32" s="21">
        <f>EXP(-LN(2)/2)*GN31+(1-EXP(-LN(2)/2))/(LN(2)/2)*GH32*GK32*VLOOKUP('Données projet'!$B$17,Paramètres!$A$1:$I$89,3,0)*0.475*44/12</f>
        <v>0</v>
      </c>
      <c r="GO32" s="21">
        <f t="shared" si="27"/>
        <v>0</v>
      </c>
      <c r="GP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11.5</v>
      </c>
      <c r="GU32" s="12">
        <f>IF('Données projet'!$A$270&gt;35,GU31+GT32-HC31,IF(A32&lt;'Données projet'!$A$270,$GR$205^A32,IF(A32='Données projet'!$A$270,'Données projet'!$B$270,GU31+GT32-HC31)))</f>
        <v>131.99999999999994</v>
      </c>
      <c r="GV32" s="17">
        <f>GU32*VLOOKUP('Données projet'!$B$18,Paramètres!$A$1:$I$89,3,0)*VLOOKUP('Données projet'!$B$18,Paramètres!$A$1:$I$89,5,0)</f>
        <v>102.95999999999997</v>
      </c>
      <c r="GW32" s="13">
        <f t="shared" si="51"/>
        <v>27.665975080374633</v>
      </c>
      <c r="GX32" s="20">
        <f t="shared" si="28"/>
        <v>227.50690659831903</v>
      </c>
      <c r="GY32" s="59">
        <f t="shared" si="29"/>
        <v>464.43480392109484</v>
      </c>
      <c r="GZ32" s="59">
        <f ca="1">AVERAGE(OFFSET($GY$3,0,0,'Données projet'!$E$18+1,1))-AVERAGE(OFFSET($H$3,0,0,'Données projet'!$E$18+1,1))</f>
        <v>308.85018589589453</v>
      </c>
      <c r="HA32" s="59">
        <f t="shared" si="52"/>
        <v>302.59481222418219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>
        <f>EXP(-LN(2)/35)*HG31+(1-EXP(-LN(2)/35))/(LN(2)/35)*HC32*HD32*VLOOKUP('Données projet'!$B$18,Paramètres!$A$1:$I$89,3,0)*0.475*44/12</f>
        <v>0</v>
      </c>
      <c r="HH32" s="21">
        <f>EXP(-LN(2)/25)*HH31+(1-EXP(-LN(2)/25))/(LN(2)/25)*Calculateur!HC32*Calculateur!HE32*VLOOKUP('Données projet'!$B$18,Paramètres!$A$1:$I$89,3,0)*0.475*44/12</f>
        <v>0</v>
      </c>
      <c r="HI32" s="21">
        <f>EXP(-LN(2)/2)*HI31+(1-EXP(-LN(2)/2))/(LN(2)/2)*HC32*HF32*VLOOKUP('Données projet'!$B$18,Paramètres!$A$1:$I$89,3,0)*0.475*44/12</f>
        <v>0</v>
      </c>
      <c r="HJ32" s="22">
        <f t="shared" si="30"/>
        <v>0</v>
      </c>
    </row>
    <row r="33" spans="1:218" x14ac:dyDescent="0.35">
      <c r="A33" s="10">
        <f t="shared" si="31"/>
        <v>30</v>
      </c>
      <c r="B33" s="72">
        <f>'Scénario référence'!$B$16*5+'Scénario référence'!$B$17*0+'Scénario référence'!$B$18*5</f>
        <v>5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66">
        <f t="shared" si="1"/>
        <v>183.33333333333334</v>
      </c>
      <c r="I33" s="6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121.8846154</v>
      </c>
      <c r="L33" s="12">
        <f>VLOOKUP(A33,'Données projet'!$A$35:$I$55,9,0)</f>
        <v>4.0628205133333335</v>
      </c>
      <c r="M33" s="12">
        <f t="array" ref="M33">INDEX(L:L,MIN(IF(ISNUMBER(L33:L229),ROW(L33:L229),"")))</f>
        <v>4.0628205133333335</v>
      </c>
      <c r="N33" s="13">
        <f>IF('Données projet'!$A$36&gt;35,N32+M33-V32,IF(A33&lt;'Données projet'!$A$36,$K$205^A33,IF(A33='Données projet'!$A$36,'Données projet'!$B$36,N32+M33-V32)))</f>
        <v>121.8846154</v>
      </c>
      <c r="O33" s="13">
        <f>N33*VLOOKUP('Données projet'!$B$9,Paramètres!$A$1:$I$89,3,0)*VLOOKUP('Données projet'!$B$9,Paramètres!$A$1:$I$89,5,0)</f>
        <v>110.28120001392</v>
      </c>
      <c r="P33" s="13">
        <f t="shared" si="33"/>
        <v>29.397227641348678</v>
      </c>
      <c r="Q33" s="20">
        <f t="shared" si="2"/>
        <v>243.27326149959291</v>
      </c>
      <c r="R33" s="59">
        <f t="shared" si="0"/>
        <v>482.38068643263489</v>
      </c>
      <c r="S33" s="59">
        <f ca="1">AVERAGE(OFFSET($R$3,0,0,'Données projet'!$E$9+1,1))-AVERAGE(OFFSET($H$3,0,0,'Données projet'!$E$9+1,1))</f>
        <v>567.42635821507474</v>
      </c>
      <c r="T33" s="59">
        <f t="shared" si="34"/>
        <v>299.04735309930152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121.8846154</v>
      </c>
      <c r="AG33" s="12">
        <f>VLOOKUP(A33,'Données projet'!$A$61:$I$81,9,0)</f>
        <v>4.0628205133333335</v>
      </c>
      <c r="AH33" s="12">
        <f t="array" ref="AH33">INDEX(AG:AG,MIN(IF(ISNUMBER(AG33:AG229),ROW(AG33:AG229),"")))</f>
        <v>4.0628205133333335</v>
      </c>
      <c r="AI33" s="13">
        <f>IF('Données projet'!$A$62&gt;35,AI32+AH33-AQ32,IF(A33&lt;'Données projet'!$A$62,$AF$205^A33,IF(A33='Données projet'!$A$62,'Données projet'!$B$62,AI32+AH33-AQ32)))</f>
        <v>121.8846154</v>
      </c>
      <c r="AJ33" s="13">
        <f>AI33*VLOOKUP('Données projet'!$B$10,Paramètres!$A$1:$I$89,3,0)*VLOOKUP('Données projet'!$B$10,Paramètres!$A$1:$I$89,5,0)</f>
        <v>123.5910000156</v>
      </c>
      <c r="AK33" s="13">
        <f t="shared" si="35"/>
        <v>32.511098376386634</v>
      </c>
      <c r="AL33" s="20">
        <f t="shared" si="4"/>
        <v>271.87782136604341</v>
      </c>
      <c r="AM33" s="59">
        <f t="shared" si="5"/>
        <v>510.98524629908536</v>
      </c>
      <c r="AN33" s="59">
        <f ca="1">AVERAGE(OFFSET($AM$3,0,0,'Données projet'!$E$10+1,1))-AVERAGE(OFFSET($H$3,0,0,'Données projet'!$E$10+1,1))</f>
        <v>626.09203985591455</v>
      </c>
      <c r="AO33" s="59">
        <f t="shared" si="36"/>
        <v>327.65191296575199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116</v>
      </c>
      <c r="BB33" s="12">
        <f>VLOOKUP(A33,'Données projet'!$A$87:$I$107,9,0)</f>
        <v>9.4</v>
      </c>
      <c r="BC33" s="12">
        <f t="array" ref="BC33">INDEX(BB:BB,MIN(IF(ISNUMBER(BB33:BB229),ROW(BB33:BB229),"")))</f>
        <v>9.4</v>
      </c>
      <c r="BD33" s="12">
        <f>IF('Données projet'!$A$88&gt;35,BD32+BC33-BL32,IF(A33&lt;'Données projet'!$A$88,$BA$205^A33,IF(A33='Données projet'!$A$88,'Données projet'!$B$88,BD32+BC33-BL32)))</f>
        <v>116.00000000000001</v>
      </c>
      <c r="BE33" s="13">
        <f>BD33*VLOOKUP('Données projet'!$B$11,Paramètres!$A$1:$I$89,3,0)*VLOOKUP('Données projet'!$B$11,Paramètres!$A$1:$I$89,5,0)</f>
        <v>99.52800000000002</v>
      </c>
      <c r="BF33" s="13">
        <f t="shared" si="37"/>
        <v>26.849519112903323</v>
      </c>
      <c r="BG33" s="20">
        <f t="shared" si="7"/>
        <v>220.10751245497332</v>
      </c>
      <c r="BH33" s="59">
        <f t="shared" si="8"/>
        <v>459.2149373880153</v>
      </c>
      <c r="BI33" s="59">
        <f ca="1">AVERAGE(OFFSET($BH$3,0,0,'Données projet'!$E$11+1,1))-AVERAGE(OFFSET($H$3,0,0,'Données projet'!$E$11+1,1))</f>
        <v>481.23392184981651</v>
      </c>
      <c r="BJ33" s="59">
        <f t="shared" si="38"/>
        <v>275.88160405468193</v>
      </c>
      <c r="BK33" s="15">
        <f>IF(ISNA(VLOOKUP(A33,'Données projet'!$A$87:$I$107,3,0)),0,VLOOKUP(A33,'Données projet'!$A$87:$I$107,3,0))</f>
        <v>2</v>
      </c>
      <c r="BL33" s="15">
        <f>IF(ISNA(VLOOKUP(A33,'Données projet'!$A$87:$I$107,4,0)),0,VLOOKUP(A33,'Données projet'!$A$87:$I$107,4,0))</f>
        <v>28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146.32</v>
      </c>
      <c r="BW33" s="12">
        <f>VLOOKUP(A33,'Données projet'!$A$113:$I$133,9,0)</f>
        <v>4.8773333333333335</v>
      </c>
      <c r="BX33" s="12">
        <f t="array" ref="BX33">INDEX(BW:BW,MIN(IF(ISNUMBER(BW33:BW229),ROW(BW33:BW229),"")))</f>
        <v>4.8773333333333335</v>
      </c>
      <c r="BY33" s="12">
        <f>IF('Données projet'!$A$114&gt;35,BY32+BX33-CG32,IF(A33&lt;'Données projet'!$A$114,$BV$205^A33,IF(A33='Données projet'!$A$114,'Données projet'!$B$114,BY32+BX33-CG32)))</f>
        <v>146.32</v>
      </c>
      <c r="BZ33" s="13">
        <f>BY33*VLOOKUP('Données projet'!$B$12,Paramètres!$A$1:$I$89,3,0)*VLOOKUP('Données projet'!$B$12,Paramètres!$A$1:$I$89,5,0)</f>
        <v>68.477760000000004</v>
      </c>
      <c r="CA33" s="13">
        <f t="shared" si="39"/>
        <v>19.294949369639667</v>
      </c>
      <c r="CB33" s="20">
        <f t="shared" si="10"/>
        <v>152.87080215212242</v>
      </c>
      <c r="CC33" s="59">
        <f t="shared" si="11"/>
        <v>391.97822708516441</v>
      </c>
      <c r="CD33" s="59">
        <f ca="1">AVERAGE(OFFSET($CC$3,0,0,'Données projet'!$E$12+1,1))-AVERAGE(OFFSET($H$3,0,0,'Données projet'!$E$12+1,1))</f>
        <v>331.86732359395467</v>
      </c>
      <c r="CE33" s="59">
        <f t="shared" si="40"/>
        <v>208.64489375183106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177</v>
      </c>
      <c r="CR33" s="12">
        <f>VLOOKUP(A33,'Données projet'!$A$139:$I$159,9,0)</f>
        <v>14.2</v>
      </c>
      <c r="CS33" s="12">
        <f t="array" ref="CS33">INDEX(CR:CR,MIN(IF(ISNUMBER(CR33:CR229),ROW(CR33:CR229),"")))</f>
        <v>14.2</v>
      </c>
      <c r="CT33" s="12">
        <f>IF('Données projet'!$A$140&gt;35,CT32+CS33-DB32,IF(A33&lt;'Données projet'!$A$140,$CQ$205^A33,IF(A33='Données projet'!$A$140,'Données projet'!$B$140,CT32+CS33-DB32)))</f>
        <v>176.99999999999991</v>
      </c>
      <c r="CU33" s="17">
        <f>CT33*VLOOKUP('Données projet'!$B$13,Paramètres!$A$1:$I$89,3,0)*VLOOKUP('Données projet'!$B$13,Paramètres!$A$1:$I$89,5,0)</f>
        <v>129.77639999999994</v>
      </c>
      <c r="CV33" s="13">
        <f t="shared" si="41"/>
        <v>33.94468676198089</v>
      </c>
      <c r="CW33" s="20">
        <f t="shared" si="13"/>
        <v>285.14755944378322</v>
      </c>
      <c r="CX33" s="59">
        <f t="shared" si="14"/>
        <v>524.25498437682518</v>
      </c>
      <c r="CY33" s="59">
        <f ca="1">AVERAGE(OFFSET($CX$3,0,0,'Données projet'!$E$13+1,1))-AVERAGE(OFFSET($H$3,0,0,'Données projet'!$E$13+1,1))</f>
        <v>352.45777291109863</v>
      </c>
      <c r="CZ33" s="59">
        <f t="shared" si="42"/>
        <v>340.92165104349181</v>
      </c>
      <c r="DA33" s="15">
        <f>IF(ISNA(VLOOKUP(A33,'Données projet'!$A$139:$I$159,3,0)),0,VLOOKUP(A33,'Données projet'!$A$139:$I$159,3,0))</f>
        <v>4</v>
      </c>
      <c r="DB33" s="15">
        <f>IF(ISNA(VLOOKUP(A33,'Données projet'!$A$139:$I$159,4,0)),0,VLOOKUP(A33,'Données projet'!$A$139:$I$159,4,0))</f>
        <v>35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0</v>
      </c>
      <c r="DH33" s="21">
        <f>EXP(-LN(2)/2)*DH32+(1-EXP(-LN(2)/2))/(LN(2)/2)*DB33*DE33*VLOOKUP('Données projet'!$B$13,Paramètres!$A$1:$I$89,3,0)*0.475*44/12</f>
        <v>0</v>
      </c>
      <c r="DI33" s="22">
        <f t="shared" si="15"/>
        <v>0</v>
      </c>
      <c r="DJ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>
        <f>VLOOKUP(A33,'Données projet'!$A$165:$I$185,2,0)</f>
        <v>121.8846154</v>
      </c>
      <c r="DM33" s="12">
        <f>VLOOKUP(A33,'Données projet'!$A$165:$I$185,9,0)</f>
        <v>4.0628205133333335</v>
      </c>
      <c r="DN33" s="12">
        <f t="array" ref="DN33">INDEX(DM:DM,MIN(IF(ISNUMBER(DM33:DM229),ROW(DM33:DM229),"")))</f>
        <v>4.0628205133333335</v>
      </c>
      <c r="DO33" s="12">
        <f>IF('Données projet'!$A$166&gt;35,DO32+DN33-DW32,IF(A33&lt;'Données projet'!$A$166,$DL$205^A33,IF(A33='Données projet'!$A$166,'Données projet'!$B$166,DO32+DN33-DW32)))</f>
        <v>121.8846154</v>
      </c>
      <c r="DP33" s="17">
        <f>DO33*VLOOKUP('Données projet'!$B$14,Paramètres!$A$1:$I$89,3,0)*VLOOKUP('Données projet'!$B$14,Paramètres!$A$1:$I$89,5,0)</f>
        <v>81.760200010320006</v>
      </c>
      <c r="DQ33" s="13">
        <f t="shared" si="43"/>
        <v>22.567015523917789</v>
      </c>
      <c r="DR33" s="20">
        <f t="shared" si="16"/>
        <v>181.70323372213082</v>
      </c>
      <c r="DS33" s="59">
        <f t="shared" si="17"/>
        <v>420.8106586551728</v>
      </c>
      <c r="DT33" s="59">
        <f ca="1">AVERAGE(OFFSET($DS$3,0,0,'Données projet'!$E$14+1,1))-AVERAGE(OFFSET($H$3,0,0,'Données projet'!$E$14+1,1))</f>
        <v>441.20130048888439</v>
      </c>
      <c r="DU33" s="59">
        <f t="shared" si="44"/>
        <v>237.47732532183946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>
        <f>EXP(-LN(2)/35)*EA32+(1-EXP(-LN(2)/35))/(LN(2)/35)*DW33*DX33*VLOOKUP('Données projet'!$B$14,Paramètres!$A$1:$I$89,3,0)*0.475*44/12</f>
        <v>0</v>
      </c>
      <c r="EB33" s="21">
        <f>EXP(-LN(2)/25)*EB32+(1-EXP(-LN(2)/25))/(LN(2)/25)*Calculateur!DW33*Calculateur!DY33*VLOOKUP('Données projet'!$B$14,Paramètres!$A$1:$I$89,3,0)*0.475*44/12</f>
        <v>0</v>
      </c>
      <c r="EC33" s="21">
        <f>EXP(-LN(2)/2)*EC32+(1-EXP(-LN(2)/2))/(LN(2)/2)*DW33*DZ33*VLOOKUP('Données projet'!$B$14,Paramètres!$A$1:$I$89,3,0)*0.475*44/12</f>
        <v>0</v>
      </c>
      <c r="ED33" s="22">
        <f t="shared" si="18"/>
        <v>0</v>
      </c>
      <c r="EE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>
        <f>VLOOKUP(A33,'Données projet'!$A$191:$I$211,2,0)</f>
        <v>177</v>
      </c>
      <c r="EH33" s="12">
        <f>VLOOKUP(A33,'Données projet'!$A$191:$I$211,9,0)</f>
        <v>14.2</v>
      </c>
      <c r="EI33" s="12">
        <f t="array" ref="EI33">INDEX(EH:EH,MIN(IF(ISNUMBER(EH33:EH229),ROW(EH33:EH229),"")))</f>
        <v>14.2</v>
      </c>
      <c r="EJ33" s="12">
        <f>IF('Données projet'!$A$192&gt;35,EJ32+EI33-ER32,IF(A33&lt;'Données projet'!$A$192,$EG$205^A33,IF(A33='Données projet'!$A$192,'Données projet'!$B$192,EJ32+EI33-ER32)))</f>
        <v>176.99999999999991</v>
      </c>
      <c r="EK33" s="17">
        <f>EJ33*VLOOKUP('Données projet'!$B$15,Paramètres!$A$1:$I$89,3,0)*VLOOKUP('Données projet'!$B$15,Paramètres!$A$1:$I$89,5,0)</f>
        <v>140.82119999999992</v>
      </c>
      <c r="EL33" s="13">
        <f t="shared" si="45"/>
        <v>36.485066799987997</v>
      </c>
      <c r="EM33" s="20">
        <f t="shared" si="19"/>
        <v>308.80841467664561</v>
      </c>
      <c r="EN33" s="59">
        <f t="shared" si="20"/>
        <v>547.91583960968762</v>
      </c>
      <c r="EO33" s="59">
        <f ca="1">AVERAGE(OFFSET($EN$3,0,0,'Données projet'!$E$15+1,1))-AVERAGE(OFFSET($H$3,0,0,'Données projet'!$E$15+1,1))</f>
        <v>377.27600411578322</v>
      </c>
      <c r="EP33" s="59">
        <f t="shared" si="46"/>
        <v>364.58250627635425</v>
      </c>
      <c r="EQ33" s="15">
        <f>IF(ISNA(VLOOKUP(A33,'Données projet'!$A$191:$I$211,3,0)),0,VLOOKUP(A33,'Données projet'!$A$191:$I$211,3,0))</f>
        <v>4</v>
      </c>
      <c r="ER33" s="15">
        <f>IF(ISNA(VLOOKUP(A33,'Données projet'!$A$191:$I$211,4,0)),0,VLOOKUP(A33,'Données projet'!$A$191:$I$211,4,0))</f>
        <v>35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>
        <f>EXP(-LN(2)/35)*EV32+(1-EXP(-LN(2)/35))/(LN(2)/35)*ER33*ES33*VLOOKUP('Données projet'!$B$15,Paramètres!$A$1:$I$89,3,0)*0.475*44/12</f>
        <v>0</v>
      </c>
      <c r="EW33" s="21">
        <f>EXP(-LN(2)/25)*EW32+(1-EXP(-LN(2)/25))/(LN(2)/25)*Calculateur!ER33*Calculateur!ET33*VLOOKUP('Données projet'!$B$15,Paramètres!$A$1:$I$89,3,0)*0.475*44/12</f>
        <v>0</v>
      </c>
      <c r="EX33" s="21">
        <f>EXP(-LN(2)/2)*EX32+(1-EXP(-LN(2)/2))/(LN(2)/2)*ER33*EU33*VLOOKUP('Données projet'!$B$15,Paramètres!$A$1:$I$89,3,0)*0.475*44/12</f>
        <v>0</v>
      </c>
      <c r="EY33" s="22">
        <f t="shared" si="21"/>
        <v>0</v>
      </c>
      <c r="EZ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>
        <f>VLOOKUP(A33,'Données projet'!$A$217:$I$237,2,0)</f>
        <v>177</v>
      </c>
      <c r="FC33" s="12">
        <f>VLOOKUP(A33,'Données projet'!$A$217:$I$237,9,0)</f>
        <v>14.2</v>
      </c>
      <c r="FD33" s="12">
        <f t="array" ref="FD33">INDEX(FC:FC,MIN(IF(ISNUMBER(FC33:FC229),ROW(FC33:FC229),"")))</f>
        <v>14.2</v>
      </c>
      <c r="FE33" s="12">
        <f>IF('Données projet'!$A$218&gt;35,FE32+FD33-FM32,IF(A33&lt;'Données projet'!$A$218,$FB$205^A33,IF(A33='Données projet'!$A$218,'Données projet'!$B$218,FE32+FD33-FM32)))</f>
        <v>176.99999999999991</v>
      </c>
      <c r="FF33" s="17">
        <f>FE33*VLOOKUP('Données projet'!$B$16,Paramètres!$A$1:$I$89,3,0)*VLOOKUP('Données projet'!$B$16,Paramètres!$A$1:$I$89,5,0)</f>
        <v>143.58239999999995</v>
      </c>
      <c r="FG33" s="13">
        <f t="shared" si="47"/>
        <v>37.116472314400653</v>
      </c>
      <c r="FH33" s="20">
        <f t="shared" si="22"/>
        <v>314.7172026142477</v>
      </c>
      <c r="FI33" s="59">
        <f t="shared" si="23"/>
        <v>553.82462754728965</v>
      </c>
      <c r="FJ33" s="59">
        <f ca="1">AVERAGE(OFFSET($FI$3,0,0,'Données projet'!$E$16+1,1))-AVERAGE(OFFSET($H$3,0,0,'Données projet'!$E$16+1,1))</f>
        <v>383.47399633251354</v>
      </c>
      <c r="FK33" s="59">
        <f t="shared" si="48"/>
        <v>370.49129421395628</v>
      </c>
      <c r="FL33" s="15">
        <f>IF(ISNA(VLOOKUP(A33,'Données projet'!$A$217:$I$237,3,0)),0,VLOOKUP(A33,'Données projet'!$A$217:$I$237,3,0))</f>
        <v>4</v>
      </c>
      <c r="FM33" s="15">
        <f>IF(ISNA(VLOOKUP(A33,'Données projet'!$A$217:$I$237,4,0)),0,VLOOKUP(A33,'Données projet'!$A$217:$I$237,4,0))</f>
        <v>35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>
        <f>EXP(-LN(2)/35)*FQ32+(1-EXP(-LN(2)/35))/(LN(2)/35)*FM33*FN33*VLOOKUP('Données projet'!$B$16,Paramètres!$A$1:$I$89,3,0)*0.475*44/12</f>
        <v>0</v>
      </c>
      <c r="FR33" s="21">
        <f>EXP(-LN(2)/25)*FR32+(1-EXP(-LN(2)/25))/(LN(2)/25)*Calculateur!FM33*Calculateur!FO33*VLOOKUP('Données projet'!$B$16,Paramètres!$A$1:$I$89,3,0)*0.475*44/12</f>
        <v>0</v>
      </c>
      <c r="FS33" s="21">
        <f>EXP(-LN(2)/2)*FS32+(1-EXP(-LN(2)/2))/(LN(2)/2)*FM33*FP33*VLOOKUP('Données projet'!$B$16,Paramètres!$A$1:$I$89,3,0)*0.475*44/12</f>
        <v>0</v>
      </c>
      <c r="FT33" s="22">
        <f t="shared" si="24"/>
        <v>0</v>
      </c>
      <c r="FU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>
        <f>VLOOKUP(A33,'Données projet'!$A$243:$I$263,2,0)</f>
        <v>121.8846154</v>
      </c>
      <c r="FX33" s="12">
        <f>VLOOKUP(A33,'Données projet'!$A$243:$I$263,9,0)</f>
        <v>4.0628205133333335</v>
      </c>
      <c r="FY33" s="12">
        <f t="array" ref="FY33">INDEX(FX:FX,MIN(IF(ISNUMBER(FX33:FX229),ROW(FX33:FX229),"")))</f>
        <v>4.0628205133333335</v>
      </c>
      <c r="FZ33" s="12">
        <f>IF('Données projet'!$A$244&gt;35,FZ32+FY33-GH32,IF(A33&lt;'Données projet'!$A$244,$FW$205^A33,IF(A33='Données projet'!$A$244,'Données projet'!$B$244,FZ32+FY33-GH32)))</f>
        <v>121.8846154</v>
      </c>
      <c r="GA33" s="17">
        <f>FZ33*VLOOKUP('Données projet'!$B$17,Paramètres!$A$1:$I$89,3,0)*VLOOKUP('Données projet'!$B$17,Paramètres!$A$1:$I$89,5,0)</f>
        <v>115.98540001463999</v>
      </c>
      <c r="GB33" s="13">
        <f t="shared" si="49"/>
        <v>30.736813538084505</v>
      </c>
      <c r="GC33" s="20">
        <f t="shared" si="25"/>
        <v>255.54118860432845</v>
      </c>
      <c r="GD33" s="59">
        <f t="shared" si="26"/>
        <v>494.64861353737047</v>
      </c>
      <c r="GE33" s="59">
        <f ca="1">AVERAGE(OFFSET($GD$3,0,0,'Données projet'!$E$17+1,1))-AVERAGE(OFFSET($H$3,0,0,'Données projet'!$E$17+1,1))</f>
        <v>592.58528889137358</v>
      </c>
      <c r="GF33" s="59">
        <f t="shared" si="50"/>
        <v>311.31528020403709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>
        <f>EXP(-LN(2)/35)*GL32+(1-EXP(-LN(2)/35))/(LN(2)/35)*GH33*GI33*VLOOKUP('Données projet'!$B$17,Paramètres!$A$1:$I$89,3,0)*0.475*44/12</f>
        <v>0</v>
      </c>
      <c r="GM33" s="21">
        <f>EXP(-LN(2)/25)*GM32+(1-EXP(-LN(2)/25))/(LN(2)/25)*Calculateur!GH33*Calculateur!GJ33*VLOOKUP('Données projet'!$B$17,Paramètres!$A$1:$I$89,3,0)*0.475*44/12</f>
        <v>0</v>
      </c>
      <c r="GN33" s="21">
        <f>EXP(-LN(2)/2)*GN32+(1-EXP(-LN(2)/2))/(LN(2)/2)*GH33*GK33*VLOOKUP('Données projet'!$B$17,Paramètres!$A$1:$I$89,3,0)*0.475*44/12</f>
        <v>0</v>
      </c>
      <c r="GO33" s="21">
        <f t="shared" si="27"/>
        <v>0</v>
      </c>
      <c r="GP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11.5</v>
      </c>
      <c r="GU33" s="12">
        <f>IF('Données projet'!$A$270&gt;35,GU32+GT33-HC32,IF(A33&lt;'Données projet'!$A$270,$GR$205^A33,IF(A33='Données projet'!$A$270,'Données projet'!$B$270,GU32+GT33-HC32)))</f>
        <v>143.49999999999994</v>
      </c>
      <c r="GV33" s="17">
        <f>GU33*VLOOKUP('Données projet'!$B$18,Paramètres!$A$1:$I$89,3,0)*VLOOKUP('Données projet'!$B$18,Paramètres!$A$1:$I$89,5,0)</f>
        <v>111.92999999999996</v>
      </c>
      <c r="GW33" s="13">
        <f t="shared" si="51"/>
        <v>29.785246291563833</v>
      </c>
      <c r="GX33" s="20">
        <f t="shared" si="28"/>
        <v>246.82072062447358</v>
      </c>
      <c r="GY33" s="59">
        <f t="shared" si="29"/>
        <v>485.92814555751556</v>
      </c>
      <c r="GZ33" s="59">
        <f ca="1">AVERAGE(OFFSET($GY$3,0,0,'Données projet'!$E$18+1,1))-AVERAGE(OFFSET($H$3,0,0,'Données projet'!$E$18+1,1))</f>
        <v>308.85018589589453</v>
      </c>
      <c r="HA33" s="59">
        <f t="shared" si="52"/>
        <v>302.59481222418219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>
        <f>EXP(-LN(2)/35)*HG32+(1-EXP(-LN(2)/35))/(LN(2)/35)*HC33*HD33*VLOOKUP('Données projet'!$B$18,Paramètres!$A$1:$I$89,3,0)*0.475*44/12</f>
        <v>0</v>
      </c>
      <c r="HH33" s="21">
        <f>EXP(-LN(2)/25)*HH32+(1-EXP(-LN(2)/25))/(LN(2)/25)*Calculateur!HC33*Calculateur!HE33*VLOOKUP('Données projet'!$B$18,Paramètres!$A$1:$I$89,3,0)*0.475*44/12</f>
        <v>0</v>
      </c>
      <c r="HI33" s="21">
        <f>EXP(-LN(2)/2)*HI32+(1-EXP(-LN(2)/2))/(LN(2)/2)*HC33*HF33*VLOOKUP('Données projet'!$B$18,Paramètres!$A$1:$I$89,3,0)*0.475*44/12</f>
        <v>0</v>
      </c>
      <c r="HJ33" s="22">
        <f t="shared" si="30"/>
        <v>0</v>
      </c>
    </row>
    <row r="34" spans="1:218" x14ac:dyDescent="0.35">
      <c r="A34" s="10">
        <f t="shared" si="31"/>
        <v>31</v>
      </c>
      <c r="B34" s="72">
        <f>'Scénario référence'!$B$16*5+'Scénario référence'!$B$17*0+'Scénario référence'!$B$18*5</f>
        <v>5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66">
        <f t="shared" si="1"/>
        <v>183.33333333333334</v>
      </c>
      <c r="I34" s="6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15.881076919999998</v>
      </c>
      <c r="N34" s="13">
        <f>IF('Données projet'!$A$36&gt;35,N33+M34-V33,IF(A34&lt;'Données projet'!$A$36,$K$205^A34,IF(A34='Données projet'!$A$36,'Données projet'!$B$36,N33+M34-V33)))</f>
        <v>137.76569232</v>
      </c>
      <c r="O34" s="13">
        <f>N34*VLOOKUP('Données projet'!$B$9,Paramètres!$A$1:$I$89,3,0)*VLOOKUP('Données projet'!$B$9,Paramètres!$A$1:$I$89,5,0)</f>
        <v>124.65039841113601</v>
      </c>
      <c r="P34" s="13">
        <f t="shared" si="33"/>
        <v>32.757216609030209</v>
      </c>
      <c r="Q34" s="20">
        <f t="shared" si="2"/>
        <v>274.15159616012278</v>
      </c>
      <c r="R34" s="59">
        <f t="shared" si="0"/>
        <v>514.19971937294031</v>
      </c>
      <c r="S34" s="59">
        <f ca="1">AVERAGE(OFFSET($R$3,0,0,'Données projet'!$E$9+1,1))-AVERAGE(OFFSET($H$3,0,0,'Données projet'!$E$9+1,1))</f>
        <v>567.42635821507474</v>
      </c>
      <c r="T34" s="59">
        <f t="shared" si="34"/>
        <v>299.04735309930152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15.881076919999998</v>
      </c>
      <c r="AI34" s="13">
        <f>IF('Données projet'!$A$62&gt;35,AI33+AH34-AQ33,IF(A34&lt;'Données projet'!$A$62,$AF$205^A34,IF(A34='Données projet'!$A$62,'Données projet'!$B$62,AI33+AH34-AQ33)))</f>
        <v>137.76569232</v>
      </c>
      <c r="AJ34" s="13">
        <f>AI34*VLOOKUP('Données projet'!$B$10,Paramètres!$A$1:$I$89,3,0)*VLOOKUP('Données projet'!$B$10,Paramètres!$A$1:$I$89,5,0)</f>
        <v>139.69441201248003</v>
      </c>
      <c r="AK34" s="13">
        <f t="shared" si="35"/>
        <v>36.226990677680369</v>
      </c>
      <c r="AL34" s="20">
        <f t="shared" si="4"/>
        <v>306.396443018696</v>
      </c>
      <c r="AM34" s="59">
        <f t="shared" si="5"/>
        <v>546.44456623151359</v>
      </c>
      <c r="AN34" s="59">
        <f ca="1">AVERAGE(OFFSET($AM$3,0,0,'Données projet'!$E$10+1,1))-AVERAGE(OFFSET($H$3,0,0,'Données projet'!$E$10+1,1))</f>
        <v>626.09203985591455</v>
      </c>
      <c r="AO34" s="59">
        <f t="shared" si="36"/>
        <v>327.65191296575199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10.199999999999999</v>
      </c>
      <c r="BD34" s="12">
        <f>IF('Données projet'!$A$88&gt;35,BD33+BC34-BL33,IF(A34&lt;'Données projet'!$A$88,$BA$205^A34,IF(A34='Données projet'!$A$88,'Données projet'!$B$88,BD33+BC34-BL33)))</f>
        <v>98.200000000000017</v>
      </c>
      <c r="BE34" s="13">
        <f>BD34*VLOOKUP('Données projet'!$B$11,Paramètres!$A$1:$I$89,3,0)*VLOOKUP('Données projet'!$B$11,Paramètres!$A$1:$I$89,5,0)</f>
        <v>84.255600000000015</v>
      </c>
      <c r="BF34" s="13">
        <f t="shared" si="37"/>
        <v>23.174541098743855</v>
      </c>
      <c r="BG34" s="20">
        <f t="shared" si="7"/>
        <v>187.10749574697891</v>
      </c>
      <c r="BH34" s="59">
        <f t="shared" si="8"/>
        <v>427.15561895979647</v>
      </c>
      <c r="BI34" s="59">
        <f ca="1">AVERAGE(OFFSET($BH$3,0,0,'Données projet'!$E$11+1,1))-AVERAGE(OFFSET($H$3,0,0,'Données projet'!$E$11+1,1))</f>
        <v>481.23392184981651</v>
      </c>
      <c r="BJ34" s="59">
        <f t="shared" si="38"/>
        <v>275.88160405468193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16.511666666666667</v>
      </c>
      <c r="BY34" s="12">
        <f>IF('Données projet'!$A$114&gt;35,BY33+BX34-CG33,IF(A34&lt;'Données projet'!$A$114,$BV$205^A34,IF(A34='Données projet'!$A$114,'Données projet'!$B$114,BY33+BX34-CG33)))</f>
        <v>162.83166666666665</v>
      </c>
      <c r="BZ34" s="13">
        <f>BY34*VLOOKUP('Données projet'!$B$12,Paramètres!$A$1:$I$89,3,0)*VLOOKUP('Données projet'!$B$12,Paramètres!$A$1:$I$89,5,0)</f>
        <v>76.205219999999997</v>
      </c>
      <c r="CA34" s="13">
        <f t="shared" si="39"/>
        <v>21.206732805864224</v>
      </c>
      <c r="CB34" s="20">
        <f t="shared" si="10"/>
        <v>169.65915113688018</v>
      </c>
      <c r="CC34" s="59">
        <f t="shared" si="11"/>
        <v>409.70727434969774</v>
      </c>
      <c r="CD34" s="59">
        <f ca="1">AVERAGE(OFFSET($CC$3,0,0,'Données projet'!$E$12+1,1))-AVERAGE(OFFSET($H$3,0,0,'Données projet'!$E$12+1,1))</f>
        <v>331.86732359395467</v>
      </c>
      <c r="CE34" s="59">
        <f t="shared" si="40"/>
        <v>208.64489375183106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12.8</v>
      </c>
      <c r="CT34" s="12">
        <f>IF('Données projet'!$A$140&gt;35,CT33+CS34-DB33,IF(A34&lt;'Données projet'!$A$140,$CQ$205^A34,IF(A34='Données projet'!$A$140,'Données projet'!$B$140,CT33+CS34-DB33)))</f>
        <v>154.79999999999993</v>
      </c>
      <c r="CU34" s="17">
        <f>CT34*VLOOKUP('Données projet'!$B$13,Paramètres!$A$1:$I$89,3,0)*VLOOKUP('Données projet'!$B$13,Paramètres!$A$1:$I$89,5,0)</f>
        <v>113.49935999999994</v>
      </c>
      <c r="CV34" s="13">
        <f t="shared" si="41"/>
        <v>30.153952354272999</v>
      </c>
      <c r="CW34" s="20">
        <f t="shared" si="13"/>
        <v>250.19618568369199</v>
      </c>
      <c r="CX34" s="59">
        <f t="shared" si="14"/>
        <v>490.24430889650955</v>
      </c>
      <c r="CY34" s="59">
        <f ca="1">AVERAGE(OFFSET($CX$3,0,0,'Données projet'!$E$13+1,1))-AVERAGE(OFFSET($H$3,0,0,'Données projet'!$E$13+1,1))</f>
        <v>352.45777291109863</v>
      </c>
      <c r="CZ34" s="59">
        <f t="shared" si="42"/>
        <v>340.92165104349181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0</v>
      </c>
      <c r="DH34" s="21">
        <f>EXP(-LN(2)/2)*DH33+(1-EXP(-LN(2)/2))/(LN(2)/2)*DB34*DE34*VLOOKUP('Données projet'!$B$13,Paramètres!$A$1:$I$89,3,0)*0.475*44/12</f>
        <v>0</v>
      </c>
      <c r="DI34" s="22">
        <f t="shared" si="15"/>
        <v>0</v>
      </c>
      <c r="DJ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15.881076919999998</v>
      </c>
      <c r="DO34" s="12">
        <f>IF('Données projet'!$A$166&gt;35,DO33+DN34-DW33,IF(A34&lt;'Données projet'!$A$166,$DL$205^A34,IF(A34='Données projet'!$A$166,'Données projet'!$B$166,DO33+DN34-DW33)))</f>
        <v>137.76569232</v>
      </c>
      <c r="DP34" s="17">
        <f>DO34*VLOOKUP('Données projet'!$B$14,Paramètres!$A$1:$I$89,3,0)*VLOOKUP('Données projet'!$B$14,Paramètres!$A$1:$I$89,5,0)</f>
        <v>92.413226408256008</v>
      </c>
      <c r="DQ34" s="13">
        <f t="shared" si="43"/>
        <v>25.146337768822566</v>
      </c>
      <c r="DR34" s="20">
        <f t="shared" si="16"/>
        <v>204.74957427507852</v>
      </c>
      <c r="DS34" s="59">
        <f t="shared" si="17"/>
        <v>444.79769748789607</v>
      </c>
      <c r="DT34" s="59">
        <f ca="1">AVERAGE(OFFSET($DS$3,0,0,'Données projet'!$E$14+1,1))-AVERAGE(OFFSET($H$3,0,0,'Données projet'!$E$14+1,1))</f>
        <v>441.20130048888439</v>
      </c>
      <c r="DU34" s="59">
        <f t="shared" si="44"/>
        <v>237.47732532183946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0</v>
      </c>
      <c r="EB34" s="21">
        <f>EXP(-LN(2)/25)*EB33+(1-EXP(-LN(2)/25))/(LN(2)/25)*Calculateur!DW34*Calculateur!DY34*VLOOKUP('Données projet'!$B$14,Paramètres!$A$1:$I$89,3,0)*0.475*44/12</f>
        <v>0</v>
      </c>
      <c r="EC34" s="21">
        <f>EXP(-LN(2)/2)*EC33+(1-EXP(-LN(2)/2))/(LN(2)/2)*DW34*DZ34*VLOOKUP('Données projet'!$B$14,Paramètres!$A$1:$I$89,3,0)*0.475*44/12</f>
        <v>0</v>
      </c>
      <c r="ED34" s="22">
        <f t="shared" si="18"/>
        <v>0</v>
      </c>
      <c r="EE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12.8</v>
      </c>
      <c r="EJ34" s="12">
        <f>IF('Données projet'!$A$192&gt;35,EJ33+EI34-ER33,IF(A34&lt;'Données projet'!$A$192,$EG$205^A34,IF(A34='Données projet'!$A$192,'Données projet'!$B$192,EJ33+EI34-ER33)))</f>
        <v>154.79999999999993</v>
      </c>
      <c r="EK34" s="17">
        <f>EJ34*VLOOKUP('Données projet'!$B$15,Paramètres!$A$1:$I$89,3,0)*VLOOKUP('Données projet'!$B$15,Paramètres!$A$1:$I$89,5,0)</f>
        <v>123.15887999999995</v>
      </c>
      <c r="EL34" s="13">
        <f t="shared" si="45"/>
        <v>32.410638331814873</v>
      </c>
      <c r="EM34" s="20">
        <f t="shared" si="19"/>
        <v>270.95024442791083</v>
      </c>
      <c r="EN34" s="59">
        <f t="shared" si="20"/>
        <v>510.99836764072836</v>
      </c>
      <c r="EO34" s="59">
        <f ca="1">AVERAGE(OFFSET($EN$3,0,0,'Données projet'!$E$15+1,1))-AVERAGE(OFFSET($H$3,0,0,'Données projet'!$E$15+1,1))</f>
        <v>377.27600411578322</v>
      </c>
      <c r="EP34" s="59">
        <f t="shared" si="46"/>
        <v>364.58250627635425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>
        <f>EXP(-LN(2)/35)*EV33+(1-EXP(-LN(2)/35))/(LN(2)/35)*ER34*ES34*VLOOKUP('Données projet'!$B$15,Paramètres!$A$1:$I$89,3,0)*0.475*44/12</f>
        <v>0</v>
      </c>
      <c r="EW34" s="21">
        <f>EXP(-LN(2)/25)*EW33+(1-EXP(-LN(2)/25))/(LN(2)/25)*Calculateur!ER34*Calculateur!ET34*VLOOKUP('Données projet'!$B$15,Paramètres!$A$1:$I$89,3,0)*0.475*44/12</f>
        <v>0</v>
      </c>
      <c r="EX34" s="21">
        <f>EXP(-LN(2)/2)*EX33+(1-EXP(-LN(2)/2))/(LN(2)/2)*ER34*EU34*VLOOKUP('Données projet'!$B$15,Paramètres!$A$1:$I$89,3,0)*0.475*44/12</f>
        <v>0</v>
      </c>
      <c r="EY34" s="22">
        <f t="shared" si="21"/>
        <v>0</v>
      </c>
      <c r="EZ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12.8</v>
      </c>
      <c r="FE34" s="12">
        <f>IF('Données projet'!$A$218&gt;35,FE33+FD34-FM33,IF(A34&lt;'Données projet'!$A$218,$FB$205^A34,IF(A34='Données projet'!$A$218,'Données projet'!$B$218,FE33+FD34-FM33)))</f>
        <v>154.79999999999993</v>
      </c>
      <c r="FF34" s="17">
        <f>FE34*VLOOKUP('Données projet'!$B$16,Paramètres!$A$1:$I$89,3,0)*VLOOKUP('Données projet'!$B$16,Paramètres!$A$1:$I$89,5,0)</f>
        <v>125.57375999999995</v>
      </c>
      <c r="FG34" s="13">
        <f t="shared" si="47"/>
        <v>32.97153235129214</v>
      </c>
      <c r="FH34" s="20">
        <f t="shared" si="22"/>
        <v>276.13305084516702</v>
      </c>
      <c r="FI34" s="59">
        <f t="shared" si="23"/>
        <v>516.18117405798455</v>
      </c>
      <c r="FJ34" s="59">
        <f ca="1">AVERAGE(OFFSET($FI$3,0,0,'Données projet'!$E$16+1,1))-AVERAGE(OFFSET($H$3,0,0,'Données projet'!$E$16+1,1))</f>
        <v>383.47399633251354</v>
      </c>
      <c r="FK34" s="59">
        <f t="shared" si="48"/>
        <v>370.49129421395628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>
        <f>EXP(-LN(2)/35)*FQ33+(1-EXP(-LN(2)/35))/(LN(2)/35)*FM34*FN34*VLOOKUP('Données projet'!$B$16,Paramètres!$A$1:$I$89,3,0)*0.475*44/12</f>
        <v>0</v>
      </c>
      <c r="FR34" s="21">
        <f>EXP(-LN(2)/25)*FR33+(1-EXP(-LN(2)/25))/(LN(2)/25)*Calculateur!FM34*Calculateur!FO34*VLOOKUP('Données projet'!$B$16,Paramètres!$A$1:$I$89,3,0)*0.475*44/12</f>
        <v>0</v>
      </c>
      <c r="FS34" s="21">
        <f>EXP(-LN(2)/2)*FS33+(1-EXP(-LN(2)/2))/(LN(2)/2)*FM34*FP34*VLOOKUP('Données projet'!$B$16,Paramètres!$A$1:$I$89,3,0)*0.475*44/12</f>
        <v>0</v>
      </c>
      <c r="FT34" s="22">
        <f t="shared" si="24"/>
        <v>0</v>
      </c>
      <c r="FU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15.881076919999998</v>
      </c>
      <c r="FZ34" s="12">
        <f>IF('Données projet'!$A$244&gt;35,FZ33+FY34-GH33,IF(A34&lt;'Données projet'!$A$244,$FW$205^A34,IF(A34='Données projet'!$A$244,'Données projet'!$B$244,FZ33+FY34-GH33)))</f>
        <v>137.76569232</v>
      </c>
      <c r="GA34" s="17">
        <f>FZ34*VLOOKUP('Données projet'!$B$17,Paramètres!$A$1:$I$89,3,0)*VLOOKUP('Données projet'!$B$17,Paramètres!$A$1:$I$89,5,0)</f>
        <v>131.09783281171198</v>
      </c>
      <c r="GB34" s="13">
        <f t="shared" si="49"/>
        <v>34.249911972046505</v>
      </c>
      <c r="GC34" s="20">
        <f t="shared" si="25"/>
        <v>287.98065549837935</v>
      </c>
      <c r="GD34" s="59">
        <f t="shared" si="26"/>
        <v>528.02877871119688</v>
      </c>
      <c r="GE34" s="59">
        <f ca="1">AVERAGE(OFFSET($GD$3,0,0,'Données projet'!$E$17+1,1))-AVERAGE(OFFSET($H$3,0,0,'Données projet'!$E$17+1,1))</f>
        <v>592.58528889137358</v>
      </c>
      <c r="GF34" s="59">
        <f t="shared" si="50"/>
        <v>311.31528020403709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>
        <f>EXP(-LN(2)/35)*GL33+(1-EXP(-LN(2)/35))/(LN(2)/35)*GH34*GI34*VLOOKUP('Données projet'!$B$17,Paramètres!$A$1:$I$89,3,0)*0.475*44/12</f>
        <v>0</v>
      </c>
      <c r="GM34" s="21">
        <f>EXP(-LN(2)/25)*GM33+(1-EXP(-LN(2)/25))/(LN(2)/25)*Calculateur!GH34*Calculateur!GJ34*VLOOKUP('Données projet'!$B$17,Paramètres!$A$1:$I$89,3,0)*0.475*44/12</f>
        <v>0</v>
      </c>
      <c r="GN34" s="21">
        <f>EXP(-LN(2)/2)*GN33+(1-EXP(-LN(2)/2))/(LN(2)/2)*GH34*GK34*VLOOKUP('Données projet'!$B$17,Paramètres!$A$1:$I$89,3,0)*0.475*44/12</f>
        <v>0</v>
      </c>
      <c r="GO34" s="21">
        <f t="shared" si="27"/>
        <v>0</v>
      </c>
      <c r="GP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>
        <f>VLOOKUP(A34,'Données projet'!$A$269:$I$289,2,0)</f>
        <v>155</v>
      </c>
      <c r="GS34" s="12">
        <f>VLOOKUP(A34,'Données projet'!$A$269:$I$289,9,0)</f>
        <v>11.5</v>
      </c>
      <c r="GT34" s="12">
        <f t="array" ref="GT34">INDEX(GS:GS,MIN(IF(ISNUMBER(GS34:GS230),ROW(GS34:GS230),"")))</f>
        <v>11.5</v>
      </c>
      <c r="GU34" s="12">
        <f>IF('Données projet'!$A$270&gt;35,GU33+GT34-HC33,IF(A34&lt;'Données projet'!$A$270,$GR$205^A34,IF(A34='Données projet'!$A$270,'Données projet'!$B$270,GU33+GT34-HC33)))</f>
        <v>154.99999999999994</v>
      </c>
      <c r="GV34" s="17">
        <f>GU34*VLOOKUP('Données projet'!$B$18,Paramètres!$A$1:$I$89,3,0)*VLOOKUP('Données projet'!$B$18,Paramètres!$A$1:$I$89,5,0)</f>
        <v>120.89999999999996</v>
      </c>
      <c r="GW34" s="13">
        <f t="shared" si="51"/>
        <v>31.884818143351602</v>
      </c>
      <c r="GX34" s="20">
        <f t="shared" si="28"/>
        <v>266.10022493300397</v>
      </c>
      <c r="GY34" s="59">
        <f t="shared" si="29"/>
        <v>506.1483481458215</v>
      </c>
      <c r="GZ34" s="59">
        <f ca="1">AVERAGE(OFFSET($GY$3,0,0,'Données projet'!$E$18+1,1))-AVERAGE(OFFSET($H$3,0,0,'Données projet'!$E$18+1,1))</f>
        <v>308.85018589589453</v>
      </c>
      <c r="HA34" s="59">
        <f t="shared" si="52"/>
        <v>302.59481222418219</v>
      </c>
      <c r="HB34" s="15">
        <f>IF(ISNA(VLOOKUP(A34,'Données projet'!$A$269:$I$289,3,0)),0,VLOOKUP(A34,'Données projet'!$A$269:$I$289,3,0))</f>
        <v>4</v>
      </c>
      <c r="HC34" s="15">
        <f>IF(ISNA(VLOOKUP(A34,'Données projet'!$A$269:$I$289,4,0)),0,VLOOKUP(A34,'Données projet'!$A$269:$I$289,4,0))</f>
        <v>36</v>
      </c>
      <c r="HD34" s="16">
        <f>IF(ISNA(VLOOKUP(A34,'Données projet'!$A$269:$I$289,5,0)),0%,VLOOKUP(A34,'Données projet'!$A$269:$I$289,5,0)*VLOOKUP('Données projet'!$B$18,Paramètres!$A$1:$I$89,7,0))</f>
        <v>0.43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>
        <f>EXP(-LN(2)/35)*HG33+(1-EXP(-LN(2)/35))/(LN(2)/35)*HC34*HD34*VLOOKUP('Données projet'!$B$18,Paramètres!$A$1:$I$89,3,0)*0.475*44/12</f>
        <v>13.347891550632653</v>
      </c>
      <c r="HH34" s="21">
        <f>EXP(-LN(2)/25)*HH33+(1-EXP(-LN(2)/25))/(LN(2)/25)*Calculateur!HC34*Calculateur!HE34*VLOOKUP('Données projet'!$B$18,Paramètres!$A$1:$I$89,3,0)*0.475*44/12</f>
        <v>0</v>
      </c>
      <c r="HI34" s="21">
        <f>EXP(-LN(2)/2)*HI33+(1-EXP(-LN(2)/2))/(LN(2)/2)*HC34*HF34*VLOOKUP('Données projet'!$B$18,Paramètres!$A$1:$I$89,3,0)*0.475*44/12</f>
        <v>0</v>
      </c>
      <c r="HJ34" s="22">
        <f t="shared" si="30"/>
        <v>13.347891550632653</v>
      </c>
    </row>
    <row r="35" spans="1:218" x14ac:dyDescent="0.35">
      <c r="A35" s="10">
        <f t="shared" si="31"/>
        <v>32</v>
      </c>
      <c r="B35" s="72">
        <f>'Scénario référence'!$B$16*5+'Scénario référence'!$B$17*0+'Scénario référence'!$B$18*5</f>
        <v>5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66">
        <f t="shared" si="1"/>
        <v>183.33333333333334</v>
      </c>
      <c r="I35" s="6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15.881076919999998</v>
      </c>
      <c r="N35" s="13">
        <f>IF('Données projet'!$A$36&gt;35,N34+M35-V34,IF(A35&lt;'Données projet'!$A$36,$K$205^A35,IF(A35='Données projet'!$A$36,'Données projet'!$B$36,N34+M35-V34)))</f>
        <v>153.64676924</v>
      </c>
      <c r="O35" s="13">
        <f>N35*VLOOKUP('Données projet'!$B$9,Paramètres!$A$1:$I$89,3,0)*VLOOKUP('Données projet'!$B$9,Paramètres!$A$1:$I$89,5,0)</f>
        <v>139.01959680835199</v>
      </c>
      <c r="P35" s="13">
        <f t="shared" si="33"/>
        <v>36.072317113336823</v>
      </c>
      <c r="Q35" s="20">
        <f t="shared" ref="Q35:Q66" si="53">(O35+P35)*0.475*44/12</f>
        <v>304.95175008027468</v>
      </c>
      <c r="R35" s="59">
        <f t="shared" si="0"/>
        <v>545.92425256080003</v>
      </c>
      <c r="S35" s="59">
        <f ca="1">AVERAGE(OFFSET($R$3,0,0,'Données projet'!$E$9+1,1))-AVERAGE(OFFSET($H$3,0,0,'Données projet'!$E$9+1,1))</f>
        <v>567.42635821507474</v>
      </c>
      <c r="T35" s="59">
        <f t="shared" si="34"/>
        <v>299.04735309930152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15.881076919999998</v>
      </c>
      <c r="AI35" s="13">
        <f>IF('Données projet'!$A$62&gt;35,AI34+AH35-AQ34,IF(A35&lt;'Données projet'!$A$62,$AF$205^A35,IF(A35='Données projet'!$A$62,'Données projet'!$B$62,AI34+AH35-AQ34)))</f>
        <v>153.64676924</v>
      </c>
      <c r="AJ35" s="13">
        <f>AI35*VLOOKUP('Données projet'!$B$10,Paramètres!$A$1:$I$89,3,0)*VLOOKUP('Données projet'!$B$10,Paramètres!$A$1:$I$89,5,0)</f>
        <v>155.79782400936</v>
      </c>
      <c r="AK35" s="13">
        <f t="shared" si="35"/>
        <v>39.893239751845705</v>
      </c>
      <c r="AL35" s="20">
        <f t="shared" si="4"/>
        <v>340.82860271743323</v>
      </c>
      <c r="AM35" s="59">
        <f t="shared" si="5"/>
        <v>581.80110519795858</v>
      </c>
      <c r="AN35" s="59">
        <f ca="1">AVERAGE(OFFSET($AM$3,0,0,'Données projet'!$E$10+1,1))-AVERAGE(OFFSET($H$3,0,0,'Données projet'!$E$10+1,1))</f>
        <v>626.09203985591455</v>
      </c>
      <c r="AO35" s="59">
        <f t="shared" si="36"/>
        <v>327.65191296575199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10.199999999999999</v>
      </c>
      <c r="BD35" s="12">
        <f>IF('Données projet'!$A$88&gt;35,BD34+BC35-BL34,IF(A35&lt;'Données projet'!$A$88,$BA$205^A35,IF(A35='Données projet'!$A$88,'Données projet'!$B$88,BD34+BC35-BL34)))</f>
        <v>108.40000000000002</v>
      </c>
      <c r="BE35" s="13">
        <f>BD35*VLOOKUP('Données projet'!$B$11,Paramètres!$A$1:$I$89,3,0)*VLOOKUP('Données projet'!$B$11,Paramètres!$A$1:$I$89,5,0)</f>
        <v>93.007200000000026</v>
      </c>
      <c r="BF35" s="13">
        <f t="shared" si="37"/>
        <v>25.289096064617418</v>
      </c>
      <c r="BG35" s="20">
        <f t="shared" si="7"/>
        <v>206.03271564587536</v>
      </c>
      <c r="BH35" s="59">
        <f t="shared" si="8"/>
        <v>447.00521812640068</v>
      </c>
      <c r="BI35" s="59">
        <f ca="1">AVERAGE(OFFSET($BH$3,0,0,'Données projet'!$E$11+1,1))-AVERAGE(OFFSET($H$3,0,0,'Données projet'!$E$11+1,1))</f>
        <v>481.23392184981651</v>
      </c>
      <c r="BJ35" s="59">
        <f t="shared" si="38"/>
        <v>275.88160405468193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16.511666666666667</v>
      </c>
      <c r="BY35" s="12">
        <f>IF('Données projet'!$A$114&gt;35,BY34+BX35-CG34,IF(A35&lt;'Données projet'!$A$114,$BV$205^A35,IF(A35='Données projet'!$A$114,'Données projet'!$B$114,BY34+BX35-CG34)))</f>
        <v>179.34333333333331</v>
      </c>
      <c r="BZ35" s="13">
        <f>BY35*VLOOKUP('Données projet'!$B$12,Paramètres!$A$1:$I$89,3,0)*VLOOKUP('Données projet'!$B$12,Paramètres!$A$1:$I$89,5,0)</f>
        <v>83.932679999999991</v>
      </c>
      <c r="CA35" s="13">
        <f t="shared" si="39"/>
        <v>23.096042840744811</v>
      </c>
      <c r="CB35" s="20">
        <f t="shared" si="10"/>
        <v>186.40835894763052</v>
      </c>
      <c r="CC35" s="59">
        <f t="shared" si="11"/>
        <v>427.38086142815587</v>
      </c>
      <c r="CD35" s="59">
        <f ca="1">AVERAGE(OFFSET($CC$3,0,0,'Données projet'!$E$12+1,1))-AVERAGE(OFFSET($H$3,0,0,'Données projet'!$E$12+1,1))</f>
        <v>331.86732359395467</v>
      </c>
      <c r="CE35" s="59">
        <f t="shared" si="40"/>
        <v>208.64489375183106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12.8</v>
      </c>
      <c r="CT35" s="12">
        <f>IF('Données projet'!$A$140&gt;35,CT34+CS35-DB34,IF(A35&lt;'Données projet'!$A$140,$CQ$205^A35,IF(A35='Données projet'!$A$140,'Données projet'!$B$140,CT34+CS35-DB34)))</f>
        <v>167.59999999999994</v>
      </c>
      <c r="CU35" s="17">
        <f>CT35*VLOOKUP('Données projet'!$B$13,Paramètres!$A$1:$I$89,3,0)*VLOOKUP('Données projet'!$B$13,Paramètres!$A$1:$I$89,5,0)</f>
        <v>122.88431999999995</v>
      </c>
      <c r="CV35" s="13">
        <f t="shared" si="41"/>
        <v>32.346786815026803</v>
      </c>
      <c r="CW35" s="20">
        <f t="shared" si="13"/>
        <v>270.36084436950489</v>
      </c>
      <c r="CX35" s="59">
        <f t="shared" si="14"/>
        <v>511.33334685003024</v>
      </c>
      <c r="CY35" s="59">
        <f ca="1">AVERAGE(OFFSET($CX$3,0,0,'Données projet'!$E$13+1,1))-AVERAGE(OFFSET($H$3,0,0,'Données projet'!$E$13+1,1))</f>
        <v>352.45777291109863</v>
      </c>
      <c r="CZ35" s="59">
        <f t="shared" si="42"/>
        <v>340.92165104349181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0</v>
      </c>
      <c r="DH35" s="21">
        <f>EXP(-LN(2)/2)*DH34+(1-EXP(-LN(2)/2))/(LN(2)/2)*DB35*DE35*VLOOKUP('Données projet'!$B$13,Paramètres!$A$1:$I$89,3,0)*0.475*44/12</f>
        <v>0</v>
      </c>
      <c r="DI35" s="22">
        <f t="shared" si="15"/>
        <v>0</v>
      </c>
      <c r="DJ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15.881076919999998</v>
      </c>
      <c r="DO35" s="12">
        <f>IF('Données projet'!$A$166&gt;35,DO34+DN35-DW34,IF(A35&lt;'Données projet'!$A$166,$DL$205^A35,IF(A35='Données projet'!$A$166,'Données projet'!$B$166,DO34+DN35-DW34)))</f>
        <v>153.64676924</v>
      </c>
      <c r="DP35" s="17">
        <f>DO35*VLOOKUP('Données projet'!$B$14,Paramètres!$A$1:$I$89,3,0)*VLOOKUP('Données projet'!$B$14,Paramètres!$A$1:$I$89,5,0)</f>
        <v>103.06625280619201</v>
      </c>
      <c r="DQ35" s="13">
        <f t="shared" si="43"/>
        <v>27.691201027928322</v>
      </c>
      <c r="DR35" s="20">
        <f t="shared" si="16"/>
        <v>227.7358987610929</v>
      </c>
      <c r="DS35" s="59">
        <f t="shared" si="17"/>
        <v>468.70840124161822</v>
      </c>
      <c r="DT35" s="59">
        <f ca="1">AVERAGE(OFFSET($DS$3,0,0,'Données projet'!$E$14+1,1))-AVERAGE(OFFSET($H$3,0,0,'Données projet'!$E$14+1,1))</f>
        <v>441.20130048888439</v>
      </c>
      <c r="DU35" s="59">
        <f t="shared" si="44"/>
        <v>237.47732532183946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0</v>
      </c>
      <c r="EB35" s="21">
        <f>EXP(-LN(2)/25)*EB34+(1-EXP(-LN(2)/25))/(LN(2)/25)*Calculateur!DW35*Calculateur!DY35*VLOOKUP('Données projet'!$B$14,Paramètres!$A$1:$I$89,3,0)*0.475*44/12</f>
        <v>0</v>
      </c>
      <c r="EC35" s="21">
        <f>EXP(-LN(2)/2)*EC34+(1-EXP(-LN(2)/2))/(LN(2)/2)*DW35*DZ35*VLOOKUP('Données projet'!$B$14,Paramètres!$A$1:$I$89,3,0)*0.475*44/12</f>
        <v>0</v>
      </c>
      <c r="ED35" s="22">
        <f t="shared" si="18"/>
        <v>0</v>
      </c>
      <c r="EE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12.8</v>
      </c>
      <c r="EJ35" s="12">
        <f>IF('Données projet'!$A$192&gt;35,EJ34+EI35-ER34,IF(A35&lt;'Données projet'!$A$192,$EG$205^A35,IF(A35='Données projet'!$A$192,'Données projet'!$B$192,EJ34+EI35-ER34)))</f>
        <v>167.59999999999994</v>
      </c>
      <c r="EK35" s="17">
        <f>EJ35*VLOOKUP('Données projet'!$B$15,Paramètres!$A$1:$I$89,3,0)*VLOOKUP('Données projet'!$B$15,Paramètres!$A$1:$I$89,5,0)</f>
        <v>133.34255999999996</v>
      </c>
      <c r="EL35" s="13">
        <f t="shared" si="45"/>
        <v>34.767581918978188</v>
      </c>
      <c r="EM35" s="20">
        <f t="shared" si="19"/>
        <v>292.7918305088869</v>
      </c>
      <c r="EN35" s="59">
        <f t="shared" si="20"/>
        <v>533.7643329894122</v>
      </c>
      <c r="EO35" s="59">
        <f ca="1">AVERAGE(OFFSET($EN$3,0,0,'Données projet'!$E$15+1,1))-AVERAGE(OFFSET($H$3,0,0,'Données projet'!$E$15+1,1))</f>
        <v>377.27600411578322</v>
      </c>
      <c r="EP35" s="59">
        <f t="shared" si="46"/>
        <v>364.58250627635425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>
        <f>EXP(-LN(2)/35)*EV34+(1-EXP(-LN(2)/35))/(LN(2)/35)*ER35*ES35*VLOOKUP('Données projet'!$B$15,Paramètres!$A$1:$I$89,3,0)*0.475*44/12</f>
        <v>0</v>
      </c>
      <c r="EW35" s="21">
        <f>EXP(-LN(2)/25)*EW34+(1-EXP(-LN(2)/25))/(LN(2)/25)*Calculateur!ER35*Calculateur!ET35*VLOOKUP('Données projet'!$B$15,Paramètres!$A$1:$I$89,3,0)*0.475*44/12</f>
        <v>0</v>
      </c>
      <c r="EX35" s="21">
        <f>EXP(-LN(2)/2)*EX34+(1-EXP(-LN(2)/2))/(LN(2)/2)*ER35*EU35*VLOOKUP('Données projet'!$B$15,Paramètres!$A$1:$I$89,3,0)*0.475*44/12</f>
        <v>0</v>
      </c>
      <c r="EY35" s="22">
        <f t="shared" si="21"/>
        <v>0</v>
      </c>
      <c r="EZ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12.8</v>
      </c>
      <c r="FE35" s="12">
        <f>IF('Données projet'!$A$218&gt;35,FE34+FD35-FM34,IF(A35&lt;'Données projet'!$A$218,$FB$205^A35,IF(A35='Données projet'!$A$218,'Données projet'!$B$218,FE34+FD35-FM34)))</f>
        <v>167.59999999999994</v>
      </c>
      <c r="FF35" s="17">
        <f>FE35*VLOOKUP('Données projet'!$B$16,Paramètres!$A$1:$I$89,3,0)*VLOOKUP('Données projet'!$B$16,Paramètres!$A$1:$I$89,5,0)</f>
        <v>135.95711999999997</v>
      </c>
      <c r="FG35" s="13">
        <f t="shared" si="47"/>
        <v>35.369264877838596</v>
      </c>
      <c r="FH35" s="20">
        <f t="shared" si="22"/>
        <v>298.39345366223546</v>
      </c>
      <c r="FI35" s="59">
        <f t="shared" si="23"/>
        <v>539.36595614276075</v>
      </c>
      <c r="FJ35" s="59">
        <f ca="1">AVERAGE(OFFSET($FI$3,0,0,'Données projet'!$E$16+1,1))-AVERAGE(OFFSET($H$3,0,0,'Données projet'!$E$16+1,1))</f>
        <v>383.47399633251354</v>
      </c>
      <c r="FK35" s="59">
        <f t="shared" si="48"/>
        <v>370.49129421395628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>
        <f>EXP(-LN(2)/35)*FQ34+(1-EXP(-LN(2)/35))/(LN(2)/35)*FM35*FN35*VLOOKUP('Données projet'!$B$16,Paramètres!$A$1:$I$89,3,0)*0.475*44/12</f>
        <v>0</v>
      </c>
      <c r="FR35" s="21">
        <f>EXP(-LN(2)/25)*FR34+(1-EXP(-LN(2)/25))/(LN(2)/25)*Calculateur!FM35*Calculateur!FO35*VLOOKUP('Données projet'!$B$16,Paramètres!$A$1:$I$89,3,0)*0.475*44/12</f>
        <v>0</v>
      </c>
      <c r="FS35" s="21">
        <f>EXP(-LN(2)/2)*FS34+(1-EXP(-LN(2)/2))/(LN(2)/2)*FM35*FP35*VLOOKUP('Données projet'!$B$16,Paramètres!$A$1:$I$89,3,0)*0.475*44/12</f>
        <v>0</v>
      </c>
      <c r="FT35" s="22">
        <f t="shared" si="24"/>
        <v>0</v>
      </c>
      <c r="FU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15.881076919999998</v>
      </c>
      <c r="FZ35" s="12">
        <f>IF('Données projet'!$A$244&gt;35,FZ34+FY35-GH34,IF(A35&lt;'Données projet'!$A$244,$FW$205^A35,IF(A35='Données projet'!$A$244,'Données projet'!$B$244,FZ34+FY35-GH34)))</f>
        <v>153.64676924</v>
      </c>
      <c r="GA35" s="17">
        <f>FZ35*VLOOKUP('Données projet'!$B$17,Paramètres!$A$1:$I$89,3,0)*VLOOKUP('Données projet'!$B$17,Paramètres!$A$1:$I$89,5,0)</f>
        <v>146.210265608784</v>
      </c>
      <c r="GB35" s="13">
        <f t="shared" si="49"/>
        <v>37.716076445242024</v>
      </c>
      <c r="GC35" s="20">
        <f t="shared" si="25"/>
        <v>320.33837907742867</v>
      </c>
      <c r="GD35" s="59">
        <f t="shared" si="26"/>
        <v>561.31088155795396</v>
      </c>
      <c r="GE35" s="59">
        <f ca="1">AVERAGE(OFFSET($GD$3,0,0,'Données projet'!$E$17+1,1))-AVERAGE(OFFSET($H$3,0,0,'Données projet'!$E$17+1,1))</f>
        <v>592.58528889137358</v>
      </c>
      <c r="GF35" s="59">
        <f t="shared" si="50"/>
        <v>311.31528020403709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>
        <f>EXP(-LN(2)/35)*GL34+(1-EXP(-LN(2)/35))/(LN(2)/35)*GH35*GI35*VLOOKUP('Données projet'!$B$17,Paramètres!$A$1:$I$89,3,0)*0.475*44/12</f>
        <v>0</v>
      </c>
      <c r="GM35" s="21">
        <f>EXP(-LN(2)/25)*GM34+(1-EXP(-LN(2)/25))/(LN(2)/25)*Calculateur!GH35*Calculateur!GJ35*VLOOKUP('Données projet'!$B$17,Paramètres!$A$1:$I$89,3,0)*0.475*44/12</f>
        <v>0</v>
      </c>
      <c r="GN35" s="21">
        <f>EXP(-LN(2)/2)*GN34+(1-EXP(-LN(2)/2))/(LN(2)/2)*GH35*GK35*VLOOKUP('Données projet'!$B$17,Paramètres!$A$1:$I$89,3,0)*0.475*44/12</f>
        <v>0</v>
      </c>
      <c r="GO35" s="21">
        <f t="shared" si="27"/>
        <v>0</v>
      </c>
      <c r="GP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11.5</v>
      </c>
      <c r="GU35" s="12">
        <f>IF('Données projet'!$A$270&gt;35,GU34+GT35-HC34,IF(A35&lt;'Données projet'!$A$270,$GR$205^A35,IF(A35='Données projet'!$A$270,'Données projet'!$B$270,GU34+GT35-HC34)))</f>
        <v>130.49999999999994</v>
      </c>
      <c r="GV35" s="17">
        <f>GU35*VLOOKUP('Données projet'!$B$18,Paramètres!$A$1:$I$89,3,0)*VLOOKUP('Données projet'!$B$18,Paramètres!$A$1:$I$89,5,0)</f>
        <v>101.78999999999996</v>
      </c>
      <c r="GW35" s="13">
        <f t="shared" si="51"/>
        <v>27.38799903683508</v>
      </c>
      <c r="GX35" s="20">
        <f t="shared" si="28"/>
        <v>224.98501498915437</v>
      </c>
      <c r="GY35" s="59">
        <f t="shared" si="29"/>
        <v>465.95751746967971</v>
      </c>
      <c r="GZ35" s="59">
        <f ca="1">AVERAGE(OFFSET($GY$3,0,0,'Données projet'!$E$18+1,1))-AVERAGE(OFFSET($H$3,0,0,'Données projet'!$E$18+1,1))</f>
        <v>308.85018589589453</v>
      </c>
      <c r="HA35" s="59">
        <f t="shared" si="52"/>
        <v>302.59481222418219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>
        <f>EXP(-LN(2)/35)*HG34+(1-EXP(-LN(2)/35))/(LN(2)/35)*HC35*HD35*VLOOKUP('Données projet'!$B$18,Paramètres!$A$1:$I$89,3,0)*0.475*44/12</f>
        <v>13.086147538734695</v>
      </c>
      <c r="HH35" s="21">
        <f>EXP(-LN(2)/25)*HH34+(1-EXP(-LN(2)/25))/(LN(2)/25)*Calculateur!HC35*Calculateur!HE35*VLOOKUP('Données projet'!$B$18,Paramètres!$A$1:$I$89,3,0)*0.475*44/12</f>
        <v>0</v>
      </c>
      <c r="HI35" s="21">
        <f>EXP(-LN(2)/2)*HI34+(1-EXP(-LN(2)/2))/(LN(2)/2)*HC35*HF35*VLOOKUP('Données projet'!$B$18,Paramètres!$A$1:$I$89,3,0)*0.475*44/12</f>
        <v>0</v>
      </c>
      <c r="HJ35" s="22">
        <f t="shared" si="30"/>
        <v>13.086147538734695</v>
      </c>
    </row>
    <row r="36" spans="1:218" x14ac:dyDescent="0.35">
      <c r="A36" s="10">
        <f t="shared" si="31"/>
        <v>33</v>
      </c>
      <c r="B36" s="72">
        <f>'Scénario référence'!$B$16*5+'Scénario référence'!$B$17*0+'Scénario référence'!$B$18*5</f>
        <v>5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66">
        <f t="shared" si="1"/>
        <v>183.33333333333334</v>
      </c>
      <c r="I36" s="6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15.881076919999998</v>
      </c>
      <c r="N36" s="13">
        <f>IF('Données projet'!$A$36&gt;35,N35+M36-V35,IF(A36&lt;'Données projet'!$A$36,$K$205^A36,IF(A36='Données projet'!$A$36,'Données projet'!$B$36,N35+M36-V35)))</f>
        <v>169.52784616</v>
      </c>
      <c r="O36" s="13">
        <f>N36*VLOOKUP('Données projet'!$B$9,Paramètres!$A$1:$I$89,3,0)*VLOOKUP('Données projet'!$B$9,Paramètres!$A$1:$I$89,5,0)</f>
        <v>153.38879520556799</v>
      </c>
      <c r="P36" s="13">
        <f t="shared" si="33"/>
        <v>39.347697315453154</v>
      </c>
      <c r="Q36" s="20">
        <f t="shared" si="53"/>
        <v>335.68272447411181</v>
      </c>
      <c r="R36" s="59">
        <f t="shared" si="0"/>
        <v>577.56357030865252</v>
      </c>
      <c r="S36" s="59">
        <f ca="1">AVERAGE(OFFSET($R$3,0,0,'Données projet'!$E$9+1,1))-AVERAGE(OFFSET($H$3,0,0,'Données projet'!$E$9+1,1))</f>
        <v>567.42635821507474</v>
      </c>
      <c r="T36" s="59">
        <f t="shared" si="34"/>
        <v>299.04735309930152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15.881076919999998</v>
      </c>
      <c r="AI36" s="13">
        <f>IF('Données projet'!$A$62&gt;35,AI35+AH36-AQ35,IF(A36&lt;'Données projet'!$A$62,$AF$205^A36,IF(A36='Données projet'!$A$62,'Données projet'!$B$62,AI35+AH36-AQ35)))</f>
        <v>169.52784616</v>
      </c>
      <c r="AJ36" s="13">
        <f>AI36*VLOOKUP('Données projet'!$B$10,Paramètres!$A$1:$I$89,3,0)*VLOOKUP('Données projet'!$B$10,Paramètres!$A$1:$I$89,5,0)</f>
        <v>171.90123600624</v>
      </c>
      <c r="AK36" s="13">
        <f t="shared" si="35"/>
        <v>43.51556119216054</v>
      </c>
      <c r="AL36" s="20">
        <f t="shared" si="4"/>
        <v>375.18425512054756</v>
      </c>
      <c r="AM36" s="59">
        <f t="shared" si="5"/>
        <v>617.06510095508827</v>
      </c>
      <c r="AN36" s="59">
        <f ca="1">AVERAGE(OFFSET($AM$3,0,0,'Données projet'!$E$10+1,1))-AVERAGE(OFFSET($H$3,0,0,'Données projet'!$E$10+1,1))</f>
        <v>626.09203985591455</v>
      </c>
      <c r="AO36" s="59">
        <f t="shared" si="36"/>
        <v>327.65191296575199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10.199999999999999</v>
      </c>
      <c r="BD36" s="12">
        <f>IF('Données projet'!$A$88&gt;35,BD35+BC36-BL35,IF(A36&lt;'Données projet'!$A$88,$BA$205^A36,IF(A36='Données projet'!$A$88,'Données projet'!$B$88,BD35+BC36-BL35)))</f>
        <v>118.60000000000002</v>
      </c>
      <c r="BE36" s="13">
        <f>BD36*VLOOKUP('Données projet'!$B$11,Paramètres!$A$1:$I$89,3,0)*VLOOKUP('Données projet'!$B$11,Paramètres!$A$1:$I$89,5,0)</f>
        <v>101.75880000000004</v>
      </c>
      <c r="BF36" s="13">
        <f t="shared" si="37"/>
        <v>27.380581268956313</v>
      </c>
      <c r="BG36" s="20">
        <f t="shared" si="7"/>
        <v>224.91775571009896</v>
      </c>
      <c r="BH36" s="59">
        <f t="shared" si="8"/>
        <v>466.79860154463972</v>
      </c>
      <c r="BI36" s="59">
        <f ca="1">AVERAGE(OFFSET($BH$3,0,0,'Données projet'!$E$11+1,1))-AVERAGE(OFFSET($H$3,0,0,'Données projet'!$E$11+1,1))</f>
        <v>481.23392184981651</v>
      </c>
      <c r="BJ36" s="59">
        <f t="shared" si="38"/>
        <v>275.88160405468193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16.511666666666667</v>
      </c>
      <c r="BY36" s="12">
        <f>IF('Données projet'!$A$114&gt;35,BY35+BX36-CG35,IF(A36&lt;'Données projet'!$A$114,$BV$205^A36,IF(A36='Données projet'!$A$114,'Données projet'!$B$114,BY35+BX36-CG35)))</f>
        <v>195.85499999999996</v>
      </c>
      <c r="BZ36" s="13">
        <f>BY36*VLOOKUP('Données projet'!$B$12,Paramètres!$A$1:$I$89,3,0)*VLOOKUP('Données projet'!$B$12,Paramètres!$A$1:$I$89,5,0)</f>
        <v>91.660139999999984</v>
      </c>
      <c r="CA36" s="13">
        <f t="shared" si="39"/>
        <v>24.96518387086504</v>
      </c>
      <c r="CB36" s="20">
        <f t="shared" si="10"/>
        <v>203.12243907508991</v>
      </c>
      <c r="CC36" s="59">
        <f t="shared" si="11"/>
        <v>445.00328490963068</v>
      </c>
      <c r="CD36" s="59">
        <f ca="1">AVERAGE(OFFSET($CC$3,0,0,'Données projet'!$E$12+1,1))-AVERAGE(OFFSET($H$3,0,0,'Données projet'!$E$12+1,1))</f>
        <v>331.86732359395467</v>
      </c>
      <c r="CE36" s="59">
        <f t="shared" si="40"/>
        <v>208.64489375183106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12.8</v>
      </c>
      <c r="CT36" s="12">
        <f>IF('Données projet'!$A$140&gt;35,CT35+CS36-DB35,IF(A36&lt;'Données projet'!$A$140,$CQ$205^A36,IF(A36='Données projet'!$A$140,'Données projet'!$B$140,CT35+CS36-DB35)))</f>
        <v>180.39999999999995</v>
      </c>
      <c r="CU36" s="17">
        <f>CT36*VLOOKUP('Données projet'!$B$13,Paramètres!$A$1:$I$89,3,0)*VLOOKUP('Données projet'!$B$13,Paramètres!$A$1:$I$89,5,0)</f>
        <v>132.26927999999995</v>
      </c>
      <c r="CV36" s="13">
        <f t="shared" si="41"/>
        <v>34.520194019648734</v>
      </c>
      <c r="CW36" s="20">
        <f t="shared" si="13"/>
        <v>290.4916672508881</v>
      </c>
      <c r="CX36" s="59">
        <f t="shared" si="14"/>
        <v>532.37251308542886</v>
      </c>
      <c r="CY36" s="59">
        <f ca="1">AVERAGE(OFFSET($CX$3,0,0,'Données projet'!$E$13+1,1))-AVERAGE(OFFSET($H$3,0,0,'Données projet'!$E$13+1,1))</f>
        <v>352.45777291109863</v>
      </c>
      <c r="CZ36" s="59">
        <f t="shared" si="42"/>
        <v>340.92165104349181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0</v>
      </c>
      <c r="DH36" s="21">
        <f>EXP(-LN(2)/2)*DH35+(1-EXP(-LN(2)/2))/(LN(2)/2)*DB36*DE36*VLOOKUP('Données projet'!$B$13,Paramètres!$A$1:$I$89,3,0)*0.475*44/12</f>
        <v>0</v>
      </c>
      <c r="DI36" s="22">
        <f t="shared" si="15"/>
        <v>0</v>
      </c>
      <c r="DJ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15.881076919999998</v>
      </c>
      <c r="DO36" s="12">
        <f>IF('Données projet'!$A$166&gt;35,DO35+DN36-DW35,IF(A36&lt;'Données projet'!$A$166,$DL$205^A36,IF(A36='Données projet'!$A$166,'Données projet'!$B$166,DO35+DN36-DW35)))</f>
        <v>169.52784616</v>
      </c>
      <c r="DP36" s="17">
        <f>DO36*VLOOKUP('Données projet'!$B$14,Paramètres!$A$1:$I$89,3,0)*VLOOKUP('Données projet'!$B$14,Paramètres!$A$1:$I$89,5,0)</f>
        <v>113.719279204128</v>
      </c>
      <c r="DQ36" s="13">
        <f t="shared" si="43"/>
        <v>30.205572681258158</v>
      </c>
      <c r="DR36" s="20">
        <f t="shared" si="16"/>
        <v>250.6691170337142</v>
      </c>
      <c r="DS36" s="59">
        <f t="shared" si="17"/>
        <v>492.54996286825497</v>
      </c>
      <c r="DT36" s="59">
        <f ca="1">AVERAGE(OFFSET($DS$3,0,0,'Données projet'!$E$14+1,1))-AVERAGE(OFFSET($H$3,0,0,'Données projet'!$E$14+1,1))</f>
        <v>441.20130048888439</v>
      </c>
      <c r="DU36" s="59">
        <f t="shared" si="44"/>
        <v>237.47732532183946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0</v>
      </c>
      <c r="EB36" s="21">
        <f>EXP(-LN(2)/25)*EB35+(1-EXP(-LN(2)/25))/(LN(2)/25)*Calculateur!DW36*Calculateur!DY36*VLOOKUP('Données projet'!$B$14,Paramètres!$A$1:$I$89,3,0)*0.475*44/12</f>
        <v>0</v>
      </c>
      <c r="EC36" s="21">
        <f>EXP(-LN(2)/2)*EC35+(1-EXP(-LN(2)/2))/(LN(2)/2)*DW36*DZ36*VLOOKUP('Données projet'!$B$14,Paramètres!$A$1:$I$89,3,0)*0.475*44/12</f>
        <v>0</v>
      </c>
      <c r="ED36" s="22">
        <f t="shared" si="18"/>
        <v>0</v>
      </c>
      <c r="EE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12.8</v>
      </c>
      <c r="EJ36" s="12">
        <f>IF('Données projet'!$A$192&gt;35,EJ35+EI36-ER35,IF(A36&lt;'Données projet'!$A$192,$EG$205^A36,IF(A36='Données projet'!$A$192,'Données projet'!$B$192,EJ35+EI36-ER35)))</f>
        <v>180.39999999999995</v>
      </c>
      <c r="EK36" s="17">
        <f>EJ36*VLOOKUP('Données projet'!$B$15,Paramètres!$A$1:$I$89,3,0)*VLOOKUP('Données projet'!$B$15,Paramètres!$A$1:$I$89,5,0)</f>
        <v>143.52623999999997</v>
      </c>
      <c r="EL36" s="13">
        <f t="shared" si="45"/>
        <v>37.103644337236275</v>
      </c>
      <c r="EM36" s="20">
        <f t="shared" si="19"/>
        <v>314.59704855401981</v>
      </c>
      <c r="EN36" s="59">
        <f t="shared" si="20"/>
        <v>556.47789438856057</v>
      </c>
      <c r="EO36" s="59">
        <f ca="1">AVERAGE(OFFSET($EN$3,0,0,'Données projet'!$E$15+1,1))-AVERAGE(OFFSET($H$3,0,0,'Données projet'!$E$15+1,1))</f>
        <v>377.27600411578322</v>
      </c>
      <c r="EP36" s="59">
        <f t="shared" si="46"/>
        <v>364.58250627635425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>
        <f>EXP(-LN(2)/35)*EV35+(1-EXP(-LN(2)/35))/(LN(2)/35)*ER36*ES36*VLOOKUP('Données projet'!$B$15,Paramètres!$A$1:$I$89,3,0)*0.475*44/12</f>
        <v>0</v>
      </c>
      <c r="EW36" s="21">
        <f>EXP(-LN(2)/25)*EW35+(1-EXP(-LN(2)/25))/(LN(2)/25)*Calculateur!ER36*Calculateur!ET36*VLOOKUP('Données projet'!$B$15,Paramètres!$A$1:$I$89,3,0)*0.475*44/12</f>
        <v>0</v>
      </c>
      <c r="EX36" s="21">
        <f>EXP(-LN(2)/2)*EX35+(1-EXP(-LN(2)/2))/(LN(2)/2)*ER36*EU36*VLOOKUP('Données projet'!$B$15,Paramètres!$A$1:$I$89,3,0)*0.475*44/12</f>
        <v>0</v>
      </c>
      <c r="EY36" s="22">
        <f t="shared" si="21"/>
        <v>0</v>
      </c>
      <c r="EZ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12.8</v>
      </c>
      <c r="FE36" s="12">
        <f>IF('Données projet'!$A$218&gt;35,FE35+FD36-FM35,IF(A36&lt;'Données projet'!$A$218,$FB$205^A36,IF(A36='Données projet'!$A$218,'Données projet'!$B$218,FE35+FD36-FM35)))</f>
        <v>180.39999999999995</v>
      </c>
      <c r="FF36" s="17">
        <f>FE36*VLOOKUP('Données projet'!$B$16,Paramètres!$A$1:$I$89,3,0)*VLOOKUP('Données projet'!$B$16,Paramètres!$A$1:$I$89,5,0)</f>
        <v>146.34047999999999</v>
      </c>
      <c r="FG36" s="13">
        <f t="shared" si="47"/>
        <v>37.745754868861937</v>
      </c>
      <c r="FH36" s="20">
        <f t="shared" si="22"/>
        <v>320.6168590632679</v>
      </c>
      <c r="FI36" s="59">
        <f t="shared" si="23"/>
        <v>562.4977048978086</v>
      </c>
      <c r="FJ36" s="59">
        <f ca="1">AVERAGE(OFFSET($FI$3,0,0,'Données projet'!$E$16+1,1))-AVERAGE(OFFSET($H$3,0,0,'Données projet'!$E$16+1,1))</f>
        <v>383.47399633251354</v>
      </c>
      <c r="FK36" s="59">
        <f t="shared" si="48"/>
        <v>370.49129421395628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>
        <f>EXP(-LN(2)/35)*FQ35+(1-EXP(-LN(2)/35))/(LN(2)/35)*FM36*FN36*VLOOKUP('Données projet'!$B$16,Paramètres!$A$1:$I$89,3,0)*0.475*44/12</f>
        <v>0</v>
      </c>
      <c r="FR36" s="21">
        <f>EXP(-LN(2)/25)*FR35+(1-EXP(-LN(2)/25))/(LN(2)/25)*Calculateur!FM36*Calculateur!FO36*VLOOKUP('Données projet'!$B$16,Paramètres!$A$1:$I$89,3,0)*0.475*44/12</f>
        <v>0</v>
      </c>
      <c r="FS36" s="21">
        <f>EXP(-LN(2)/2)*FS35+(1-EXP(-LN(2)/2))/(LN(2)/2)*FM36*FP36*VLOOKUP('Données projet'!$B$16,Paramètres!$A$1:$I$89,3,0)*0.475*44/12</f>
        <v>0</v>
      </c>
      <c r="FT36" s="22">
        <f t="shared" si="24"/>
        <v>0</v>
      </c>
      <c r="FU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15.881076919999998</v>
      </c>
      <c r="FZ36" s="12">
        <f>IF('Données projet'!$A$244&gt;35,FZ35+FY36-GH35,IF(A36&lt;'Données projet'!$A$244,$FW$205^A36,IF(A36='Données projet'!$A$244,'Données projet'!$B$244,FZ35+FY36-GH35)))</f>
        <v>169.52784616</v>
      </c>
      <c r="GA36" s="17">
        <f>FZ36*VLOOKUP('Données projet'!$B$17,Paramètres!$A$1:$I$89,3,0)*VLOOKUP('Données projet'!$B$17,Paramètres!$A$1:$I$89,5,0)</f>
        <v>161.32269840585599</v>
      </c>
      <c r="GB36" s="13">
        <f t="shared" si="49"/>
        <v>41.140710623914643</v>
      </c>
      <c r="GC36" s="20">
        <f t="shared" si="25"/>
        <v>352.62377072685052</v>
      </c>
      <c r="GD36" s="59">
        <f t="shared" si="26"/>
        <v>594.50461656139123</v>
      </c>
      <c r="GE36" s="59">
        <f ca="1">AVERAGE(OFFSET($GD$3,0,0,'Données projet'!$E$17+1,1))-AVERAGE(OFFSET($H$3,0,0,'Données projet'!$E$17+1,1))</f>
        <v>592.58528889137358</v>
      </c>
      <c r="GF36" s="59">
        <f t="shared" si="50"/>
        <v>311.31528020403709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>
        <f>EXP(-LN(2)/35)*GL35+(1-EXP(-LN(2)/35))/(LN(2)/35)*GH36*GI36*VLOOKUP('Données projet'!$B$17,Paramètres!$A$1:$I$89,3,0)*0.475*44/12</f>
        <v>0</v>
      </c>
      <c r="GM36" s="21">
        <f>EXP(-LN(2)/25)*GM35+(1-EXP(-LN(2)/25))/(LN(2)/25)*Calculateur!GH36*Calculateur!GJ36*VLOOKUP('Données projet'!$B$17,Paramètres!$A$1:$I$89,3,0)*0.475*44/12</f>
        <v>0</v>
      </c>
      <c r="GN36" s="21">
        <f>EXP(-LN(2)/2)*GN35+(1-EXP(-LN(2)/2))/(LN(2)/2)*GH36*GK36*VLOOKUP('Données projet'!$B$17,Paramètres!$A$1:$I$89,3,0)*0.475*44/12</f>
        <v>0</v>
      </c>
      <c r="GO36" s="21">
        <f t="shared" si="27"/>
        <v>0</v>
      </c>
      <c r="GP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11.5</v>
      </c>
      <c r="GU36" s="12">
        <f>IF('Données projet'!$A$270&gt;35,GU35+GT36-HC35,IF(A36&lt;'Données projet'!$A$270,$GR$205^A36,IF(A36='Données projet'!$A$270,'Données projet'!$B$270,GU35+GT36-HC35)))</f>
        <v>141.99999999999994</v>
      </c>
      <c r="GV36" s="17">
        <f>GU36*VLOOKUP('Données projet'!$B$18,Paramètres!$A$1:$I$89,3,0)*VLOOKUP('Données projet'!$B$18,Paramètres!$A$1:$I$89,5,0)</f>
        <v>110.75999999999996</v>
      </c>
      <c r="GW36" s="13">
        <f t="shared" si="51"/>
        <v>29.509974682362923</v>
      </c>
      <c r="GX36" s="20">
        <f t="shared" si="28"/>
        <v>244.30353923844871</v>
      </c>
      <c r="GY36" s="59">
        <f t="shared" si="29"/>
        <v>486.18438507298947</v>
      </c>
      <c r="GZ36" s="59">
        <f ca="1">AVERAGE(OFFSET($GY$3,0,0,'Données projet'!$E$18+1,1))-AVERAGE(OFFSET($H$3,0,0,'Données projet'!$E$18+1,1))</f>
        <v>308.85018589589453</v>
      </c>
      <c r="HA36" s="59">
        <f t="shared" si="52"/>
        <v>302.59481222418219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>
        <f>EXP(-LN(2)/35)*HG35+(1-EXP(-LN(2)/35))/(LN(2)/35)*HC36*HD36*VLOOKUP('Données projet'!$B$18,Paramètres!$A$1:$I$89,3,0)*0.475*44/12</f>
        <v>12.829536167261972</v>
      </c>
      <c r="HH36" s="21">
        <f>EXP(-LN(2)/25)*HH35+(1-EXP(-LN(2)/25))/(LN(2)/25)*Calculateur!HC36*Calculateur!HE36*VLOOKUP('Données projet'!$B$18,Paramètres!$A$1:$I$89,3,0)*0.475*44/12</f>
        <v>0</v>
      </c>
      <c r="HI36" s="21">
        <f>EXP(-LN(2)/2)*HI35+(1-EXP(-LN(2)/2))/(LN(2)/2)*HC36*HF36*VLOOKUP('Données projet'!$B$18,Paramètres!$A$1:$I$89,3,0)*0.475*44/12</f>
        <v>0</v>
      </c>
      <c r="HJ36" s="22">
        <f t="shared" si="30"/>
        <v>12.829536167261972</v>
      </c>
    </row>
    <row r="37" spans="1:218" x14ac:dyDescent="0.35">
      <c r="A37" s="10">
        <f t="shared" si="31"/>
        <v>34</v>
      </c>
      <c r="B37" s="72">
        <f>'Scénario référence'!$B$16*5+'Scénario référence'!$B$17*0+'Scénario référence'!$B$18*5</f>
        <v>5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66">
        <f t="shared" si="1"/>
        <v>183.33333333333334</v>
      </c>
      <c r="I37" s="6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15.881076919999998</v>
      </c>
      <c r="N37" s="13">
        <f>IF('Données projet'!$A$36&gt;35,N36+M37-V36,IF(A37&lt;'Données projet'!$A$36,$K$205^A37,IF(A37='Données projet'!$A$36,'Données projet'!$B$36,N36+M37-V36)))</f>
        <v>185.40892307999999</v>
      </c>
      <c r="O37" s="13">
        <f>N37*VLOOKUP('Données projet'!$B$9,Paramètres!$A$1:$I$89,3,0)*VLOOKUP('Données projet'!$B$9,Paramètres!$A$1:$I$89,5,0)</f>
        <v>167.75799360278398</v>
      </c>
      <c r="P37" s="13">
        <f t="shared" si="33"/>
        <v>42.587501411908057</v>
      </c>
      <c r="Q37" s="20">
        <f t="shared" si="53"/>
        <v>366.35173715058863</v>
      </c>
      <c r="R37" s="59">
        <f t="shared" si="0"/>
        <v>609.12516861270421</v>
      </c>
      <c r="S37" s="59">
        <f ca="1">AVERAGE(OFFSET($R$3,0,0,'Données projet'!$E$9+1,1))-AVERAGE(OFFSET($H$3,0,0,'Données projet'!$E$9+1,1))</f>
        <v>567.42635821507474</v>
      </c>
      <c r="T37" s="59">
        <f t="shared" si="34"/>
        <v>299.04735309930152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15.881076919999998</v>
      </c>
      <c r="AI37" s="13">
        <f>IF('Données projet'!$A$62&gt;35,AI36+AH37-AQ36,IF(A37&lt;'Données projet'!$A$62,$AF$205^A37,IF(A37='Données projet'!$A$62,'Données projet'!$B$62,AI36+AH37-AQ36)))</f>
        <v>185.40892307999999</v>
      </c>
      <c r="AJ37" s="13">
        <f>AI37*VLOOKUP('Données projet'!$B$10,Paramètres!$A$1:$I$89,3,0)*VLOOKUP('Données projet'!$B$10,Paramètres!$A$1:$I$89,5,0)</f>
        <v>188.00464800312002</v>
      </c>
      <c r="AK37" s="13">
        <f t="shared" si="35"/>
        <v>47.098538164856876</v>
      </c>
      <c r="AL37" s="20">
        <f t="shared" si="4"/>
        <v>409.47138257589313</v>
      </c>
      <c r="AM37" s="59">
        <f t="shared" si="5"/>
        <v>652.24481403800871</v>
      </c>
      <c r="AN37" s="59">
        <f ca="1">AVERAGE(OFFSET($AM$3,0,0,'Données projet'!$E$10+1,1))-AVERAGE(OFFSET($H$3,0,0,'Données projet'!$E$10+1,1))</f>
        <v>626.09203985591455</v>
      </c>
      <c r="AO37" s="59">
        <f t="shared" si="36"/>
        <v>327.65191296575199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10.199999999999999</v>
      </c>
      <c r="BD37" s="12">
        <f>IF('Données projet'!$A$88&gt;35,BD36+BC37-BL36,IF(A37&lt;'Données projet'!$A$88,$BA$205^A37,IF(A37='Données projet'!$A$88,'Données projet'!$B$88,BD36+BC37-BL36)))</f>
        <v>128.80000000000001</v>
      </c>
      <c r="BE37" s="13">
        <f>BD37*VLOOKUP('Données projet'!$B$11,Paramètres!$A$1:$I$89,3,0)*VLOOKUP('Données projet'!$B$11,Paramètres!$A$1:$I$89,5,0)</f>
        <v>110.51040000000003</v>
      </c>
      <c r="BF37" s="13">
        <f t="shared" si="37"/>
        <v>29.451206375056412</v>
      </c>
      <c r="BG37" s="20">
        <f t="shared" si="7"/>
        <v>243.76646443655662</v>
      </c>
      <c r="BH37" s="59">
        <f t="shared" si="8"/>
        <v>486.53989589867217</v>
      </c>
      <c r="BI37" s="59">
        <f ca="1">AVERAGE(OFFSET($BH$3,0,0,'Données projet'!$E$11+1,1))-AVERAGE(OFFSET($H$3,0,0,'Données projet'!$E$11+1,1))</f>
        <v>481.23392184981651</v>
      </c>
      <c r="BJ37" s="59">
        <f t="shared" si="38"/>
        <v>275.88160405468193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16.511666666666667</v>
      </c>
      <c r="BY37" s="12">
        <f>IF('Données projet'!$A$114&gt;35,BY36+BX37-CG36,IF(A37&lt;'Données projet'!$A$114,$BV$205^A37,IF(A37='Données projet'!$A$114,'Données projet'!$B$114,BY36+BX37-CG36)))</f>
        <v>212.36666666666662</v>
      </c>
      <c r="BZ37" s="13">
        <f>BY37*VLOOKUP('Données projet'!$B$12,Paramètres!$A$1:$I$89,3,0)*VLOOKUP('Données projet'!$B$12,Paramètres!$A$1:$I$89,5,0)</f>
        <v>99.387599999999978</v>
      </c>
      <c r="CA37" s="13">
        <f t="shared" si="39"/>
        <v>26.816049574516668</v>
      </c>
      <c r="CB37" s="20">
        <f t="shared" si="10"/>
        <v>219.80468967561649</v>
      </c>
      <c r="CC37" s="59">
        <f t="shared" si="11"/>
        <v>462.57812113773207</v>
      </c>
      <c r="CD37" s="59">
        <f ca="1">AVERAGE(OFFSET($CC$3,0,0,'Données projet'!$E$12+1,1))-AVERAGE(OFFSET($H$3,0,0,'Données projet'!$E$12+1,1))</f>
        <v>331.86732359395467</v>
      </c>
      <c r="CE37" s="59">
        <f t="shared" si="40"/>
        <v>208.64489375183106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12.8</v>
      </c>
      <c r="CT37" s="12">
        <f>IF('Données projet'!$A$140&gt;35,CT36+CS37-DB36,IF(A37&lt;'Données projet'!$A$140,$CQ$205^A37,IF(A37='Données projet'!$A$140,'Données projet'!$B$140,CT36+CS37-DB36)))</f>
        <v>193.19999999999996</v>
      </c>
      <c r="CU37" s="17">
        <f>CT37*VLOOKUP('Données projet'!$B$13,Paramètres!$A$1:$I$89,3,0)*VLOOKUP('Données projet'!$B$13,Paramètres!$A$1:$I$89,5,0)</f>
        <v>141.65423999999996</v>
      </c>
      <c r="CV37" s="13">
        <f t="shared" si="41"/>
        <v>36.675709178601934</v>
      </c>
      <c r="CW37" s="20">
        <f t="shared" si="13"/>
        <v>310.59132815273165</v>
      </c>
      <c r="CX37" s="59">
        <f t="shared" si="14"/>
        <v>553.36475961484723</v>
      </c>
      <c r="CY37" s="59">
        <f ca="1">AVERAGE(OFFSET($CX$3,0,0,'Données projet'!$E$13+1,1))-AVERAGE(OFFSET($H$3,0,0,'Données projet'!$E$13+1,1))</f>
        <v>352.45777291109863</v>
      </c>
      <c r="CZ37" s="59">
        <f t="shared" si="42"/>
        <v>340.92165104349181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0</v>
      </c>
      <c r="DH37" s="21">
        <f>EXP(-LN(2)/2)*DH36+(1-EXP(-LN(2)/2))/(LN(2)/2)*DB37*DE37*VLOOKUP('Données projet'!$B$13,Paramètres!$A$1:$I$89,3,0)*0.475*44/12</f>
        <v>0</v>
      </c>
      <c r="DI37" s="22">
        <f t="shared" si="15"/>
        <v>0</v>
      </c>
      <c r="DJ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15.881076919999998</v>
      </c>
      <c r="DO37" s="12">
        <f>IF('Données projet'!$A$166&gt;35,DO36+DN37-DW36,IF(A37&lt;'Données projet'!$A$166,$DL$205^A37,IF(A37='Données projet'!$A$166,'Données projet'!$B$166,DO36+DN37-DW36)))</f>
        <v>185.40892307999999</v>
      </c>
      <c r="DP37" s="17">
        <f>DO37*VLOOKUP('Données projet'!$B$14,Paramètres!$A$1:$I$89,3,0)*VLOOKUP('Données projet'!$B$14,Paramètres!$A$1:$I$89,5,0)</f>
        <v>124.372305602064</v>
      </c>
      <c r="DQ37" s="13">
        <f t="shared" si="43"/>
        <v>32.692634054226289</v>
      </c>
      <c r="DR37" s="20">
        <f t="shared" si="16"/>
        <v>273.55476990137225</v>
      </c>
      <c r="DS37" s="59">
        <f t="shared" si="17"/>
        <v>516.32820136348778</v>
      </c>
      <c r="DT37" s="59">
        <f ca="1">AVERAGE(OFFSET($DS$3,0,0,'Données projet'!$E$14+1,1))-AVERAGE(OFFSET($H$3,0,0,'Données projet'!$E$14+1,1))</f>
        <v>441.20130048888439</v>
      </c>
      <c r="DU37" s="59">
        <f t="shared" si="44"/>
        <v>237.47732532183946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0</v>
      </c>
      <c r="EB37" s="21">
        <f>EXP(-LN(2)/25)*EB36+(1-EXP(-LN(2)/25))/(LN(2)/25)*Calculateur!DW37*Calculateur!DY37*VLOOKUP('Données projet'!$B$14,Paramètres!$A$1:$I$89,3,0)*0.475*44/12</f>
        <v>0</v>
      </c>
      <c r="EC37" s="21">
        <f>EXP(-LN(2)/2)*EC36+(1-EXP(-LN(2)/2))/(LN(2)/2)*DW37*DZ37*VLOOKUP('Données projet'!$B$14,Paramètres!$A$1:$I$89,3,0)*0.475*44/12</f>
        <v>0</v>
      </c>
      <c r="ED37" s="22">
        <f t="shared" si="18"/>
        <v>0</v>
      </c>
      <c r="EE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12.8</v>
      </c>
      <c r="EJ37" s="12">
        <f>IF('Données projet'!$A$192&gt;35,EJ36+EI37-ER36,IF(A37&lt;'Données projet'!$A$192,$EG$205^A37,IF(A37='Données projet'!$A$192,'Données projet'!$B$192,EJ36+EI37-ER36)))</f>
        <v>193.19999999999996</v>
      </c>
      <c r="EK37" s="17">
        <f>EJ37*VLOOKUP('Données projet'!$B$15,Paramètres!$A$1:$I$89,3,0)*VLOOKUP('Données projet'!$B$15,Paramètres!$A$1:$I$89,5,0)</f>
        <v>153.70991999999998</v>
      </c>
      <c r="EL37" s="13">
        <f t="shared" si="45"/>
        <v>39.420475690379831</v>
      </c>
      <c r="EM37" s="20">
        <f t="shared" si="19"/>
        <v>336.3687724940782</v>
      </c>
      <c r="EN37" s="59">
        <f t="shared" si="20"/>
        <v>579.14220395619373</v>
      </c>
      <c r="EO37" s="59">
        <f ca="1">AVERAGE(OFFSET($EN$3,0,0,'Données projet'!$E$15+1,1))-AVERAGE(OFFSET($H$3,0,0,'Données projet'!$E$15+1,1))</f>
        <v>377.27600411578322</v>
      </c>
      <c r="EP37" s="59">
        <f t="shared" si="46"/>
        <v>364.58250627635425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>
        <f>EXP(-LN(2)/35)*EV36+(1-EXP(-LN(2)/35))/(LN(2)/35)*ER37*ES37*VLOOKUP('Données projet'!$B$15,Paramètres!$A$1:$I$89,3,0)*0.475*44/12</f>
        <v>0</v>
      </c>
      <c r="EW37" s="21">
        <f>EXP(-LN(2)/25)*EW36+(1-EXP(-LN(2)/25))/(LN(2)/25)*Calculateur!ER37*Calculateur!ET37*VLOOKUP('Données projet'!$B$15,Paramètres!$A$1:$I$89,3,0)*0.475*44/12</f>
        <v>0</v>
      </c>
      <c r="EX37" s="21">
        <f>EXP(-LN(2)/2)*EX36+(1-EXP(-LN(2)/2))/(LN(2)/2)*ER37*EU37*VLOOKUP('Données projet'!$B$15,Paramètres!$A$1:$I$89,3,0)*0.475*44/12</f>
        <v>0</v>
      </c>
      <c r="EY37" s="22">
        <f t="shared" si="21"/>
        <v>0</v>
      </c>
      <c r="EZ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12.8</v>
      </c>
      <c r="FE37" s="12">
        <f>IF('Données projet'!$A$218&gt;35,FE36+FD37-FM36,IF(A37&lt;'Données projet'!$A$218,$FB$205^A37,IF(A37='Données projet'!$A$218,'Données projet'!$B$218,FE36+FD37-FM36)))</f>
        <v>193.19999999999996</v>
      </c>
      <c r="FF37" s="17">
        <f>FE37*VLOOKUP('Données projet'!$B$16,Paramètres!$A$1:$I$89,3,0)*VLOOKUP('Données projet'!$B$16,Paramètres!$A$1:$I$89,5,0)</f>
        <v>156.72383999999997</v>
      </c>
      <c r="FG37" s="13">
        <f t="shared" si="47"/>
        <v>40.102680984620484</v>
      </c>
      <c r="FH37" s="20">
        <f t="shared" si="22"/>
        <v>342.80619071488059</v>
      </c>
      <c r="FI37" s="59">
        <f t="shared" si="23"/>
        <v>585.57962217699617</v>
      </c>
      <c r="FJ37" s="59">
        <f ca="1">AVERAGE(OFFSET($FI$3,0,0,'Données projet'!$E$16+1,1))-AVERAGE(OFFSET($H$3,0,0,'Données projet'!$E$16+1,1))</f>
        <v>383.47399633251354</v>
      </c>
      <c r="FK37" s="59">
        <f t="shared" si="48"/>
        <v>370.49129421395628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>
        <f>EXP(-LN(2)/35)*FQ36+(1-EXP(-LN(2)/35))/(LN(2)/35)*FM37*FN37*VLOOKUP('Données projet'!$B$16,Paramètres!$A$1:$I$89,3,0)*0.475*44/12</f>
        <v>0</v>
      </c>
      <c r="FR37" s="21">
        <f>EXP(-LN(2)/25)*FR36+(1-EXP(-LN(2)/25))/(LN(2)/25)*Calculateur!FM37*Calculateur!FO37*VLOOKUP('Données projet'!$B$16,Paramètres!$A$1:$I$89,3,0)*0.475*44/12</f>
        <v>0</v>
      </c>
      <c r="FS37" s="21">
        <f>EXP(-LN(2)/2)*FS36+(1-EXP(-LN(2)/2))/(LN(2)/2)*FM37*FP37*VLOOKUP('Données projet'!$B$16,Paramètres!$A$1:$I$89,3,0)*0.475*44/12</f>
        <v>0</v>
      </c>
      <c r="FT37" s="22">
        <f t="shared" si="24"/>
        <v>0</v>
      </c>
      <c r="FU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15.881076919999998</v>
      </c>
      <c r="FZ37" s="12">
        <f>IF('Données projet'!$A$244&gt;35,FZ36+FY37-GH36,IF(A37&lt;'Données projet'!$A$244,$FW$205^A37,IF(A37='Données projet'!$A$244,'Données projet'!$B$244,FZ36+FY37-GH36)))</f>
        <v>185.40892307999999</v>
      </c>
      <c r="GA37" s="17">
        <f>FZ37*VLOOKUP('Données projet'!$B$17,Paramètres!$A$1:$I$89,3,0)*VLOOKUP('Données projet'!$B$17,Paramètres!$A$1:$I$89,5,0)</f>
        <v>176.43513120292801</v>
      </c>
      <c r="GB37" s="13">
        <f t="shared" si="49"/>
        <v>44.528147549177262</v>
      </c>
      <c r="GC37" s="20">
        <f t="shared" si="25"/>
        <v>384.84437715991675</v>
      </c>
      <c r="GD37" s="59">
        <f t="shared" si="26"/>
        <v>627.61780862203227</v>
      </c>
      <c r="GE37" s="59">
        <f ca="1">AVERAGE(OFFSET($GD$3,0,0,'Données projet'!$E$17+1,1))-AVERAGE(OFFSET($H$3,0,0,'Données projet'!$E$17+1,1))</f>
        <v>592.58528889137358</v>
      </c>
      <c r="GF37" s="59">
        <f t="shared" si="50"/>
        <v>311.31528020403709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>
        <f>EXP(-LN(2)/35)*GL36+(1-EXP(-LN(2)/35))/(LN(2)/35)*GH37*GI37*VLOOKUP('Données projet'!$B$17,Paramètres!$A$1:$I$89,3,0)*0.475*44/12</f>
        <v>0</v>
      </c>
      <c r="GM37" s="21">
        <f>EXP(-LN(2)/25)*GM36+(1-EXP(-LN(2)/25))/(LN(2)/25)*Calculateur!GH37*Calculateur!GJ37*VLOOKUP('Données projet'!$B$17,Paramètres!$A$1:$I$89,3,0)*0.475*44/12</f>
        <v>0</v>
      </c>
      <c r="GN37" s="21">
        <f>EXP(-LN(2)/2)*GN36+(1-EXP(-LN(2)/2))/(LN(2)/2)*GH37*GK37*VLOOKUP('Données projet'!$B$17,Paramètres!$A$1:$I$89,3,0)*0.475*44/12</f>
        <v>0</v>
      </c>
      <c r="GO37" s="21">
        <f t="shared" si="27"/>
        <v>0</v>
      </c>
      <c r="GP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11.5</v>
      </c>
      <c r="GU37" s="12">
        <f>IF('Données projet'!$A$270&gt;35,GU36+GT37-HC36,IF(A37&lt;'Données projet'!$A$270,$GR$205^A37,IF(A37='Données projet'!$A$270,'Données projet'!$B$270,GU36+GT37-HC36)))</f>
        <v>153.49999999999994</v>
      </c>
      <c r="GV37" s="17">
        <f>GU37*VLOOKUP('Données projet'!$B$18,Paramètres!$A$1:$I$89,3,0)*VLOOKUP('Données projet'!$B$18,Paramètres!$A$1:$I$89,5,0)</f>
        <v>119.72999999999996</v>
      </c>
      <c r="GW37" s="13">
        <f t="shared" si="51"/>
        <v>31.612017974790529</v>
      </c>
      <c r="GX37" s="20">
        <f t="shared" si="28"/>
        <v>263.58734797276003</v>
      </c>
      <c r="GY37" s="59">
        <f t="shared" si="29"/>
        <v>506.36077943487561</v>
      </c>
      <c r="GZ37" s="59">
        <f ca="1">AVERAGE(OFFSET($GY$3,0,0,'Données projet'!$E$18+1,1))-AVERAGE(OFFSET($H$3,0,0,'Données projet'!$E$18+1,1))</f>
        <v>308.85018589589453</v>
      </c>
      <c r="HA37" s="59">
        <f t="shared" si="52"/>
        <v>302.59481222418219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>
        <f>EXP(-LN(2)/35)*HG36+(1-EXP(-LN(2)/35))/(LN(2)/35)*HC37*HD37*VLOOKUP('Données projet'!$B$18,Paramètres!$A$1:$I$89,3,0)*0.475*44/12</f>
        <v>12.577956788266349</v>
      </c>
      <c r="HH37" s="21">
        <f>EXP(-LN(2)/25)*HH36+(1-EXP(-LN(2)/25))/(LN(2)/25)*Calculateur!HC37*Calculateur!HE37*VLOOKUP('Données projet'!$B$18,Paramètres!$A$1:$I$89,3,0)*0.475*44/12</f>
        <v>0</v>
      </c>
      <c r="HI37" s="21">
        <f>EXP(-LN(2)/2)*HI36+(1-EXP(-LN(2)/2))/(LN(2)/2)*HC37*HF37*VLOOKUP('Données projet'!$B$18,Paramètres!$A$1:$I$89,3,0)*0.475*44/12</f>
        <v>0</v>
      </c>
      <c r="HJ37" s="22">
        <f t="shared" si="30"/>
        <v>12.577956788266349</v>
      </c>
    </row>
    <row r="38" spans="1:218" x14ac:dyDescent="0.35">
      <c r="A38" s="10">
        <f t="shared" si="31"/>
        <v>35</v>
      </c>
      <c r="B38" s="72">
        <f>'Scénario référence'!$B$16*5+'Scénario référence'!$B$17*0+'Scénario référence'!$B$18*5</f>
        <v>5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66">
        <f t="shared" si="1"/>
        <v>183.33333333333334</v>
      </c>
      <c r="I38" s="6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201.29</v>
      </c>
      <c r="L38" s="12">
        <f>VLOOKUP(A38,'Données projet'!$A$35:$I$55,9,0)</f>
        <v>15.881076919999998</v>
      </c>
      <c r="M38" s="12">
        <f t="array" ref="M38">INDEX(L:L,MIN(IF(ISNUMBER(L38:L234),ROW(L38:L234),"")))</f>
        <v>15.881076919999998</v>
      </c>
      <c r="N38" s="13">
        <f>IF('Données projet'!$A$36&gt;35,N37+M38-V37,IF(A38&lt;'Données projet'!$A$36,$K$205^A38,IF(A38='Données projet'!$A$36,'Données projet'!$B$36,N37+M38-V37)))</f>
        <v>201.29</v>
      </c>
      <c r="O38" s="13">
        <f>N38*VLOOKUP('Données projet'!$B$9,Paramètres!$A$1:$I$89,3,0)*VLOOKUP('Données projet'!$B$9,Paramètres!$A$1:$I$89,5,0)</f>
        <v>182.12719199999998</v>
      </c>
      <c r="P38" s="13">
        <f t="shared" si="33"/>
        <v>45.795123112801811</v>
      </c>
      <c r="Q38" s="20">
        <f t="shared" si="53"/>
        <v>396.96469882146312</v>
      </c>
      <c r="R38" s="59">
        <f t="shared" si="0"/>
        <v>640.61523154603765</v>
      </c>
      <c r="S38" s="59">
        <f ca="1">AVERAGE(OFFSET($R$3,0,0,'Données projet'!$E$9+1,1))-AVERAGE(OFFSET($H$3,0,0,'Données projet'!$E$9+1,1))</f>
        <v>567.42635821507474</v>
      </c>
      <c r="T38" s="59">
        <f t="shared" si="34"/>
        <v>299.04735309930152</v>
      </c>
      <c r="U38" s="15">
        <f>IF(ISNA(VLOOKUP(A38,'Données projet'!$A$35:$I$55,3,0)),0,VLOOKUP(A38,'Données projet'!$A$35:$I$55,3,0))</f>
        <v>1</v>
      </c>
      <c r="V38" s="15">
        <f>IF(ISNA(VLOOKUP(A38,'Données projet'!$A$35:$I$55,4,0)),0,VLOOKUP(A38,'Données projet'!$A$35:$I$55,4,0))</f>
        <v>69.58</v>
      </c>
      <c r="W38" s="16">
        <f>IF(ISNA(VLOOKUP(A38,'Données projet'!$A$35:$I$55,5,0)),0%,VLOOKUP(A38,'Données projet'!$A$35:$I$55,5,0)*VLOOKUP('Données projet'!$B$9,Paramètres!$A$1:$I$89,7,0))</f>
        <v>0.43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29.926269476330646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29.926269476330646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201.29</v>
      </c>
      <c r="AG38" s="12">
        <f>VLOOKUP(A38,'Données projet'!$A$61:$I$81,9,0)</f>
        <v>15.881076919999998</v>
      </c>
      <c r="AH38" s="12">
        <f t="array" ref="AH38">INDEX(AG:AG,MIN(IF(ISNUMBER(AG38:AG234),ROW(AG38:AG234),"")))</f>
        <v>15.881076919999998</v>
      </c>
      <c r="AI38" s="13">
        <f>IF('Données projet'!$A$62&gt;35,AI37+AH38-AQ37,IF(A38&lt;'Données projet'!$A$62,$AF$205^A38,IF(A38='Données projet'!$A$62,'Données projet'!$B$62,AI37+AH38-AQ37)))</f>
        <v>201.29</v>
      </c>
      <c r="AJ38" s="13">
        <f>AI38*VLOOKUP('Données projet'!$B$10,Paramètres!$A$1:$I$89,3,0)*VLOOKUP('Données projet'!$B$10,Paramètres!$A$1:$I$89,5,0)</f>
        <v>204.10806000000002</v>
      </c>
      <c r="AK38" s="13">
        <f t="shared" si="35"/>
        <v>50.645923855244554</v>
      </c>
      <c r="AL38" s="20">
        <f t="shared" si="4"/>
        <v>443.69652188121762</v>
      </c>
      <c r="AM38" s="59">
        <f t="shared" si="5"/>
        <v>687.3470546057921</v>
      </c>
      <c r="AN38" s="59">
        <f ca="1">AVERAGE(OFFSET($AM$3,0,0,'Données projet'!$E$10+1,1))-AVERAGE(OFFSET($H$3,0,0,'Données projet'!$E$10+1,1))</f>
        <v>626.09203985591455</v>
      </c>
      <c r="AO38" s="59">
        <f t="shared" si="36"/>
        <v>327.65191296575199</v>
      </c>
      <c r="AP38" s="15">
        <f>IF(ISNA(VLOOKUP(A38,'Données projet'!$A$61:$I$81,3,0)),0,VLOOKUP(A38,'Données projet'!$A$61:$I$81,3,0))</f>
        <v>1</v>
      </c>
      <c r="AQ38" s="15">
        <f>IF(ISNA(VLOOKUP(A38,'Données projet'!$A$61:$I$81,4,0)),0,VLOOKUP(A38,'Données projet'!$A$61:$I$81,4,0))</f>
        <v>69.58</v>
      </c>
      <c r="AR38" s="16">
        <f>IF(ISNA(VLOOKUP(A38,'Données projet'!$A$61:$I$81,5,0)),0%,VLOOKUP(A38,'Données projet'!$A$61:$I$81,5,0)*VLOOKUP('Données projet'!$B$10,Paramètres!$A$1:$I$89,7,0))</f>
        <v>0.43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33.538060620025725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33.538060620025725</v>
      </c>
      <c r="AY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139</v>
      </c>
      <c r="BB38" s="12">
        <f>VLOOKUP(A38,'Données projet'!$A$87:$I$107,9,0)</f>
        <v>10.199999999999999</v>
      </c>
      <c r="BC38" s="12">
        <f t="array" ref="BC38">INDEX(BB:BB,MIN(IF(ISNUMBER(BB38:BB234),ROW(BB38:BB234),"")))</f>
        <v>10.199999999999999</v>
      </c>
      <c r="BD38" s="12">
        <f>IF('Données projet'!$A$88&gt;35,BD37+BC38-BL37,IF(A38&lt;'Données projet'!$A$88,$BA$205^A38,IF(A38='Données projet'!$A$88,'Données projet'!$B$88,BD37+BC38-BL37)))</f>
        <v>139</v>
      </c>
      <c r="BE38" s="13">
        <f>BD38*VLOOKUP('Données projet'!$B$11,Paramètres!$A$1:$I$89,3,0)*VLOOKUP('Données projet'!$B$11,Paramètres!$A$1:$I$89,5,0)</f>
        <v>119.26200000000001</v>
      </c>
      <c r="BF38" s="13">
        <f t="shared" si="37"/>
        <v>31.502811162802828</v>
      </c>
      <c r="BG38" s="20">
        <f t="shared" si="7"/>
        <v>262.58204610854824</v>
      </c>
      <c r="BH38" s="59">
        <f t="shared" si="8"/>
        <v>506.23257883312272</v>
      </c>
      <c r="BI38" s="59">
        <f ca="1">AVERAGE(OFFSET($BH$3,0,0,'Données projet'!$E$11+1,1))-AVERAGE(OFFSET($H$3,0,0,'Données projet'!$E$11+1,1))</f>
        <v>481.23392184981651</v>
      </c>
      <c r="BJ38" s="59">
        <f t="shared" si="38"/>
        <v>275.88160405468193</v>
      </c>
      <c r="BK38" s="15">
        <f>IF(ISNA(VLOOKUP(A38,'Données projet'!$A$87:$I$107,3,0)),0,VLOOKUP(A38,'Données projet'!$A$87:$I$107,3,0))</f>
        <v>3</v>
      </c>
      <c r="BL38" s="15">
        <f>IF(ISNA(VLOOKUP(A38,'Données projet'!$A$87:$I$107,4,0)),0,VLOOKUP(A38,'Données projet'!$A$87:$I$107,4,0))</f>
        <v>28</v>
      </c>
      <c r="BM38" s="16">
        <f>IF(ISNA(VLOOKUP(A38,'Données projet'!$A$87:$I$107,5,0)),0%,VLOOKUP(A38,'Données projet'!$A$87:$I$107,5,0)*VLOOKUP('Données projet'!$B$11,Paramètres!$A$1:$I$89,7,0))</f>
        <v>0.53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14.075644810886788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14.075644810886788</v>
      </c>
      <c r="BT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16.511666666666667</v>
      </c>
      <c r="BY38" s="12">
        <f>IF('Données projet'!$A$114&gt;35,BY37+BX38-CG37,IF(A38&lt;'Données projet'!$A$114,$BV$205^A38,IF(A38='Données projet'!$A$114,'Données projet'!$B$114,BY37+BX38-CG37)))</f>
        <v>228.87833333333327</v>
      </c>
      <c r="BZ38" s="13">
        <f>BY38*VLOOKUP('Données projet'!$B$12,Paramètres!$A$1:$I$89,3,0)*VLOOKUP('Données projet'!$B$12,Paramètres!$A$1:$I$89,5,0)</f>
        <v>107.11505999999997</v>
      </c>
      <c r="CA38" s="13">
        <f t="shared" si="39"/>
        <v>28.650222425077892</v>
      </c>
      <c r="CB38" s="20">
        <f t="shared" si="10"/>
        <v>236.45786689034392</v>
      </c>
      <c r="CC38" s="59">
        <f t="shared" si="11"/>
        <v>480.10839961491843</v>
      </c>
      <c r="CD38" s="59">
        <f ca="1">AVERAGE(OFFSET($CC$3,0,0,'Données projet'!$E$12+1,1))-AVERAGE(OFFSET($H$3,0,0,'Données projet'!$E$12+1,1))</f>
        <v>331.86732359395467</v>
      </c>
      <c r="CE38" s="59">
        <f t="shared" si="40"/>
        <v>208.64489375183106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0</v>
      </c>
      <c r="CO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>
        <f>VLOOKUP(A38,'Données projet'!$A$139:$I$159,2,0)</f>
        <v>206</v>
      </c>
      <c r="CR38" s="12">
        <f>VLOOKUP(A38,'Données projet'!$A$139:$I$159,9,0)</f>
        <v>12.8</v>
      </c>
      <c r="CS38" s="12">
        <f t="array" ref="CS38">INDEX(CR:CR,MIN(IF(ISNUMBER(CR38:CR234),ROW(CR38:CR234),"")))</f>
        <v>12.8</v>
      </c>
      <c r="CT38" s="12">
        <f>IF('Données projet'!$A$140&gt;35,CT37+CS38-DB37,IF(A38&lt;'Données projet'!$A$140,$CQ$205^A38,IF(A38='Données projet'!$A$140,'Données projet'!$B$140,CT37+CS38-DB37)))</f>
        <v>205.99999999999997</v>
      </c>
      <c r="CU38" s="17">
        <f>CT38*VLOOKUP('Données projet'!$B$13,Paramètres!$A$1:$I$89,3,0)*VLOOKUP('Données projet'!$B$13,Paramètres!$A$1:$I$89,5,0)</f>
        <v>151.03919999999997</v>
      </c>
      <c r="CV38" s="13">
        <f t="shared" si="41"/>
        <v>38.814652571726079</v>
      </c>
      <c r="CW38" s="20">
        <f t="shared" si="13"/>
        <v>330.66212656242288</v>
      </c>
      <c r="CX38" s="59">
        <f t="shared" si="14"/>
        <v>574.31265928699736</v>
      </c>
      <c r="CY38" s="59">
        <f ca="1">AVERAGE(OFFSET($CX$3,0,0,'Données projet'!$E$13+1,1))-AVERAGE(OFFSET($H$3,0,0,'Données projet'!$E$13+1,1))</f>
        <v>352.45777291109863</v>
      </c>
      <c r="CZ38" s="59">
        <f t="shared" si="42"/>
        <v>340.92165104349181</v>
      </c>
      <c r="DA38" s="15">
        <f>IF(ISNA(VLOOKUP(A38,'Données projet'!$A$139:$I$159,3,0)),0,VLOOKUP(A38,'Données projet'!$A$139:$I$159,3,0))</f>
        <v>5</v>
      </c>
      <c r="DB38" s="15">
        <f>IF(ISNA(VLOOKUP(A38,'Données projet'!$A$139:$I$159,4,0)),0,VLOOKUP(A38,'Données projet'!$A$139:$I$159,4,0))</f>
        <v>35</v>
      </c>
      <c r="DC38" s="16">
        <f>IF(ISNA(VLOOKUP(A38,'Données projet'!$A$139:$I$159,5,0)),0%,VLOOKUP(A38,'Données projet'!$A$139:$I$159,5,0)*VLOOKUP('Données projet'!$B$13,Paramètres!$A$1:$I$89,7,0))</f>
        <v>0.43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12.198489778217061</v>
      </c>
      <c r="DG38" s="21">
        <f>EXP(-LN(2)/25)*DG37+(1-EXP(-LN(2)/25))/(LN(2)/25)*Calculateur!DB38*Calculateur!DD38*VLOOKUP('Données projet'!$B$13,Paramètres!$A$1:$I$89,3,0)*0.475*44/12</f>
        <v>0</v>
      </c>
      <c r="DH38" s="21">
        <f>EXP(-LN(2)/2)*DH37+(1-EXP(-LN(2)/2))/(LN(2)/2)*DB38*DE38*VLOOKUP('Données projet'!$B$13,Paramètres!$A$1:$I$89,3,0)*0.475*44/12</f>
        <v>0</v>
      </c>
      <c r="DI38" s="22">
        <f t="shared" si="15"/>
        <v>12.198489778217061</v>
      </c>
      <c r="DJ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>
        <f>VLOOKUP(A38,'Données projet'!$A$165:$I$185,2,0)</f>
        <v>201.29</v>
      </c>
      <c r="DM38" s="12">
        <f>VLOOKUP(A38,'Données projet'!$A$165:$I$185,9,0)</f>
        <v>15.881076919999998</v>
      </c>
      <c r="DN38" s="12">
        <f t="array" ref="DN38">INDEX(DM:DM,MIN(IF(ISNUMBER(DM38:DM234),ROW(DM38:DM234),"")))</f>
        <v>15.881076919999998</v>
      </c>
      <c r="DO38" s="12">
        <f>IF('Données projet'!$A$166&gt;35,DO37+DN38-DW37,IF(A38&lt;'Données projet'!$A$166,$DL$205^A38,IF(A38='Données projet'!$A$166,'Données projet'!$B$166,DO37+DN38-DW37)))</f>
        <v>201.29</v>
      </c>
      <c r="DP38" s="17">
        <f>DO38*VLOOKUP('Données projet'!$B$14,Paramètres!$A$1:$I$89,3,0)*VLOOKUP('Données projet'!$B$14,Paramètres!$A$1:$I$89,5,0)</f>
        <v>135.02533199999999</v>
      </c>
      <c r="DQ38" s="13">
        <f t="shared" si="43"/>
        <v>35.154990355373222</v>
      </c>
      <c r="DR38" s="20">
        <f t="shared" si="16"/>
        <v>296.39739476894164</v>
      </c>
      <c r="DS38" s="59">
        <f t="shared" si="17"/>
        <v>540.04792749351611</v>
      </c>
      <c r="DT38" s="59">
        <f ca="1">AVERAGE(OFFSET($DS$3,0,0,'Données projet'!$E$14+1,1))-AVERAGE(OFFSET($H$3,0,0,'Données projet'!$E$14+1,1))</f>
        <v>441.20130048888439</v>
      </c>
      <c r="DU38" s="59">
        <f t="shared" si="44"/>
        <v>237.47732532183946</v>
      </c>
      <c r="DV38" s="15">
        <f>IF(ISNA(VLOOKUP(A38,'Données projet'!$A$165:$I$185,3,0)),0,VLOOKUP(A38,'Données projet'!$A$165:$I$185,3,0))</f>
        <v>1</v>
      </c>
      <c r="DW38" s="15">
        <f>IF(ISNA(VLOOKUP(A38,'Données projet'!$A$165:$I$185,4,0)),0,VLOOKUP(A38,'Données projet'!$A$165:$I$185,4,0))</f>
        <v>69.58</v>
      </c>
      <c r="DX38" s="16">
        <f>IF(ISNA(VLOOKUP(A38,'Données projet'!$A$165:$I$185,5,0)),0%,VLOOKUP(A38,'Données projet'!$A$165:$I$185,5,0)*VLOOKUP('Données projet'!$B$14,Paramètres!$A$1:$I$89,7,0))</f>
        <v>0.53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27.34641865940559</v>
      </c>
      <c r="EB38" s="21">
        <f>EXP(-LN(2)/25)*EB37+(1-EXP(-LN(2)/25))/(LN(2)/25)*Calculateur!DW38*Calculateur!DY38*VLOOKUP('Données projet'!$B$14,Paramètres!$A$1:$I$89,3,0)*0.475*44/12</f>
        <v>0</v>
      </c>
      <c r="EC38" s="21">
        <f>EXP(-LN(2)/2)*EC37+(1-EXP(-LN(2)/2))/(LN(2)/2)*DW38*DZ38*VLOOKUP('Données projet'!$B$14,Paramètres!$A$1:$I$89,3,0)*0.475*44/12</f>
        <v>0</v>
      </c>
      <c r="ED38" s="22">
        <f t="shared" si="18"/>
        <v>27.34641865940559</v>
      </c>
      <c r="EE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>
        <f>VLOOKUP(A38,'Données projet'!$A$191:$I$211,2,0)</f>
        <v>206</v>
      </c>
      <c r="EH38" s="12">
        <f>VLOOKUP(A38,'Données projet'!$A$191:$I$211,9,0)</f>
        <v>12.8</v>
      </c>
      <c r="EI38" s="12">
        <f t="array" ref="EI38">INDEX(EH:EH,MIN(IF(ISNUMBER(EH38:EH234),ROW(EH38:EH234),"")))</f>
        <v>12.8</v>
      </c>
      <c r="EJ38" s="12">
        <f>IF('Données projet'!$A$192&gt;35,EJ37+EI38-ER37,IF(A38&lt;'Données projet'!$A$192,$EG$205^A38,IF(A38='Données projet'!$A$192,'Données projet'!$B$192,EJ37+EI38-ER37)))</f>
        <v>205.99999999999997</v>
      </c>
      <c r="EK38" s="17">
        <f>EJ38*VLOOKUP('Données projet'!$B$15,Paramètres!$A$1:$I$89,3,0)*VLOOKUP('Données projet'!$B$15,Paramètres!$A$1:$I$89,5,0)</f>
        <v>163.89359999999999</v>
      </c>
      <c r="EL38" s="13">
        <f t="shared" si="45"/>
        <v>41.71949506642347</v>
      </c>
      <c r="EM38" s="20">
        <f t="shared" si="19"/>
        <v>358.10947390735419</v>
      </c>
      <c r="EN38" s="59">
        <f t="shared" si="20"/>
        <v>601.76000663192872</v>
      </c>
      <c r="EO38" s="59">
        <f ca="1">AVERAGE(OFFSET($EN$3,0,0,'Données projet'!$E$15+1,1))-AVERAGE(OFFSET($H$3,0,0,'Données projet'!$E$15+1,1))</f>
        <v>377.27600411578322</v>
      </c>
      <c r="EP38" s="59">
        <f t="shared" si="46"/>
        <v>364.58250627635425</v>
      </c>
      <c r="EQ38" s="15">
        <f>IF(ISNA(VLOOKUP(A38,'Données projet'!$A$191:$I$211,3,0)),0,VLOOKUP(A38,'Données projet'!$A$191:$I$211,3,0))</f>
        <v>5</v>
      </c>
      <c r="ER38" s="15">
        <f>IF(ISNA(VLOOKUP(A38,'Données projet'!$A$191:$I$211,4,0)),0,VLOOKUP(A38,'Données projet'!$A$191:$I$211,4,0))</f>
        <v>35</v>
      </c>
      <c r="ES38" s="16">
        <f>IF(ISNA(VLOOKUP(A38,'Données projet'!$A$191:$I$211,5,0)),0%,VLOOKUP(A38,'Données projet'!$A$191:$I$211,5,0)*VLOOKUP('Données projet'!$B$15,Paramètres!$A$1:$I$89,7,0))</f>
        <v>0.53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>
        <f>EXP(-LN(2)/35)*EV37+(1-EXP(-LN(2)/35))/(LN(2)/35)*ER38*ES38*VLOOKUP('Données projet'!$B$15,Paramètres!$A$1:$I$89,3,0)*0.475*44/12</f>
        <v>16.314951939891504</v>
      </c>
      <c r="EW38" s="21">
        <f>EXP(-LN(2)/25)*EW37+(1-EXP(-LN(2)/25))/(LN(2)/25)*Calculateur!ER38*Calculateur!ET38*VLOOKUP('Données projet'!$B$15,Paramètres!$A$1:$I$89,3,0)*0.475*44/12</f>
        <v>0</v>
      </c>
      <c r="EX38" s="21">
        <f>EXP(-LN(2)/2)*EX37+(1-EXP(-LN(2)/2))/(LN(2)/2)*ER38*EU38*VLOOKUP('Données projet'!$B$15,Paramètres!$A$1:$I$89,3,0)*0.475*44/12</f>
        <v>0</v>
      </c>
      <c r="EY38" s="22">
        <f t="shared" si="21"/>
        <v>16.314951939891504</v>
      </c>
      <c r="EZ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>
        <f>VLOOKUP(A38,'Données projet'!$A$217:$I$237,2,0)</f>
        <v>206</v>
      </c>
      <c r="FC38" s="12">
        <f>VLOOKUP(A38,'Données projet'!$A$217:$I$237,9,0)</f>
        <v>12.8</v>
      </c>
      <c r="FD38" s="12">
        <f t="array" ref="FD38">INDEX(FC:FC,MIN(IF(ISNUMBER(FC38:FC234),ROW(FC38:FC234),"")))</f>
        <v>12.8</v>
      </c>
      <c r="FE38" s="12">
        <f>IF('Données projet'!$A$218&gt;35,FE37+FD38-FM37,IF(A38&lt;'Données projet'!$A$218,$FB$205^A38,IF(A38='Données projet'!$A$218,'Données projet'!$B$218,FE37+FD38-FM37)))</f>
        <v>205.99999999999997</v>
      </c>
      <c r="FF38" s="17">
        <f>FE38*VLOOKUP('Données projet'!$B$16,Paramètres!$A$1:$I$89,3,0)*VLOOKUP('Données projet'!$B$16,Paramètres!$A$1:$I$89,5,0)</f>
        <v>167.10719999999998</v>
      </c>
      <c r="FG38" s="13">
        <f t="shared" si="47"/>
        <v>42.44148687166966</v>
      </c>
      <c r="FH38" s="20">
        <f t="shared" si="22"/>
        <v>364.96396296815789</v>
      </c>
      <c r="FI38" s="59">
        <f t="shared" si="23"/>
        <v>608.61449569273236</v>
      </c>
      <c r="FJ38" s="59">
        <f ca="1">AVERAGE(OFFSET($FI$3,0,0,'Données projet'!$E$16+1,1))-AVERAGE(OFFSET($H$3,0,0,'Données projet'!$E$16+1,1))</f>
        <v>383.47399633251354</v>
      </c>
      <c r="FK38" s="59">
        <f t="shared" si="48"/>
        <v>370.49129421395628</v>
      </c>
      <c r="FL38" s="15">
        <f>IF(ISNA(VLOOKUP(A38,'Données projet'!$A$217:$I$237,3,0)),0,VLOOKUP(A38,'Données projet'!$A$217:$I$237,3,0))</f>
        <v>5</v>
      </c>
      <c r="FM38" s="15">
        <f>IF(ISNA(VLOOKUP(A38,'Données projet'!$A$217:$I$237,4,0)),0,VLOOKUP(A38,'Données projet'!$A$217:$I$237,4,0))</f>
        <v>35</v>
      </c>
      <c r="FN38" s="16">
        <f>IF(ISNA(VLOOKUP(A38,'Données projet'!$A$217:$I$237,5,0)),0%,VLOOKUP(A38,'Données projet'!$A$217:$I$237,5,0)*VLOOKUP('Données projet'!$B$16,Paramètres!$A$1:$I$89,7,0))</f>
        <v>0.53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>
        <f>EXP(-LN(2)/35)*FQ37+(1-EXP(-LN(2)/35))/(LN(2)/35)*FM38*FN38*VLOOKUP('Données projet'!$B$16,Paramètres!$A$1:$I$89,3,0)*0.475*44/12</f>
        <v>16.634852958320749</v>
      </c>
      <c r="FR38" s="21">
        <f>EXP(-LN(2)/25)*FR37+(1-EXP(-LN(2)/25))/(LN(2)/25)*Calculateur!FM38*Calculateur!FO38*VLOOKUP('Données projet'!$B$16,Paramètres!$A$1:$I$89,3,0)*0.475*44/12</f>
        <v>0</v>
      </c>
      <c r="FS38" s="21">
        <f>EXP(-LN(2)/2)*FS37+(1-EXP(-LN(2)/2))/(LN(2)/2)*FM38*FP38*VLOOKUP('Données projet'!$B$16,Paramètres!$A$1:$I$89,3,0)*0.475*44/12</f>
        <v>0</v>
      </c>
      <c r="FT38" s="22">
        <f t="shared" si="24"/>
        <v>16.634852958320749</v>
      </c>
      <c r="FU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>
        <f>VLOOKUP(A38,'Données projet'!$A$243:$I$263,2,0)</f>
        <v>201.29</v>
      </c>
      <c r="FX38" s="12">
        <f>VLOOKUP(A38,'Données projet'!$A$243:$I$263,9,0)</f>
        <v>15.881076919999998</v>
      </c>
      <c r="FY38" s="12">
        <f t="array" ref="FY38">INDEX(FX:FX,MIN(IF(ISNUMBER(FX38:FX234),ROW(FX38:FX234),"")))</f>
        <v>15.881076919999998</v>
      </c>
      <c r="FZ38" s="12">
        <f>IF('Données projet'!$A$244&gt;35,FZ37+FY38-GH37,IF(A38&lt;'Données projet'!$A$244,$FW$205^A38,IF(A38='Données projet'!$A$244,'Données projet'!$B$244,FZ37+FY38-GH37)))</f>
        <v>201.29</v>
      </c>
      <c r="GA38" s="17">
        <f>FZ38*VLOOKUP('Données projet'!$B$17,Paramètres!$A$1:$I$89,3,0)*VLOOKUP('Données projet'!$B$17,Paramètres!$A$1:$I$89,5,0)</f>
        <v>191.54756399999999</v>
      </c>
      <c r="GB38" s="13">
        <f t="shared" si="49"/>
        <v>47.881935577216041</v>
      </c>
      <c r="GC38" s="20">
        <f t="shared" si="25"/>
        <v>417.00637843031791</v>
      </c>
      <c r="GD38" s="59">
        <f t="shared" si="26"/>
        <v>660.65691115489244</v>
      </c>
      <c r="GE38" s="59">
        <f ca="1">AVERAGE(OFFSET($GD$3,0,0,'Données projet'!$E$17+1,1))-AVERAGE(OFFSET($H$3,0,0,'Données projet'!$E$17+1,1))</f>
        <v>592.58528889137358</v>
      </c>
      <c r="GF38" s="59">
        <f t="shared" si="50"/>
        <v>311.31528020403709</v>
      </c>
      <c r="GG38" s="15">
        <f>IF(ISNA(VLOOKUP(A38,'Données projet'!$A$243:$I$263,3,0)),0,VLOOKUP(A38,'Données projet'!$A$243:$I$263,3,0))</f>
        <v>1</v>
      </c>
      <c r="GH38" s="15">
        <f>IF(ISNA(VLOOKUP(A38,'Données projet'!$A$243:$I$263,4,0)),0,VLOOKUP(A38,'Données projet'!$A$243:$I$263,4,0))</f>
        <v>69.58</v>
      </c>
      <c r="GI38" s="16">
        <f>IF(ISNA(VLOOKUP(A38,'Données projet'!$A$243:$I$263,5,0)),0%,VLOOKUP(A38,'Données projet'!$A$243:$I$263,5,0)*VLOOKUP('Données projet'!$B$17,Paramètres!$A$1:$I$89,7,0))</f>
        <v>0.43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>
        <f>EXP(-LN(2)/35)*GL37+(1-EXP(-LN(2)/35))/(LN(2)/35)*GH38*GI38*VLOOKUP('Données projet'!$B$17,Paramètres!$A$1:$I$89,3,0)*0.475*44/12</f>
        <v>31.474179966485682</v>
      </c>
      <c r="GM38" s="21">
        <f>EXP(-LN(2)/25)*GM37+(1-EXP(-LN(2)/25))/(LN(2)/25)*Calculateur!GH38*Calculateur!GJ38*VLOOKUP('Données projet'!$B$17,Paramètres!$A$1:$I$89,3,0)*0.475*44/12</f>
        <v>0</v>
      </c>
      <c r="GN38" s="21">
        <f>EXP(-LN(2)/2)*GN37+(1-EXP(-LN(2)/2))/(LN(2)/2)*GH38*GK38*VLOOKUP('Données projet'!$B$17,Paramètres!$A$1:$I$89,3,0)*0.475*44/12</f>
        <v>0</v>
      </c>
      <c r="GO38" s="21">
        <f t="shared" si="27"/>
        <v>31.474179966485682</v>
      </c>
      <c r="GP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11.5</v>
      </c>
      <c r="GU38" s="12">
        <f>IF('Données projet'!$A$270&gt;35,GU37+GT38-HC37,IF(A38&lt;'Données projet'!$A$270,$GR$205^A38,IF(A38='Données projet'!$A$270,'Données projet'!$B$270,GU37+GT38-HC37)))</f>
        <v>164.99999999999994</v>
      </c>
      <c r="GV38" s="17">
        <f>GU38*VLOOKUP('Données projet'!$B$18,Paramètres!$A$1:$I$89,3,0)*VLOOKUP('Données projet'!$B$18,Paramètres!$A$1:$I$89,5,0)</f>
        <v>128.69999999999996</v>
      </c>
      <c r="GW38" s="13">
        <f t="shared" si="51"/>
        <v>33.695792019186115</v>
      </c>
      <c r="GX38" s="20">
        <f t="shared" si="28"/>
        <v>282.83933776674911</v>
      </c>
      <c r="GY38" s="59">
        <f t="shared" si="29"/>
        <v>526.48987049132359</v>
      </c>
      <c r="GZ38" s="59">
        <f ca="1">AVERAGE(OFFSET($GY$3,0,0,'Données projet'!$E$18+1,1))-AVERAGE(OFFSET($H$3,0,0,'Données projet'!$E$18+1,1))</f>
        <v>308.85018589589453</v>
      </c>
      <c r="HA38" s="59">
        <f t="shared" si="52"/>
        <v>302.59481222418219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>
        <f>EXP(-LN(2)/35)*HG37+(1-EXP(-LN(2)/35))/(LN(2)/35)*HC38*HD38*VLOOKUP('Données projet'!$B$18,Paramètres!$A$1:$I$89,3,0)*0.475*44/12</f>
        <v>12.33131072744456</v>
      </c>
      <c r="HH38" s="21">
        <f>EXP(-LN(2)/25)*HH37+(1-EXP(-LN(2)/25))/(LN(2)/25)*Calculateur!HC38*Calculateur!HE38*VLOOKUP('Données projet'!$B$18,Paramètres!$A$1:$I$89,3,0)*0.475*44/12</f>
        <v>0</v>
      </c>
      <c r="HI38" s="21">
        <f>EXP(-LN(2)/2)*HI37+(1-EXP(-LN(2)/2))/(LN(2)/2)*HC38*HF38*VLOOKUP('Données projet'!$B$18,Paramètres!$A$1:$I$89,3,0)*0.475*44/12</f>
        <v>0</v>
      </c>
      <c r="HJ38" s="22">
        <f t="shared" si="30"/>
        <v>12.33131072744456</v>
      </c>
    </row>
    <row r="39" spans="1:218" x14ac:dyDescent="0.35">
      <c r="A39" s="10">
        <f t="shared" si="31"/>
        <v>36</v>
      </c>
      <c r="B39" s="72">
        <f>'Scénario référence'!$B$16*5+'Scénario référence'!$B$17*0+'Scénario référence'!$B$18*5</f>
        <v>5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66">
        <f t="shared" si="1"/>
        <v>183.33333333333334</v>
      </c>
      <c r="I39" s="6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12.86166666666667</v>
      </c>
      <c r="N39" s="13">
        <f>IF('Données projet'!$A$36&gt;35,N38+M39-V38,IF(A39&lt;'Données projet'!$A$36,$K$205^A39,IF(A39='Données projet'!$A$36,'Données projet'!$B$36,N38+M39-V38)))</f>
        <v>144.57166666666666</v>
      </c>
      <c r="O39" s="13">
        <f>N39*VLOOKUP('Données projet'!$B$9,Paramètres!$A$1:$I$89,3,0)*VLOOKUP('Données projet'!$B$9,Paramètres!$A$1:$I$89,5,0)</f>
        <v>130.80844399999998</v>
      </c>
      <c r="P39" s="13">
        <f t="shared" si="33"/>
        <v>34.183099548128496</v>
      </c>
      <c r="Q39" s="20">
        <f t="shared" si="53"/>
        <v>287.3602716796571</v>
      </c>
      <c r="R39" s="59">
        <f t="shared" si="0"/>
        <v>531.87268992069153</v>
      </c>
      <c r="S39" s="59">
        <f ca="1">AVERAGE(OFFSET($R$3,0,0,'Données projet'!$E$9+1,1))-AVERAGE(OFFSET($H$3,0,0,'Données projet'!$E$9+1,1))</f>
        <v>567.42635821507474</v>
      </c>
      <c r="T39" s="59">
        <f t="shared" si="34"/>
        <v>299.04735309930152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29.339433585121828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29.339433585121828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12.86166666666667</v>
      </c>
      <c r="AI39" s="13">
        <f>IF('Données projet'!$A$62&gt;35,AI38+AH39-AQ38,IF(A39&lt;'Données projet'!$A$62,$AF$205^A39,IF(A39='Données projet'!$A$62,'Données projet'!$B$62,AI38+AH39-AQ38)))</f>
        <v>144.57166666666666</v>
      </c>
      <c r="AJ39" s="13">
        <f>AI39*VLOOKUP('Données projet'!$B$10,Paramètres!$A$1:$I$89,3,0)*VLOOKUP('Données projet'!$B$10,Paramètres!$A$1:$I$89,5,0)</f>
        <v>146.59566999999998</v>
      </c>
      <c r="AK39" s="13">
        <f t="shared" si="35"/>
        <v>37.803908782741182</v>
      </c>
      <c r="AL39" s="20">
        <f t="shared" si="4"/>
        <v>321.16259971327423</v>
      </c>
      <c r="AM39" s="59">
        <f t="shared" si="5"/>
        <v>565.67501795430871</v>
      </c>
      <c r="AN39" s="59">
        <f ca="1">AVERAGE(OFFSET($AM$3,0,0,'Données projet'!$E$10+1,1))-AVERAGE(OFFSET($H$3,0,0,'Données projet'!$E$10+1,1))</f>
        <v>626.09203985591455</v>
      </c>
      <c r="AO39" s="59">
        <f t="shared" si="36"/>
        <v>327.65191296575199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32.880399707464115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32.880399707464115</v>
      </c>
      <c r="AY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10.4</v>
      </c>
      <c r="BD39" s="12">
        <f>IF('Données projet'!$A$88&gt;35,BD38+BC39-BL38,IF(A39&lt;'Données projet'!$A$88,$BA$205^A39,IF(A39='Données projet'!$A$88,'Données projet'!$B$88,BD38+BC39-BL38)))</f>
        <v>121.4</v>
      </c>
      <c r="BE39" s="13">
        <f>BD39*VLOOKUP('Données projet'!$B$11,Paramètres!$A$1:$I$89,3,0)*VLOOKUP('Données projet'!$B$11,Paramètres!$A$1:$I$89,5,0)</f>
        <v>104.16120000000002</v>
      </c>
      <c r="BF39" s="13">
        <f t="shared" si="37"/>
        <v>27.95098158074293</v>
      </c>
      <c r="BG39" s="20">
        <f t="shared" si="7"/>
        <v>230.09538291979393</v>
      </c>
      <c r="BH39" s="59">
        <f t="shared" si="8"/>
        <v>474.60780116082833</v>
      </c>
      <c r="BI39" s="59">
        <f ca="1">AVERAGE(OFFSET($BH$3,0,0,'Données projet'!$E$11+1,1))-AVERAGE(OFFSET($H$3,0,0,'Données projet'!$E$11+1,1))</f>
        <v>481.23392184981651</v>
      </c>
      <c r="BJ39" s="59">
        <f t="shared" si="38"/>
        <v>275.88160405468193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13.799630001440905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13.799630001440905</v>
      </c>
      <c r="BT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16.511666666666667</v>
      </c>
      <c r="BY39" s="12">
        <f>IF('Données projet'!$A$114&gt;35,BY38+BX39-CG38,IF(A39&lt;'Données projet'!$A$114,$BV$205^A39,IF(A39='Données projet'!$A$114,'Données projet'!$B$114,BY38+BX39-CG38)))</f>
        <v>245.38999999999993</v>
      </c>
      <c r="BZ39" s="13">
        <f>BY39*VLOOKUP('Données projet'!$B$12,Paramètres!$A$1:$I$89,3,0)*VLOOKUP('Données projet'!$B$12,Paramètres!$A$1:$I$89,5,0)</f>
        <v>114.84251999999996</v>
      </c>
      <c r="CA39" s="13">
        <f t="shared" si="39"/>
        <v>30.469043629741822</v>
      </c>
      <c r="CB39" s="20">
        <f t="shared" si="10"/>
        <v>253.08430665513359</v>
      </c>
      <c r="CC39" s="59">
        <f t="shared" si="11"/>
        <v>497.59672489616798</v>
      </c>
      <c r="CD39" s="59">
        <f ca="1">AVERAGE(OFFSET($CC$3,0,0,'Données projet'!$E$12+1,1))-AVERAGE(OFFSET($H$3,0,0,'Données projet'!$E$12+1,1))</f>
        <v>331.86732359395467</v>
      </c>
      <c r="CE39" s="59">
        <f t="shared" si="40"/>
        <v>208.64489375183106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0</v>
      </c>
      <c r="CO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11.4</v>
      </c>
      <c r="CT39" s="12">
        <f>IF('Données projet'!$A$140&gt;35,CT38+CS39-DB38,IF(A39&lt;'Données projet'!$A$140,$CQ$205^A39,IF(A39='Données projet'!$A$140,'Données projet'!$B$140,CT38+CS39-DB38)))</f>
        <v>182.39999999999998</v>
      </c>
      <c r="CU39" s="17">
        <f>CT39*VLOOKUP('Données projet'!$B$13,Paramètres!$A$1:$I$89,3,0)*VLOOKUP('Données projet'!$B$13,Paramètres!$A$1:$I$89,5,0)</f>
        <v>133.73567999999997</v>
      </c>
      <c r="CV39" s="13">
        <f t="shared" si="41"/>
        <v>34.858136849359212</v>
      </c>
      <c r="CW39" s="20">
        <f t="shared" si="13"/>
        <v>293.6342310126339</v>
      </c>
      <c r="CX39" s="59">
        <f t="shared" si="14"/>
        <v>538.14664925366833</v>
      </c>
      <c r="CY39" s="59">
        <f ca="1">AVERAGE(OFFSET($CX$3,0,0,'Données projet'!$E$13+1,1))-AVERAGE(OFFSET($H$3,0,0,'Données projet'!$E$13+1,1))</f>
        <v>352.45777291109863</v>
      </c>
      <c r="CZ39" s="59">
        <f t="shared" si="42"/>
        <v>340.92165104349181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11.959284834010315</v>
      </c>
      <c r="DG39" s="21">
        <f>EXP(-LN(2)/25)*DG38+(1-EXP(-LN(2)/25))/(LN(2)/25)*Calculateur!DB39*Calculateur!DD39*VLOOKUP('Données projet'!$B$13,Paramètres!$A$1:$I$89,3,0)*0.475*44/12</f>
        <v>0</v>
      </c>
      <c r="DH39" s="21">
        <f>EXP(-LN(2)/2)*DH38+(1-EXP(-LN(2)/2))/(LN(2)/2)*DB39*DE39*VLOOKUP('Données projet'!$B$13,Paramètres!$A$1:$I$89,3,0)*0.475*44/12</f>
        <v>0</v>
      </c>
      <c r="DI39" s="22">
        <f t="shared" si="15"/>
        <v>11.959284834010315</v>
      </c>
      <c r="DJ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12.86166666666667</v>
      </c>
      <c r="DO39" s="12">
        <f>IF('Données projet'!$A$166&gt;35,DO38+DN39-DW38,IF(A39&lt;'Données projet'!$A$166,$DL$205^A39,IF(A39='Données projet'!$A$166,'Données projet'!$B$166,DO38+DN39-DW38)))</f>
        <v>144.57166666666666</v>
      </c>
      <c r="DP39" s="17">
        <f>DO39*VLOOKUP('Données projet'!$B$14,Paramètres!$A$1:$I$89,3,0)*VLOOKUP('Données projet'!$B$14,Paramètres!$A$1:$I$89,5,0)</f>
        <v>96.978673999999998</v>
      </c>
      <c r="DQ39" s="13">
        <f t="shared" si="43"/>
        <v>26.240928143619048</v>
      </c>
      <c r="DR39" s="20">
        <f t="shared" si="16"/>
        <v>214.60747373346979</v>
      </c>
      <c r="DS39" s="59">
        <f t="shared" si="17"/>
        <v>459.11989197450418</v>
      </c>
      <c r="DT39" s="59">
        <f ca="1">AVERAGE(OFFSET($DS$3,0,0,'Données projet'!$E$14+1,1))-AVERAGE(OFFSET($H$3,0,0,'Données projet'!$E$14+1,1))</f>
        <v>441.20130048888439</v>
      </c>
      <c r="DU39" s="59">
        <f t="shared" si="44"/>
        <v>237.47732532183946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26.810172069163048</v>
      </c>
      <c r="EB39" s="21">
        <f>EXP(-LN(2)/25)*EB38+(1-EXP(-LN(2)/25))/(LN(2)/25)*Calculateur!DW39*Calculateur!DY39*VLOOKUP('Données projet'!$B$14,Paramètres!$A$1:$I$89,3,0)*0.475*44/12</f>
        <v>0</v>
      </c>
      <c r="EC39" s="21">
        <f>EXP(-LN(2)/2)*EC38+(1-EXP(-LN(2)/2))/(LN(2)/2)*DW39*DZ39*VLOOKUP('Données projet'!$B$14,Paramètres!$A$1:$I$89,3,0)*0.475*44/12</f>
        <v>0</v>
      </c>
      <c r="ED39" s="22">
        <f t="shared" si="18"/>
        <v>26.810172069163048</v>
      </c>
      <c r="EE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11.4</v>
      </c>
      <c r="EJ39" s="12">
        <f>IF('Données projet'!$A$192&gt;35,EJ38+EI39-ER38,IF(A39&lt;'Données projet'!$A$192,$EG$205^A39,IF(A39='Données projet'!$A$192,'Données projet'!$B$192,EJ38+EI39-ER38)))</f>
        <v>182.39999999999998</v>
      </c>
      <c r="EK39" s="17">
        <f>EJ39*VLOOKUP('Données projet'!$B$15,Paramètres!$A$1:$I$89,3,0)*VLOOKUP('Données projet'!$B$15,Paramètres!$A$1:$I$89,5,0)</f>
        <v>145.11743999999999</v>
      </c>
      <c r="EL39" s="13">
        <f t="shared" si="45"/>
        <v>37.466878406916173</v>
      </c>
      <c r="EM39" s="20">
        <f t="shared" si="19"/>
        <v>318.00102122537896</v>
      </c>
      <c r="EN39" s="59">
        <f t="shared" si="20"/>
        <v>562.51343946641339</v>
      </c>
      <c r="EO39" s="59">
        <f ca="1">AVERAGE(OFFSET($EN$3,0,0,'Données projet'!$E$15+1,1))-AVERAGE(OFFSET($H$3,0,0,'Données projet'!$E$15+1,1))</f>
        <v>377.27600411578322</v>
      </c>
      <c r="EP39" s="59">
        <f t="shared" si="46"/>
        <v>364.58250627635425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>
        <f>EXP(-LN(2)/35)*EV38+(1-EXP(-LN(2)/35))/(LN(2)/35)*ER39*ES39*VLOOKUP('Données projet'!$B$15,Paramètres!$A$1:$I$89,3,0)*0.475*44/12</f>
        <v>15.995025683488322</v>
      </c>
      <c r="EW39" s="21">
        <f>EXP(-LN(2)/25)*EW38+(1-EXP(-LN(2)/25))/(LN(2)/25)*Calculateur!ER39*Calculateur!ET39*VLOOKUP('Données projet'!$B$15,Paramètres!$A$1:$I$89,3,0)*0.475*44/12</f>
        <v>0</v>
      </c>
      <c r="EX39" s="21">
        <f>EXP(-LN(2)/2)*EX38+(1-EXP(-LN(2)/2))/(LN(2)/2)*ER39*EU39*VLOOKUP('Données projet'!$B$15,Paramètres!$A$1:$I$89,3,0)*0.475*44/12</f>
        <v>0</v>
      </c>
      <c r="EY39" s="22">
        <f t="shared" si="21"/>
        <v>15.995025683488322</v>
      </c>
      <c r="EZ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11.4</v>
      </c>
      <c r="FE39" s="12">
        <f>IF('Données projet'!$A$218&gt;35,FE38+FD39-FM38,IF(A39&lt;'Données projet'!$A$218,$FB$205^A39,IF(A39='Données projet'!$A$218,'Données projet'!$B$218,FE38+FD39-FM38)))</f>
        <v>182.39999999999998</v>
      </c>
      <c r="FF39" s="17">
        <f>FE39*VLOOKUP('Données projet'!$B$16,Paramètres!$A$1:$I$89,3,0)*VLOOKUP('Données projet'!$B$16,Paramètres!$A$1:$I$89,5,0)</f>
        <v>147.96287999999998</v>
      </c>
      <c r="FG39" s="13">
        <f t="shared" si="47"/>
        <v>38.115275017059226</v>
      </c>
      <c r="FH39" s="20">
        <f t="shared" si="22"/>
        <v>324.08611998804474</v>
      </c>
      <c r="FI39" s="59">
        <f t="shared" si="23"/>
        <v>568.59853822907917</v>
      </c>
      <c r="FJ39" s="59">
        <f ca="1">AVERAGE(OFFSET($FI$3,0,0,'Données projet'!$E$16+1,1))-AVERAGE(OFFSET($H$3,0,0,'Données projet'!$E$16+1,1))</f>
        <v>383.47399633251354</v>
      </c>
      <c r="FK39" s="59">
        <f t="shared" si="48"/>
        <v>370.49129421395628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>
        <f>EXP(-LN(2)/35)*FQ38+(1-EXP(-LN(2)/35))/(LN(2)/35)*FM39*FN39*VLOOKUP('Données projet'!$B$16,Paramètres!$A$1:$I$89,3,0)*0.475*44/12</f>
        <v>16.308653638066524</v>
      </c>
      <c r="FR39" s="21">
        <f>EXP(-LN(2)/25)*FR38+(1-EXP(-LN(2)/25))/(LN(2)/25)*Calculateur!FM39*Calculateur!FO39*VLOOKUP('Données projet'!$B$16,Paramètres!$A$1:$I$89,3,0)*0.475*44/12</f>
        <v>0</v>
      </c>
      <c r="FS39" s="21">
        <f>EXP(-LN(2)/2)*FS38+(1-EXP(-LN(2)/2))/(LN(2)/2)*FM39*FP39*VLOOKUP('Données projet'!$B$16,Paramètres!$A$1:$I$89,3,0)*0.475*44/12</f>
        <v>0</v>
      </c>
      <c r="FT39" s="22">
        <f t="shared" si="24"/>
        <v>16.308653638066524</v>
      </c>
      <c r="FU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12.86166666666667</v>
      </c>
      <c r="FZ39" s="12">
        <f>IF('Données projet'!$A$244&gt;35,FZ38+FY39-GH38,IF(A39&lt;'Données projet'!$A$244,$FW$205^A39,IF(A39='Données projet'!$A$244,'Données projet'!$B$244,FZ38+FY39-GH38)))</f>
        <v>144.57166666666666</v>
      </c>
      <c r="GA39" s="17">
        <f>FZ39*VLOOKUP('Données projet'!$B$17,Paramètres!$A$1:$I$89,3,0)*VLOOKUP('Données projet'!$B$17,Paramètres!$A$1:$I$89,5,0)</f>
        <v>137.574398</v>
      </c>
      <c r="GB39" s="13">
        <f t="shared" si="49"/>
        <v>35.740770176803061</v>
      </c>
      <c r="GC39" s="20">
        <f t="shared" si="25"/>
        <v>301.85725124126532</v>
      </c>
      <c r="GD39" s="59">
        <f t="shared" si="26"/>
        <v>546.36966948229974</v>
      </c>
      <c r="GE39" s="59">
        <f ca="1">AVERAGE(OFFSET($GD$3,0,0,'Données projet'!$E$17+1,1))-AVERAGE(OFFSET($H$3,0,0,'Données projet'!$E$17+1,1))</f>
        <v>592.58528889137358</v>
      </c>
      <c r="GF39" s="59">
        <f t="shared" si="50"/>
        <v>311.31528020403709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>
        <f>EXP(-LN(2)/35)*GL38+(1-EXP(-LN(2)/35))/(LN(2)/35)*GH39*GI39*VLOOKUP('Données projet'!$B$17,Paramètres!$A$1:$I$89,3,0)*0.475*44/12</f>
        <v>30.856990494697097</v>
      </c>
      <c r="GM39" s="21">
        <f>EXP(-LN(2)/25)*GM38+(1-EXP(-LN(2)/25))/(LN(2)/25)*Calculateur!GH39*Calculateur!GJ39*VLOOKUP('Données projet'!$B$17,Paramètres!$A$1:$I$89,3,0)*0.475*44/12</f>
        <v>0</v>
      </c>
      <c r="GN39" s="21">
        <f>EXP(-LN(2)/2)*GN38+(1-EXP(-LN(2)/2))/(LN(2)/2)*GH39*GK39*VLOOKUP('Données projet'!$B$17,Paramètres!$A$1:$I$89,3,0)*0.475*44/12</f>
        <v>0</v>
      </c>
      <c r="GO39" s="21">
        <f t="shared" si="27"/>
        <v>30.856990494697097</v>
      </c>
      <c r="GP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11.5</v>
      </c>
      <c r="GU39" s="12">
        <f>IF('Données projet'!$A$270&gt;35,GU38+GT39-HC38,IF(A39&lt;'Données projet'!$A$270,$GR$205^A39,IF(A39='Données projet'!$A$270,'Données projet'!$B$270,GU38+GT39-HC38)))</f>
        <v>176.49999999999994</v>
      </c>
      <c r="GV39" s="17">
        <f>GU39*VLOOKUP('Données projet'!$B$18,Paramètres!$A$1:$I$89,3,0)*VLOOKUP('Données projet'!$B$18,Paramètres!$A$1:$I$89,5,0)</f>
        <v>137.66999999999996</v>
      </c>
      <c r="GW39" s="13">
        <f t="shared" si="51"/>
        <v>35.762714965854656</v>
      </c>
      <c r="GX39" s="20">
        <f t="shared" si="28"/>
        <v>302.06197856553007</v>
      </c>
      <c r="GY39" s="59">
        <f t="shared" si="29"/>
        <v>546.57439680656444</v>
      </c>
      <c r="GZ39" s="59">
        <f ca="1">AVERAGE(OFFSET($GY$3,0,0,'Données projet'!$E$18+1,1))-AVERAGE(OFFSET($H$3,0,0,'Données projet'!$E$18+1,1))</f>
        <v>308.85018589589453</v>
      </c>
      <c r="HA39" s="59">
        <f t="shared" si="52"/>
        <v>302.59481222418219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>
        <f>EXP(-LN(2)/35)*HG38+(1-EXP(-LN(2)/35))/(LN(2)/35)*HC39*HD39*VLOOKUP('Données projet'!$B$18,Paramètres!$A$1:$I$89,3,0)*0.475*44/12</f>
        <v>12.089501245436244</v>
      </c>
      <c r="HH39" s="21">
        <f>EXP(-LN(2)/25)*HH38+(1-EXP(-LN(2)/25))/(LN(2)/25)*Calculateur!HC39*Calculateur!HE39*VLOOKUP('Données projet'!$B$18,Paramètres!$A$1:$I$89,3,0)*0.475*44/12</f>
        <v>0</v>
      </c>
      <c r="HI39" s="21">
        <f>EXP(-LN(2)/2)*HI38+(1-EXP(-LN(2)/2))/(LN(2)/2)*HC39*HF39*VLOOKUP('Données projet'!$B$18,Paramètres!$A$1:$I$89,3,0)*0.475*44/12</f>
        <v>0</v>
      </c>
      <c r="HJ39" s="22">
        <f t="shared" si="30"/>
        <v>12.089501245436244</v>
      </c>
    </row>
    <row r="40" spans="1:218" x14ac:dyDescent="0.35">
      <c r="A40" s="10">
        <f t="shared" si="31"/>
        <v>37</v>
      </c>
      <c r="B40" s="72">
        <f>'Scénario référence'!$B$16*5+'Scénario référence'!$B$17*0+'Scénario référence'!$B$18*5</f>
        <v>5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66">
        <f t="shared" si="1"/>
        <v>183.33333333333334</v>
      </c>
      <c r="I40" s="6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12.86166666666667</v>
      </c>
      <c r="N40" s="13">
        <f>IF('Données projet'!$A$36&gt;35,N39+M40-V39,IF(A40&lt;'Données projet'!$A$36,$K$205^A40,IF(A40='Données projet'!$A$36,'Données projet'!$B$36,N39+M40-V39)))</f>
        <v>157.43333333333334</v>
      </c>
      <c r="O40" s="13">
        <f>N40*VLOOKUP('Données projet'!$B$9,Paramètres!$A$1:$I$89,3,0)*VLOOKUP('Données projet'!$B$9,Paramètres!$A$1:$I$89,5,0)</f>
        <v>142.44567999999998</v>
      </c>
      <c r="P40" s="13">
        <f t="shared" si="33"/>
        <v>36.856710479085137</v>
      </c>
      <c r="Q40" s="20">
        <f t="shared" si="53"/>
        <v>312.28499675107327</v>
      </c>
      <c r="R40" s="59">
        <f t="shared" si="0"/>
        <v>557.64434872174434</v>
      </c>
      <c r="S40" s="59">
        <f ca="1">AVERAGE(OFFSET($R$3,0,0,'Données projet'!$E$9+1,1))-AVERAGE(OFFSET($H$3,0,0,'Données projet'!$E$9+1,1))</f>
        <v>567.42635821507474</v>
      </c>
      <c r="T40" s="59">
        <f t="shared" si="34"/>
        <v>299.04735309930152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28.764105187805065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28.764105187805065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12.86166666666667</v>
      </c>
      <c r="AI40" s="13">
        <f>IF('Données projet'!$A$62&gt;35,AI39+AH40-AQ39,IF(A40&lt;'Données projet'!$A$62,$AF$205^A40,IF(A40='Données projet'!$A$62,'Données projet'!$B$62,AI39+AH40-AQ39)))</f>
        <v>157.43333333333334</v>
      </c>
      <c r="AJ40" s="13">
        <f>AI40*VLOOKUP('Données projet'!$B$10,Paramètres!$A$1:$I$89,3,0)*VLOOKUP('Données projet'!$B$10,Paramètres!$A$1:$I$89,5,0)</f>
        <v>159.63740000000001</v>
      </c>
      <c r="AK40" s="13">
        <f t="shared" si="35"/>
        <v>40.760719168297832</v>
      </c>
      <c r="AL40" s="20">
        <f t="shared" si="4"/>
        <v>349.02672421811872</v>
      </c>
      <c r="AM40" s="59">
        <f t="shared" si="5"/>
        <v>594.38607618878984</v>
      </c>
      <c r="AN40" s="59">
        <f ca="1">AVERAGE(OFFSET($AM$3,0,0,'Données projet'!$E$10+1,1))-AVERAGE(OFFSET($H$3,0,0,'Données projet'!$E$10+1,1))</f>
        <v>626.09203985591455</v>
      </c>
      <c r="AO40" s="59">
        <f t="shared" si="36"/>
        <v>327.65191296575199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32.235635124264292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32.235635124264292</v>
      </c>
      <c r="AY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10.4</v>
      </c>
      <c r="BD40" s="12">
        <f>IF('Données projet'!$A$88&gt;35,BD39+BC40-BL39,IF(A40&lt;'Données projet'!$A$88,$BA$205^A40,IF(A40='Données projet'!$A$88,'Données projet'!$B$88,BD39+BC40-BL39)))</f>
        <v>131.80000000000001</v>
      </c>
      <c r="BE40" s="13">
        <f>BD40*VLOOKUP('Données projet'!$B$11,Paramètres!$A$1:$I$89,3,0)*VLOOKUP('Données projet'!$B$11,Paramètres!$A$1:$I$89,5,0)</f>
        <v>113.08440000000002</v>
      </c>
      <c r="BF40" s="13">
        <f t="shared" si="37"/>
        <v>30.05651952806824</v>
      </c>
      <c r="BG40" s="20">
        <f t="shared" si="7"/>
        <v>249.3037681780522</v>
      </c>
      <c r="BH40" s="59">
        <f t="shared" si="8"/>
        <v>494.66312014872329</v>
      </c>
      <c r="BI40" s="59">
        <f ca="1">AVERAGE(OFFSET($BH$3,0,0,'Données projet'!$E$11+1,1))-AVERAGE(OFFSET($H$3,0,0,'Données projet'!$E$11+1,1))</f>
        <v>481.23392184981651</v>
      </c>
      <c r="BJ40" s="59">
        <f t="shared" si="38"/>
        <v>275.88160405468193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13.529027674055845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13.529027674055845</v>
      </c>
      <c r="BT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16.511666666666667</v>
      </c>
      <c r="BY40" s="12">
        <f>IF('Données projet'!$A$114&gt;35,BY39+BX40-CG39,IF(A40&lt;'Données projet'!$A$114,$BV$205^A40,IF(A40='Données projet'!$A$114,'Données projet'!$B$114,BY39+BX40-CG39)))</f>
        <v>261.90166666666659</v>
      </c>
      <c r="BZ40" s="13">
        <f>BY40*VLOOKUP('Données projet'!$B$12,Paramètres!$A$1:$I$89,3,0)*VLOOKUP('Données projet'!$B$12,Paramètres!$A$1:$I$89,5,0)</f>
        <v>122.56997999999996</v>
      </c>
      <c r="CA40" s="13">
        <f t="shared" si="39"/>
        <v>32.27366368975963</v>
      </c>
      <c r="CB40" s="20">
        <f t="shared" si="10"/>
        <v>269.68601275966461</v>
      </c>
      <c r="CC40" s="59">
        <f t="shared" si="11"/>
        <v>515.04536473033568</v>
      </c>
      <c r="CD40" s="59">
        <f ca="1">AVERAGE(OFFSET($CC$3,0,0,'Données projet'!$E$12+1,1))-AVERAGE(OFFSET($H$3,0,0,'Données projet'!$E$12+1,1))</f>
        <v>331.86732359395467</v>
      </c>
      <c r="CE40" s="59">
        <f t="shared" si="40"/>
        <v>208.64489375183106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0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0</v>
      </c>
      <c r="CO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11.4</v>
      </c>
      <c r="CT40" s="12">
        <f>IF('Données projet'!$A$140&gt;35,CT39+CS40-DB39,IF(A40&lt;'Données projet'!$A$140,$CQ$205^A40,IF(A40='Données projet'!$A$140,'Données projet'!$B$140,CT39+CS40-DB39)))</f>
        <v>193.79999999999998</v>
      </c>
      <c r="CU40" s="17">
        <f>CT40*VLOOKUP('Données projet'!$B$13,Paramètres!$A$1:$I$89,3,0)*VLOOKUP('Données projet'!$B$13,Paramètres!$A$1:$I$89,5,0)</f>
        <v>142.09415999999999</v>
      </c>
      <c r="CV40" s="13">
        <f t="shared" si="41"/>
        <v>36.77633279983236</v>
      </c>
      <c r="CW40" s="20">
        <f t="shared" si="13"/>
        <v>311.53277495970798</v>
      </c>
      <c r="CX40" s="59">
        <f t="shared" si="14"/>
        <v>556.89212693037905</v>
      </c>
      <c r="CY40" s="59">
        <f ca="1">AVERAGE(OFFSET($CX$3,0,0,'Données projet'!$E$13+1,1))-AVERAGE(OFFSET($H$3,0,0,'Données projet'!$E$13+1,1))</f>
        <v>352.45777291109863</v>
      </c>
      <c r="CZ40" s="59">
        <f t="shared" si="42"/>
        <v>340.92165104349181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11.724770552858855</v>
      </c>
      <c r="DG40" s="21">
        <f>EXP(-LN(2)/25)*DG39+(1-EXP(-LN(2)/25))/(LN(2)/25)*Calculateur!DB40*Calculateur!DD40*VLOOKUP('Données projet'!$B$13,Paramètres!$A$1:$I$89,3,0)*0.475*44/12</f>
        <v>0</v>
      </c>
      <c r="DH40" s="21">
        <f>EXP(-LN(2)/2)*DH39+(1-EXP(-LN(2)/2))/(LN(2)/2)*DB40*DE40*VLOOKUP('Données projet'!$B$13,Paramètres!$A$1:$I$89,3,0)*0.475*44/12</f>
        <v>0</v>
      </c>
      <c r="DI40" s="22">
        <f t="shared" si="15"/>
        <v>11.724770552858855</v>
      </c>
      <c r="DJ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12.86166666666667</v>
      </c>
      <c r="DO40" s="12">
        <f>IF('Données projet'!$A$166&gt;35,DO39+DN40-DW39,IF(A40&lt;'Données projet'!$A$166,$DL$205^A40,IF(A40='Données projet'!$A$166,'Données projet'!$B$166,DO39+DN40-DW39)))</f>
        <v>157.43333333333334</v>
      </c>
      <c r="DP40" s="17">
        <f>DO40*VLOOKUP('Données projet'!$B$14,Paramètres!$A$1:$I$89,3,0)*VLOOKUP('Données projet'!$B$14,Paramètres!$A$1:$I$89,5,0)</f>
        <v>105.60628</v>
      </c>
      <c r="DQ40" s="13">
        <f t="shared" si="43"/>
        <v>28.293346831527874</v>
      </c>
      <c r="DR40" s="20">
        <f t="shared" si="16"/>
        <v>233.2085167315777</v>
      </c>
      <c r="DS40" s="59">
        <f t="shared" si="17"/>
        <v>478.5678687022488</v>
      </c>
      <c r="DT40" s="59">
        <f ca="1">AVERAGE(OFFSET($DS$3,0,0,'Données projet'!$E$14+1,1))-AVERAGE(OFFSET($H$3,0,0,'Données projet'!$E$14+1,1))</f>
        <v>441.20130048888439</v>
      </c>
      <c r="DU40" s="59">
        <f t="shared" si="44"/>
        <v>237.47732532183946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26.284440947477037</v>
      </c>
      <c r="EB40" s="21">
        <f>EXP(-LN(2)/25)*EB39+(1-EXP(-LN(2)/25))/(LN(2)/25)*Calculateur!DW40*Calculateur!DY40*VLOOKUP('Données projet'!$B$14,Paramètres!$A$1:$I$89,3,0)*0.475*44/12</f>
        <v>0</v>
      </c>
      <c r="EC40" s="21">
        <f>EXP(-LN(2)/2)*EC39+(1-EXP(-LN(2)/2))/(LN(2)/2)*DW40*DZ40*VLOOKUP('Données projet'!$B$14,Paramètres!$A$1:$I$89,3,0)*0.475*44/12</f>
        <v>0</v>
      </c>
      <c r="ED40" s="22">
        <f t="shared" si="18"/>
        <v>26.284440947477037</v>
      </c>
      <c r="EE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11.4</v>
      </c>
      <c r="EJ40" s="12">
        <f>IF('Données projet'!$A$192&gt;35,EJ39+EI40-ER39,IF(A40&lt;'Données projet'!$A$192,$EG$205^A40,IF(A40='Données projet'!$A$192,'Données projet'!$B$192,EJ39+EI40-ER39)))</f>
        <v>193.79999999999998</v>
      </c>
      <c r="EK40" s="17">
        <f>EJ40*VLOOKUP('Données projet'!$B$15,Paramètres!$A$1:$I$89,3,0)*VLOOKUP('Données projet'!$B$15,Paramètres!$A$1:$I$89,5,0)</f>
        <v>154.18727999999999</v>
      </c>
      <c r="EL40" s="13">
        <f t="shared" si="45"/>
        <v>39.528629863903078</v>
      </c>
      <c r="EM40" s="20">
        <f t="shared" si="19"/>
        <v>337.38854301296448</v>
      </c>
      <c r="EN40" s="59">
        <f t="shared" si="20"/>
        <v>582.74789498363555</v>
      </c>
      <c r="EO40" s="59">
        <f ca="1">AVERAGE(OFFSET($EN$3,0,0,'Données projet'!$E$15+1,1))-AVERAGE(OFFSET($H$3,0,0,'Données projet'!$E$15+1,1))</f>
        <v>377.27600411578322</v>
      </c>
      <c r="EP40" s="59">
        <f t="shared" si="46"/>
        <v>364.58250627635425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>
        <f>EXP(-LN(2)/35)*EV39+(1-EXP(-LN(2)/35))/(LN(2)/35)*ER40*ES40*VLOOKUP('Données projet'!$B$15,Paramètres!$A$1:$I$89,3,0)*0.475*44/12</f>
        <v>15.681372985837458</v>
      </c>
      <c r="EW40" s="21">
        <f>EXP(-LN(2)/25)*EW39+(1-EXP(-LN(2)/25))/(LN(2)/25)*Calculateur!ER40*Calculateur!ET40*VLOOKUP('Données projet'!$B$15,Paramètres!$A$1:$I$89,3,0)*0.475*44/12</f>
        <v>0</v>
      </c>
      <c r="EX40" s="21">
        <f>EXP(-LN(2)/2)*EX39+(1-EXP(-LN(2)/2))/(LN(2)/2)*ER40*EU40*VLOOKUP('Données projet'!$B$15,Paramètres!$A$1:$I$89,3,0)*0.475*44/12</f>
        <v>0</v>
      </c>
      <c r="EY40" s="22">
        <f t="shared" si="21"/>
        <v>15.681372985837458</v>
      </c>
      <c r="EZ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11.4</v>
      </c>
      <c r="FE40" s="12">
        <f>IF('Données projet'!$A$218&gt;35,FE39+FD40-FM39,IF(A40&lt;'Données projet'!$A$218,$FB$205^A40,IF(A40='Données projet'!$A$218,'Données projet'!$B$218,FE39+FD40-FM39)))</f>
        <v>193.79999999999998</v>
      </c>
      <c r="FF40" s="17">
        <f>FE40*VLOOKUP('Données projet'!$B$16,Paramètres!$A$1:$I$89,3,0)*VLOOKUP('Données projet'!$B$16,Paramètres!$A$1:$I$89,5,0)</f>
        <v>157.21055999999999</v>
      </c>
      <c r="FG40" s="13">
        <f t="shared" si="47"/>
        <v>40.212706859296013</v>
      </c>
      <c r="FH40" s="20">
        <f t="shared" si="22"/>
        <v>343.84552311327383</v>
      </c>
      <c r="FI40" s="59">
        <f t="shared" si="23"/>
        <v>589.2048750839449</v>
      </c>
      <c r="FJ40" s="59">
        <f ca="1">AVERAGE(OFFSET($FI$3,0,0,'Données projet'!$E$16+1,1))-AVERAGE(OFFSET($H$3,0,0,'Données projet'!$E$16+1,1))</f>
        <v>383.47399633251354</v>
      </c>
      <c r="FK40" s="59">
        <f t="shared" si="48"/>
        <v>370.49129421395628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>
        <f>EXP(-LN(2)/35)*FQ39+(1-EXP(-LN(2)/35))/(LN(2)/35)*FM40*FN40*VLOOKUP('Données projet'!$B$16,Paramètres!$A$1:$I$89,3,0)*0.475*44/12</f>
        <v>15.988850887520545</v>
      </c>
      <c r="FR40" s="21">
        <f>EXP(-LN(2)/25)*FR39+(1-EXP(-LN(2)/25))/(LN(2)/25)*Calculateur!FM40*Calculateur!FO40*VLOOKUP('Données projet'!$B$16,Paramètres!$A$1:$I$89,3,0)*0.475*44/12</f>
        <v>0</v>
      </c>
      <c r="FS40" s="21">
        <f>EXP(-LN(2)/2)*FS39+(1-EXP(-LN(2)/2))/(LN(2)/2)*FM40*FP40*VLOOKUP('Données projet'!$B$16,Paramètres!$A$1:$I$89,3,0)*0.475*44/12</f>
        <v>0</v>
      </c>
      <c r="FT40" s="22">
        <f t="shared" si="24"/>
        <v>15.988850887520545</v>
      </c>
      <c r="FU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12.86166666666667</v>
      </c>
      <c r="FZ40" s="12">
        <f>IF('Données projet'!$A$244&gt;35,FZ39+FY40-GH39,IF(A40&lt;'Données projet'!$A$244,$FW$205^A40,IF(A40='Données projet'!$A$244,'Données projet'!$B$244,FZ39+FY40-GH39)))</f>
        <v>157.43333333333334</v>
      </c>
      <c r="GA40" s="17">
        <f>FZ40*VLOOKUP('Données projet'!$B$17,Paramètres!$A$1:$I$89,3,0)*VLOOKUP('Données projet'!$B$17,Paramètres!$A$1:$I$89,5,0)</f>
        <v>149.81356</v>
      </c>
      <c r="GB40" s="13">
        <f t="shared" si="49"/>
        <v>38.53621339548981</v>
      </c>
      <c r="GC40" s="20">
        <f t="shared" si="25"/>
        <v>328.04252199714477</v>
      </c>
      <c r="GD40" s="59">
        <f t="shared" si="26"/>
        <v>573.40187396781585</v>
      </c>
      <c r="GE40" s="59">
        <f ca="1">AVERAGE(OFFSET($GD$3,0,0,'Données projet'!$E$17+1,1))-AVERAGE(OFFSET($H$3,0,0,'Données projet'!$E$17+1,1))</f>
        <v>592.58528889137358</v>
      </c>
      <c r="GF40" s="59">
        <f t="shared" si="50"/>
        <v>311.31528020403709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>
        <f>EXP(-LN(2)/35)*GL39+(1-EXP(-LN(2)/35))/(LN(2)/35)*GH40*GI40*VLOOKUP('Données projet'!$B$17,Paramètres!$A$1:$I$89,3,0)*0.475*44/12</f>
        <v>30.251903732001878</v>
      </c>
      <c r="GM40" s="21">
        <f>EXP(-LN(2)/25)*GM39+(1-EXP(-LN(2)/25))/(LN(2)/25)*Calculateur!GH40*Calculateur!GJ40*VLOOKUP('Données projet'!$B$17,Paramètres!$A$1:$I$89,3,0)*0.475*44/12</f>
        <v>0</v>
      </c>
      <c r="GN40" s="21">
        <f>EXP(-LN(2)/2)*GN39+(1-EXP(-LN(2)/2))/(LN(2)/2)*GH40*GK40*VLOOKUP('Données projet'!$B$17,Paramètres!$A$1:$I$89,3,0)*0.475*44/12</f>
        <v>0</v>
      </c>
      <c r="GO40" s="21">
        <f t="shared" si="27"/>
        <v>30.251903732001878</v>
      </c>
      <c r="GP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>
        <f>VLOOKUP(A40,'Données projet'!$A$269:$I$289,2,0)</f>
        <v>188</v>
      </c>
      <c r="GS40" s="12">
        <f>VLOOKUP(A40,'Données projet'!$A$269:$I$289,9,0)</f>
        <v>11.5</v>
      </c>
      <c r="GT40" s="12">
        <f t="array" ref="GT40">INDEX(GS:GS,MIN(IF(ISNUMBER(GS40:GS236),ROW(GS40:GS236),"")))</f>
        <v>11.5</v>
      </c>
      <c r="GU40" s="12">
        <f>IF('Données projet'!$A$270&gt;35,GU39+GT40-HC39,IF(A40&lt;'Données projet'!$A$270,$GR$205^A40,IF(A40='Données projet'!$A$270,'Données projet'!$B$270,GU39+GT40-HC39)))</f>
        <v>187.99999999999994</v>
      </c>
      <c r="GV40" s="17">
        <f>GU40*VLOOKUP('Données projet'!$B$18,Paramètres!$A$1:$I$89,3,0)*VLOOKUP('Données projet'!$B$18,Paramètres!$A$1:$I$89,5,0)</f>
        <v>146.63999999999996</v>
      </c>
      <c r="GW40" s="13">
        <f t="shared" si="51"/>
        <v>37.814009712703026</v>
      </c>
      <c r="GX40" s="20">
        <f t="shared" si="28"/>
        <v>321.25740024962437</v>
      </c>
      <c r="GY40" s="59">
        <f t="shared" si="29"/>
        <v>566.61675222029544</v>
      </c>
      <c r="GZ40" s="59">
        <f ca="1">AVERAGE(OFFSET($GY$3,0,0,'Données projet'!$E$18+1,1))-AVERAGE(OFFSET($H$3,0,0,'Données projet'!$E$18+1,1))</f>
        <v>308.85018589589453</v>
      </c>
      <c r="HA40" s="59">
        <f t="shared" si="52"/>
        <v>302.59481222418219</v>
      </c>
      <c r="HB40" s="15">
        <f>IF(ISNA(VLOOKUP(A40,'Données projet'!$A$269:$I$289,3,0)),0,VLOOKUP(A40,'Données projet'!$A$269:$I$289,3,0))</f>
        <v>5</v>
      </c>
      <c r="HC40" s="15">
        <f>IF(ISNA(VLOOKUP(A40,'Données projet'!$A$269:$I$289,4,0)),0,VLOOKUP(A40,'Données projet'!$A$269:$I$289,4,0))</f>
        <v>36</v>
      </c>
      <c r="HD40" s="16">
        <f>IF(ISNA(VLOOKUP(A40,'Données projet'!$A$269:$I$289,5,0)),0%,VLOOKUP(A40,'Données projet'!$A$269:$I$289,5,0)*VLOOKUP('Données projet'!$B$18,Paramètres!$A$1:$I$89,7,0))</f>
        <v>0.43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>
        <f>EXP(-LN(2)/35)*HG39+(1-EXP(-LN(2)/35))/(LN(2)/35)*HC40*HD40*VLOOKUP('Données projet'!$B$18,Paramètres!$A$1:$I$89,3,0)*0.475*44/12</f>
        <v>25.200325050513541</v>
      </c>
      <c r="HH40" s="21">
        <f>EXP(-LN(2)/25)*HH39+(1-EXP(-LN(2)/25))/(LN(2)/25)*Calculateur!HC40*Calculateur!HE40*VLOOKUP('Données projet'!$B$18,Paramètres!$A$1:$I$89,3,0)*0.475*44/12</f>
        <v>0</v>
      </c>
      <c r="HI40" s="21">
        <f>EXP(-LN(2)/2)*HI39+(1-EXP(-LN(2)/2))/(LN(2)/2)*HC40*HF40*VLOOKUP('Données projet'!$B$18,Paramètres!$A$1:$I$89,3,0)*0.475*44/12</f>
        <v>0</v>
      </c>
      <c r="HJ40" s="22">
        <f t="shared" si="30"/>
        <v>25.200325050513541</v>
      </c>
    </row>
    <row r="41" spans="1:218" x14ac:dyDescent="0.35">
      <c r="A41" s="10">
        <f t="shared" si="31"/>
        <v>38</v>
      </c>
      <c r="B41" s="72">
        <f>'Scénario référence'!$B$16*5+'Scénario référence'!$B$17*0+'Scénario référence'!$B$18*5</f>
        <v>5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66">
        <f t="shared" si="1"/>
        <v>183.33333333333334</v>
      </c>
      <c r="I41" s="6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12.86166666666667</v>
      </c>
      <c r="N41" s="13">
        <f>IF('Données projet'!$A$36&gt;35,N40+M41-V40,IF(A41&lt;'Données projet'!$A$36,$K$205^A41,IF(A41='Données projet'!$A$36,'Données projet'!$B$36,N40+M41-V40)))</f>
        <v>170.29500000000002</v>
      </c>
      <c r="O41" s="13">
        <f>N41*VLOOKUP('Données projet'!$B$9,Paramètres!$A$1:$I$89,3,0)*VLOOKUP('Données projet'!$B$9,Paramètres!$A$1:$I$89,5,0)</f>
        <v>154.08291600000001</v>
      </c>
      <c r="P41" s="13">
        <f t="shared" si="33"/>
        <v>39.504987725811617</v>
      </c>
      <c r="Q41" s="20">
        <f t="shared" si="53"/>
        <v>337.16559898912192</v>
      </c>
      <c r="R41" s="59">
        <f t="shared" si="0"/>
        <v>583.35719228268067</v>
      </c>
      <c r="S41" s="59">
        <f ca="1">AVERAGE(OFFSET($R$3,0,0,'Données projet'!$E$9+1,1))-AVERAGE(OFFSET($H$3,0,0,'Données projet'!$E$9+1,1))</f>
        <v>567.42635821507474</v>
      </c>
      <c r="T41" s="59">
        <f t="shared" si="34"/>
        <v>299.04735309930152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28.200058629444008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28.200058629444008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12.86166666666667</v>
      </c>
      <c r="AI41" s="13">
        <f>IF('Données projet'!$A$62&gt;35,AI40+AH41-AQ40,IF(A41&lt;'Données projet'!$A$62,$AF$205^A41,IF(A41='Données projet'!$A$62,'Données projet'!$B$62,AI40+AH41-AQ40)))</f>
        <v>170.29500000000002</v>
      </c>
      <c r="AJ41" s="13">
        <f>AI41*VLOOKUP('Données projet'!$B$10,Paramètres!$A$1:$I$89,3,0)*VLOOKUP('Données projet'!$B$10,Paramètres!$A$1:$I$89,5,0)</f>
        <v>172.67913000000001</v>
      </c>
      <c r="AK41" s="13">
        <f t="shared" si="35"/>
        <v>43.689512425494954</v>
      </c>
      <c r="AL41" s="20">
        <f t="shared" si="4"/>
        <v>376.84205222440369</v>
      </c>
      <c r="AM41" s="59">
        <f t="shared" si="5"/>
        <v>623.03364551796244</v>
      </c>
      <c r="AN41" s="59">
        <f ca="1">AVERAGE(OFFSET($AM$3,0,0,'Données projet'!$E$10+1,1))-AVERAGE(OFFSET($H$3,0,0,'Données projet'!$E$10+1,1))</f>
        <v>626.09203985591455</v>
      </c>
      <c r="AO41" s="59">
        <f t="shared" si="36"/>
        <v>327.65191296575199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31.603513981273455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31.603513981273455</v>
      </c>
      <c r="AY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10.4</v>
      </c>
      <c r="BD41" s="12">
        <f>IF('Données projet'!$A$88&gt;35,BD40+BC41-BL40,IF(A41&lt;'Données projet'!$A$88,$BA$205^A41,IF(A41='Données projet'!$A$88,'Données projet'!$B$88,BD40+BC41-BL40)))</f>
        <v>142.20000000000002</v>
      </c>
      <c r="BE41" s="13">
        <f>BD41*VLOOKUP('Données projet'!$B$11,Paramètres!$A$1:$I$89,3,0)*VLOOKUP('Données projet'!$B$11,Paramètres!$A$1:$I$89,5,0)</f>
        <v>122.00760000000004</v>
      </c>
      <c r="BF41" s="13">
        <f t="shared" si="37"/>
        <v>32.142785920703616</v>
      </c>
      <c r="BG41" s="20">
        <f t="shared" si="7"/>
        <v>268.47858881189217</v>
      </c>
      <c r="BH41" s="59">
        <f t="shared" si="8"/>
        <v>514.67018210545086</v>
      </c>
      <c r="BI41" s="59">
        <f ca="1">AVERAGE(OFFSET($BH$3,0,0,'Données projet'!$E$11+1,1))-AVERAGE(OFFSET($H$3,0,0,'Données projet'!$E$11+1,1))</f>
        <v>481.23392184981651</v>
      </c>
      <c r="BJ41" s="59">
        <f t="shared" si="38"/>
        <v>275.88160405468193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13.263731693259684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13.263731693259684</v>
      </c>
      <c r="BT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16.511666666666667</v>
      </c>
      <c r="BY41" s="12">
        <f>IF('Données projet'!$A$114&gt;35,BY40+BX41-CG40,IF(A41&lt;'Données projet'!$A$114,$BV$205^A41,IF(A41='Données projet'!$A$114,'Données projet'!$B$114,BY40+BX41-CG40)))</f>
        <v>278.41333333333324</v>
      </c>
      <c r="BZ41" s="13">
        <f>BY41*VLOOKUP('Données projet'!$B$12,Paramètres!$A$1:$I$89,3,0)*VLOOKUP('Données projet'!$B$12,Paramètres!$A$1:$I$89,5,0)</f>
        <v>130.29743999999997</v>
      </c>
      <c r="CA41" s="13">
        <f t="shared" si="39"/>
        <v>34.06507983892925</v>
      </c>
      <c r="CB41" s="20">
        <f t="shared" si="10"/>
        <v>286.26472205280169</v>
      </c>
      <c r="CC41" s="59">
        <f t="shared" si="11"/>
        <v>532.45631534636038</v>
      </c>
      <c r="CD41" s="59">
        <f ca="1">AVERAGE(OFFSET($CC$3,0,0,'Données projet'!$E$12+1,1))-AVERAGE(OFFSET($H$3,0,0,'Données projet'!$E$12+1,1))</f>
        <v>331.86732359395467</v>
      </c>
      <c r="CE41" s="59">
        <f t="shared" si="40"/>
        <v>208.64489375183106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0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0</v>
      </c>
      <c r="CO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11.4</v>
      </c>
      <c r="CT41" s="12">
        <f>IF('Données projet'!$A$140&gt;35,CT40+CS41-DB40,IF(A41&lt;'Données projet'!$A$140,$CQ$205^A41,IF(A41='Données projet'!$A$140,'Données projet'!$B$140,CT40+CS41-DB40)))</f>
        <v>205.2</v>
      </c>
      <c r="CU41" s="17">
        <f>CT41*VLOOKUP('Données projet'!$B$13,Paramètres!$A$1:$I$89,3,0)*VLOOKUP('Données projet'!$B$13,Paramètres!$A$1:$I$89,5,0)</f>
        <v>150.45263999999997</v>
      </c>
      <c r="CV41" s="13">
        <f t="shared" si="41"/>
        <v>38.681431639913605</v>
      </c>
      <c r="CW41" s="20">
        <f t="shared" si="13"/>
        <v>329.40850810618275</v>
      </c>
      <c r="CX41" s="59">
        <f t="shared" si="14"/>
        <v>575.60010139974145</v>
      </c>
      <c r="CY41" s="59">
        <f ca="1">AVERAGE(OFFSET($CX$3,0,0,'Données projet'!$E$13+1,1))-AVERAGE(OFFSET($H$3,0,0,'Données projet'!$E$13+1,1))</f>
        <v>352.45777291109863</v>
      </c>
      <c r="CZ41" s="59">
        <f t="shared" si="42"/>
        <v>340.92165104349181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11.494854953721187</v>
      </c>
      <c r="DG41" s="21">
        <f>EXP(-LN(2)/25)*DG40+(1-EXP(-LN(2)/25))/(LN(2)/25)*Calculateur!DB41*Calculateur!DD41*VLOOKUP('Données projet'!$B$13,Paramètres!$A$1:$I$89,3,0)*0.475*44/12</f>
        <v>0</v>
      </c>
      <c r="DH41" s="21">
        <f>EXP(-LN(2)/2)*DH40+(1-EXP(-LN(2)/2))/(LN(2)/2)*DB41*DE41*VLOOKUP('Données projet'!$B$13,Paramètres!$A$1:$I$89,3,0)*0.475*44/12</f>
        <v>0</v>
      </c>
      <c r="DI41" s="22">
        <f t="shared" si="15"/>
        <v>11.494854953721187</v>
      </c>
      <c r="DJ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12.86166666666667</v>
      </c>
      <c r="DO41" s="12">
        <f>IF('Données projet'!$A$166&gt;35,DO40+DN41-DW40,IF(A41&lt;'Données projet'!$A$166,$DL$205^A41,IF(A41='Données projet'!$A$166,'Données projet'!$B$166,DO40+DN41-DW40)))</f>
        <v>170.29500000000002</v>
      </c>
      <c r="DP41" s="17">
        <f>DO41*VLOOKUP('Données projet'!$B$14,Paramètres!$A$1:$I$89,3,0)*VLOOKUP('Données projet'!$B$14,Paramètres!$A$1:$I$89,5,0)</f>
        <v>114.233886</v>
      </c>
      <c r="DQ41" s="13">
        <f t="shared" si="43"/>
        <v>30.326317915319962</v>
      </c>
      <c r="DR41" s="20">
        <f t="shared" si="16"/>
        <v>251.77568848584892</v>
      </c>
      <c r="DS41" s="59">
        <f t="shared" si="17"/>
        <v>497.96728177940764</v>
      </c>
      <c r="DT41" s="59">
        <f ca="1">AVERAGE(OFFSET($DS$3,0,0,'Données projet'!$E$14+1,1))-AVERAGE(OFFSET($H$3,0,0,'Données projet'!$E$14+1,1))</f>
        <v>441.20130048888439</v>
      </c>
      <c r="DU41" s="59">
        <f t="shared" si="44"/>
        <v>237.47732532183946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25.769019092422969</v>
      </c>
      <c r="EB41" s="21">
        <f>EXP(-LN(2)/25)*EB40+(1-EXP(-LN(2)/25))/(LN(2)/25)*Calculateur!DW41*Calculateur!DY41*VLOOKUP('Données projet'!$B$14,Paramètres!$A$1:$I$89,3,0)*0.475*44/12</f>
        <v>0</v>
      </c>
      <c r="EC41" s="21">
        <f>EXP(-LN(2)/2)*EC40+(1-EXP(-LN(2)/2))/(LN(2)/2)*DW41*DZ41*VLOOKUP('Données projet'!$B$14,Paramètres!$A$1:$I$89,3,0)*0.475*44/12</f>
        <v>0</v>
      </c>
      <c r="ED41" s="22">
        <f t="shared" si="18"/>
        <v>25.769019092422969</v>
      </c>
      <c r="EE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11.4</v>
      </c>
      <c r="EJ41" s="12">
        <f>IF('Données projet'!$A$192&gt;35,EJ40+EI41-ER40,IF(A41&lt;'Données projet'!$A$192,$EG$205^A41,IF(A41='Données projet'!$A$192,'Données projet'!$B$192,EJ40+EI41-ER40)))</f>
        <v>205.2</v>
      </c>
      <c r="EK41" s="17">
        <f>EJ41*VLOOKUP('Données projet'!$B$15,Paramètres!$A$1:$I$89,3,0)*VLOOKUP('Données projet'!$B$15,Paramètres!$A$1:$I$89,5,0)</f>
        <v>163.25712000000001</v>
      </c>
      <c r="EL41" s="13">
        <f t="shared" si="45"/>
        <v>41.576304038313076</v>
      </c>
      <c r="EM41" s="20">
        <f t="shared" si="19"/>
        <v>356.75154686672863</v>
      </c>
      <c r="EN41" s="59">
        <f t="shared" si="20"/>
        <v>602.94314016028738</v>
      </c>
      <c r="EO41" s="59">
        <f ca="1">AVERAGE(OFFSET($EN$3,0,0,'Données projet'!$E$15+1,1))-AVERAGE(OFFSET($H$3,0,0,'Données projet'!$E$15+1,1))</f>
        <v>377.27600411578322</v>
      </c>
      <c r="EP41" s="59">
        <f t="shared" si="46"/>
        <v>364.58250627635425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>
        <f>EXP(-LN(2)/35)*EV40+(1-EXP(-LN(2)/35))/(LN(2)/35)*ER41*ES41*VLOOKUP('Données projet'!$B$15,Paramètres!$A$1:$I$89,3,0)*0.475*44/12</f>
        <v>15.373870826278271</v>
      </c>
      <c r="EW41" s="21">
        <f>EXP(-LN(2)/25)*EW40+(1-EXP(-LN(2)/25))/(LN(2)/25)*Calculateur!ER41*Calculateur!ET41*VLOOKUP('Données projet'!$B$15,Paramètres!$A$1:$I$89,3,0)*0.475*44/12</f>
        <v>0</v>
      </c>
      <c r="EX41" s="21">
        <f>EXP(-LN(2)/2)*EX40+(1-EXP(-LN(2)/2))/(LN(2)/2)*ER41*EU41*VLOOKUP('Données projet'!$B$15,Paramètres!$A$1:$I$89,3,0)*0.475*44/12</f>
        <v>0</v>
      </c>
      <c r="EY41" s="22">
        <f t="shared" si="21"/>
        <v>15.373870826278271</v>
      </c>
      <c r="EZ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11.4</v>
      </c>
      <c r="FE41" s="12">
        <f>IF('Données projet'!$A$218&gt;35,FE40+FD41-FM40,IF(A41&lt;'Données projet'!$A$218,$FB$205^A41,IF(A41='Données projet'!$A$218,'Données projet'!$B$218,FE40+FD41-FM40)))</f>
        <v>205.2</v>
      </c>
      <c r="FF41" s="17">
        <f>FE41*VLOOKUP('Données projet'!$B$16,Paramètres!$A$1:$I$89,3,0)*VLOOKUP('Données projet'!$B$16,Paramètres!$A$1:$I$89,5,0)</f>
        <v>166.45823999999999</v>
      </c>
      <c r="FG41" s="13">
        <f t="shared" si="47"/>
        <v>42.295817799452642</v>
      </c>
      <c r="FH41" s="20">
        <f t="shared" si="22"/>
        <v>363.5799840007133</v>
      </c>
      <c r="FI41" s="59">
        <f t="shared" si="23"/>
        <v>609.77157729427199</v>
      </c>
      <c r="FJ41" s="59">
        <f ca="1">AVERAGE(OFFSET($FI$3,0,0,'Données projet'!$E$16+1,1))-AVERAGE(OFFSET($H$3,0,0,'Données projet'!$E$16+1,1))</f>
        <v>383.47399633251354</v>
      </c>
      <c r="FK41" s="59">
        <f t="shared" si="48"/>
        <v>370.49129421395628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>
        <f>EXP(-LN(2)/35)*FQ40+(1-EXP(-LN(2)/35))/(LN(2)/35)*FM41*FN41*VLOOKUP('Données projet'!$B$16,Paramètres!$A$1:$I$89,3,0)*0.475*44/12</f>
        <v>15.675319273852356</v>
      </c>
      <c r="FR41" s="21">
        <f>EXP(-LN(2)/25)*FR40+(1-EXP(-LN(2)/25))/(LN(2)/25)*Calculateur!FM41*Calculateur!FO41*VLOOKUP('Données projet'!$B$16,Paramètres!$A$1:$I$89,3,0)*0.475*44/12</f>
        <v>0</v>
      </c>
      <c r="FS41" s="21">
        <f>EXP(-LN(2)/2)*FS40+(1-EXP(-LN(2)/2))/(LN(2)/2)*FM41*FP41*VLOOKUP('Données projet'!$B$16,Paramètres!$A$1:$I$89,3,0)*0.475*44/12</f>
        <v>0</v>
      </c>
      <c r="FT41" s="22">
        <f t="shared" si="24"/>
        <v>15.675319273852356</v>
      </c>
      <c r="FU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12.86166666666667</v>
      </c>
      <c r="FZ41" s="12">
        <f>IF('Données projet'!$A$244&gt;35,FZ40+FY41-GH40,IF(A41&lt;'Données projet'!$A$244,$FW$205^A41,IF(A41='Données projet'!$A$244,'Données projet'!$B$244,FZ40+FY41-GH40)))</f>
        <v>170.29500000000002</v>
      </c>
      <c r="GA41" s="17">
        <f>FZ41*VLOOKUP('Données projet'!$B$17,Paramètres!$A$1:$I$89,3,0)*VLOOKUP('Données projet'!$B$17,Paramètres!$A$1:$I$89,5,0)</f>
        <v>162.05272200000002</v>
      </c>
      <c r="GB41" s="13">
        <f t="shared" si="49"/>
        <v>41.305168513396602</v>
      </c>
      <c r="GC41" s="20">
        <f t="shared" si="25"/>
        <v>354.1816593108324</v>
      </c>
      <c r="GD41" s="59">
        <f t="shared" si="26"/>
        <v>600.37325260439115</v>
      </c>
      <c r="GE41" s="59">
        <f ca="1">AVERAGE(OFFSET($GD$3,0,0,'Données projet'!$E$17+1,1))-AVERAGE(OFFSET($H$3,0,0,'Données projet'!$E$17+1,1))</f>
        <v>592.58528889137358</v>
      </c>
      <c r="GF41" s="59">
        <f t="shared" si="50"/>
        <v>311.31528020403709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>
        <f>EXP(-LN(2)/35)*GL40+(1-EXP(-LN(2)/35))/(LN(2)/35)*GH41*GI41*VLOOKUP('Données projet'!$B$17,Paramètres!$A$1:$I$89,3,0)*0.475*44/12</f>
        <v>29.65868235165663</v>
      </c>
      <c r="GM41" s="21">
        <f>EXP(-LN(2)/25)*GM40+(1-EXP(-LN(2)/25))/(LN(2)/25)*Calculateur!GH41*Calculateur!GJ41*VLOOKUP('Données projet'!$B$17,Paramètres!$A$1:$I$89,3,0)*0.475*44/12</f>
        <v>0</v>
      </c>
      <c r="GN41" s="21">
        <f>EXP(-LN(2)/2)*GN40+(1-EXP(-LN(2)/2))/(LN(2)/2)*GH41*GK41*VLOOKUP('Données projet'!$B$17,Paramètres!$A$1:$I$89,3,0)*0.475*44/12</f>
        <v>0</v>
      </c>
      <c r="GO41" s="21">
        <f t="shared" si="27"/>
        <v>29.65868235165663</v>
      </c>
      <c r="GP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11.142857142857142</v>
      </c>
      <c r="GU41" s="12">
        <f>IF('Données projet'!$A$270&gt;35,GU40+GT41-HC40,IF(A41&lt;'Données projet'!$A$270,$GR$205^A41,IF(A41='Données projet'!$A$270,'Données projet'!$B$270,GU40+GT41-HC40)))</f>
        <v>163.14285714285708</v>
      </c>
      <c r="GV41" s="17">
        <f>GU41*VLOOKUP('Données projet'!$B$18,Paramètres!$A$1:$I$89,3,0)*VLOOKUP('Données projet'!$B$18,Paramètres!$A$1:$I$89,5,0)</f>
        <v>127.25142857142853</v>
      </c>
      <c r="GW41" s="13">
        <f t="shared" si="51"/>
        <v>33.360457439554281</v>
      </c>
      <c r="GX41" s="20">
        <f t="shared" si="28"/>
        <v>279.73236813579501</v>
      </c>
      <c r="GY41" s="59">
        <f t="shared" si="29"/>
        <v>525.92396142935377</v>
      </c>
      <c r="GZ41" s="59">
        <f ca="1">AVERAGE(OFFSET($GY$3,0,0,'Données projet'!$E$18+1,1))-AVERAGE(OFFSET($H$3,0,0,'Données projet'!$E$18+1,1))</f>
        <v>308.85018589589453</v>
      </c>
      <c r="HA41" s="59">
        <f t="shared" si="52"/>
        <v>302.59481222418219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>
        <f>EXP(-LN(2)/35)*HG40+(1-EXP(-LN(2)/35))/(LN(2)/35)*HC41*HD41*VLOOKUP('Données projet'!$B$18,Paramètres!$A$1:$I$89,3,0)*0.475*44/12</f>
        <v>24.706162046953523</v>
      </c>
      <c r="HH41" s="21">
        <f>EXP(-LN(2)/25)*HH40+(1-EXP(-LN(2)/25))/(LN(2)/25)*Calculateur!HC41*Calculateur!HE41*VLOOKUP('Données projet'!$B$18,Paramètres!$A$1:$I$89,3,0)*0.475*44/12</f>
        <v>0</v>
      </c>
      <c r="HI41" s="21">
        <f>EXP(-LN(2)/2)*HI40+(1-EXP(-LN(2)/2))/(LN(2)/2)*HC41*HF41*VLOOKUP('Données projet'!$B$18,Paramètres!$A$1:$I$89,3,0)*0.475*44/12</f>
        <v>0</v>
      </c>
      <c r="HJ41" s="22">
        <f t="shared" si="30"/>
        <v>24.706162046953523</v>
      </c>
    </row>
    <row r="42" spans="1:218" x14ac:dyDescent="0.35">
      <c r="A42" s="10">
        <f t="shared" si="31"/>
        <v>39</v>
      </c>
      <c r="B42" s="72">
        <f>'Scénario référence'!$B$16*5+'Scénario référence'!$B$17*0+'Scénario référence'!$B$18*5</f>
        <v>5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66">
        <f t="shared" si="1"/>
        <v>183.33333333333334</v>
      </c>
      <c r="I42" s="6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12.86166666666667</v>
      </c>
      <c r="N42" s="13">
        <f>IF('Données projet'!$A$36&gt;35,N41+M42-V41,IF(A42&lt;'Données projet'!$A$36,$K$205^A42,IF(A42='Données projet'!$A$36,'Données projet'!$B$36,N41+M42-V41)))</f>
        <v>183.15666666666669</v>
      </c>
      <c r="O42" s="13">
        <f>N42*VLOOKUP('Données projet'!$B$9,Paramètres!$A$1:$I$89,3,0)*VLOOKUP('Données projet'!$B$9,Paramètres!$A$1:$I$89,5,0)</f>
        <v>165.72015200000001</v>
      </c>
      <c r="P42" s="13">
        <f t="shared" si="33"/>
        <v>42.130062193248868</v>
      </c>
      <c r="Q42" s="20">
        <f t="shared" si="53"/>
        <v>362.00578971990848</v>
      </c>
      <c r="R42" s="59">
        <f t="shared" si="0"/>
        <v>609.01518681001562</v>
      </c>
      <c r="S42" s="59">
        <f ca="1">AVERAGE(OFFSET($R$3,0,0,'Données projet'!$E$9+1,1))-AVERAGE(OFFSET($H$3,0,0,'Données projet'!$E$9+1,1))</f>
        <v>567.42635821507474</v>
      </c>
      <c r="T42" s="59">
        <f t="shared" si="34"/>
        <v>299.04735309930152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27.647072680057985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27.647072680057985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12.86166666666667</v>
      </c>
      <c r="AI42" s="13">
        <f>IF('Données projet'!$A$62&gt;35,AI41+AH42-AQ41,IF(A42&lt;'Données projet'!$A$62,$AF$205^A42,IF(A42='Données projet'!$A$62,'Données projet'!$B$62,AI41+AH42-AQ41)))</f>
        <v>183.15666666666669</v>
      </c>
      <c r="AJ42" s="13">
        <f>AI42*VLOOKUP('Données projet'!$B$10,Paramètres!$A$1:$I$89,3,0)*VLOOKUP('Données projet'!$B$10,Paramètres!$A$1:$I$89,5,0)</f>
        <v>185.72086000000004</v>
      </c>
      <c r="AK42" s="13">
        <f t="shared" si="35"/>
        <v>46.59264517316101</v>
      </c>
      <c r="AL42" s="20">
        <f t="shared" si="4"/>
        <v>404.61268817658879</v>
      </c>
      <c r="AM42" s="59">
        <f t="shared" si="5"/>
        <v>651.62208526669588</v>
      </c>
      <c r="AN42" s="59">
        <f ca="1">AVERAGE(OFFSET($AM$3,0,0,'Données projet'!$E$10+1,1))-AVERAGE(OFFSET($H$3,0,0,'Données projet'!$E$10+1,1))</f>
        <v>626.09203985591455</v>
      </c>
      <c r="AO42" s="59">
        <f t="shared" si="36"/>
        <v>327.65191296575199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30.983788348340841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30.983788348340841</v>
      </c>
      <c r="AY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10.4</v>
      </c>
      <c r="BD42" s="12">
        <f>IF('Données projet'!$A$88&gt;35,BD41+BC42-BL41,IF(A42&lt;'Données projet'!$A$88,$BA$205^A42,IF(A42='Données projet'!$A$88,'Données projet'!$B$88,BD41+BC42-BL41)))</f>
        <v>152.60000000000002</v>
      </c>
      <c r="BE42" s="13">
        <f>BD42*VLOOKUP('Données projet'!$B$11,Paramètres!$A$1:$I$89,3,0)*VLOOKUP('Données projet'!$B$11,Paramètres!$A$1:$I$89,5,0)</f>
        <v>130.93080000000003</v>
      </c>
      <c r="BF42" s="13">
        <f t="shared" si="37"/>
        <v>34.211350494649842</v>
      </c>
      <c r="BG42" s="20">
        <f t="shared" si="7"/>
        <v>287.62257877818189</v>
      </c>
      <c r="BH42" s="59">
        <f t="shared" si="8"/>
        <v>534.63197586828903</v>
      </c>
      <c r="BI42" s="59">
        <f ca="1">AVERAGE(OFFSET($BH$3,0,0,'Données projet'!$E$11+1,1))-AVERAGE(OFFSET($H$3,0,0,'Données projet'!$E$11+1,1))</f>
        <v>481.23392184981651</v>
      </c>
      <c r="BJ42" s="59">
        <f t="shared" si="38"/>
        <v>275.88160405468193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13.003638004832366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13.003638004832366</v>
      </c>
      <c r="BT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16.511666666666667</v>
      </c>
      <c r="BY42" s="12">
        <f>IF('Données projet'!$A$114&gt;35,BY41+BX42-CG41,IF(A42&lt;'Données projet'!$A$114,$BV$205^A42,IF(A42='Données projet'!$A$114,'Données projet'!$B$114,BY41+BX42-CG41)))</f>
        <v>294.9249999999999</v>
      </c>
      <c r="BZ42" s="13">
        <f>BY42*VLOOKUP('Données projet'!$B$12,Paramètres!$A$1:$I$89,3,0)*VLOOKUP('Données projet'!$B$12,Paramètres!$A$1:$I$89,5,0)</f>
        <v>138.02489999999995</v>
      </c>
      <c r="CA42" s="13">
        <f t="shared" si="39"/>
        <v>35.844164344221397</v>
      </c>
      <c r="CB42" s="20">
        <f t="shared" si="10"/>
        <v>302.82195373285214</v>
      </c>
      <c r="CC42" s="59">
        <f t="shared" si="11"/>
        <v>549.83135082295928</v>
      </c>
      <c r="CD42" s="59">
        <f ca="1">AVERAGE(OFFSET($CC$3,0,0,'Données projet'!$E$12+1,1))-AVERAGE(OFFSET($H$3,0,0,'Données projet'!$E$12+1,1))</f>
        <v>331.86732359395467</v>
      </c>
      <c r="CE42" s="59">
        <f t="shared" si="40"/>
        <v>208.64489375183106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0</v>
      </c>
      <c r="CO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11.4</v>
      </c>
      <c r="CT42" s="12">
        <f>IF('Données projet'!$A$140&gt;35,CT41+CS42-DB41,IF(A42&lt;'Données projet'!$A$140,$CQ$205^A42,IF(A42='Données projet'!$A$140,'Données projet'!$B$140,CT41+CS42-DB41)))</f>
        <v>216.6</v>
      </c>
      <c r="CU42" s="17">
        <f>CT42*VLOOKUP('Données projet'!$B$13,Paramètres!$A$1:$I$89,3,0)*VLOOKUP('Données projet'!$B$13,Paramètres!$A$1:$I$89,5,0)</f>
        <v>158.81111999999999</v>
      </c>
      <c r="CV42" s="13">
        <f t="shared" si="41"/>
        <v>40.57424391712447</v>
      </c>
      <c r="CW42" s="20">
        <f t="shared" si="13"/>
        <v>347.26284215565846</v>
      </c>
      <c r="CX42" s="59">
        <f t="shared" si="14"/>
        <v>594.2722392457656</v>
      </c>
      <c r="CY42" s="59">
        <f ca="1">AVERAGE(OFFSET($CX$3,0,0,'Données projet'!$E$13+1,1))-AVERAGE(OFFSET($H$3,0,0,'Données projet'!$E$13+1,1))</f>
        <v>352.45777291109863</v>
      </c>
      <c r="CZ42" s="59">
        <f t="shared" si="42"/>
        <v>340.92165104349181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11.269447859247942</v>
      </c>
      <c r="DG42" s="21">
        <f>EXP(-LN(2)/25)*DG41+(1-EXP(-LN(2)/25))/(LN(2)/25)*Calculateur!DB42*Calculateur!DD42*VLOOKUP('Données projet'!$B$13,Paramètres!$A$1:$I$89,3,0)*0.475*44/12</f>
        <v>0</v>
      </c>
      <c r="DH42" s="21">
        <f>EXP(-LN(2)/2)*DH41+(1-EXP(-LN(2)/2))/(LN(2)/2)*DB42*DE42*VLOOKUP('Données projet'!$B$13,Paramètres!$A$1:$I$89,3,0)*0.475*44/12</f>
        <v>0</v>
      </c>
      <c r="DI42" s="22">
        <f t="shared" si="15"/>
        <v>11.269447859247942</v>
      </c>
      <c r="DJ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12.86166666666667</v>
      </c>
      <c r="DO42" s="12">
        <f>IF('Données projet'!$A$166&gt;35,DO41+DN42-DW41,IF(A42&lt;'Données projet'!$A$166,$DL$205^A42,IF(A42='Données projet'!$A$166,'Données projet'!$B$166,DO41+DN42-DW41)))</f>
        <v>183.15666666666669</v>
      </c>
      <c r="DP42" s="17">
        <f>DO42*VLOOKUP('Données projet'!$B$14,Paramètres!$A$1:$I$89,3,0)*VLOOKUP('Données projet'!$B$14,Paramètres!$A$1:$I$89,5,0)</f>
        <v>122.86149200000003</v>
      </c>
      <c r="DQ42" s="13">
        <f t="shared" si="43"/>
        <v>32.341477201115048</v>
      </c>
      <c r="DR42" s="20">
        <f t="shared" si="16"/>
        <v>270.31183802527539</v>
      </c>
      <c r="DS42" s="59">
        <f t="shared" si="17"/>
        <v>517.32123511538248</v>
      </c>
      <c r="DT42" s="59">
        <f ca="1">AVERAGE(OFFSET($DS$3,0,0,'Données projet'!$E$14+1,1))-AVERAGE(OFFSET($H$3,0,0,'Données projet'!$E$14+1,1))</f>
        <v>441.20130048888439</v>
      </c>
      <c r="DU42" s="59">
        <f t="shared" si="44"/>
        <v>237.47732532183946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25.263704345570222</v>
      </c>
      <c r="EB42" s="21">
        <f>EXP(-LN(2)/25)*EB41+(1-EXP(-LN(2)/25))/(LN(2)/25)*Calculateur!DW42*Calculateur!DY42*VLOOKUP('Données projet'!$B$14,Paramètres!$A$1:$I$89,3,0)*0.475*44/12</f>
        <v>0</v>
      </c>
      <c r="EC42" s="21">
        <f>EXP(-LN(2)/2)*EC41+(1-EXP(-LN(2)/2))/(LN(2)/2)*DW42*DZ42*VLOOKUP('Données projet'!$B$14,Paramètres!$A$1:$I$89,3,0)*0.475*44/12</f>
        <v>0</v>
      </c>
      <c r="ED42" s="22">
        <f t="shared" si="18"/>
        <v>25.263704345570222</v>
      </c>
      <c r="EE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11.4</v>
      </c>
      <c r="EJ42" s="12">
        <f>IF('Données projet'!$A$192&gt;35,EJ41+EI42-ER41,IF(A42&lt;'Données projet'!$A$192,$EG$205^A42,IF(A42='Données projet'!$A$192,'Données projet'!$B$192,EJ41+EI42-ER41)))</f>
        <v>216.6</v>
      </c>
      <c r="EK42" s="17">
        <f>EJ42*VLOOKUP('Données projet'!$B$15,Paramètres!$A$1:$I$89,3,0)*VLOOKUP('Données projet'!$B$15,Paramètres!$A$1:$I$89,5,0)</f>
        <v>172.32695999999999</v>
      </c>
      <c r="EL42" s="13">
        <f t="shared" si="45"/>
        <v>43.61077213808133</v>
      </c>
      <c r="EM42" s="20">
        <f t="shared" si="19"/>
        <v>376.09155014049156</v>
      </c>
      <c r="EN42" s="59">
        <f t="shared" si="20"/>
        <v>623.10094723059865</v>
      </c>
      <c r="EO42" s="59">
        <f ca="1">AVERAGE(OFFSET($EN$3,0,0,'Données projet'!$E$15+1,1))-AVERAGE(OFFSET($H$3,0,0,'Données projet'!$E$15+1,1))</f>
        <v>377.27600411578322</v>
      </c>
      <c r="EP42" s="59">
        <f t="shared" si="46"/>
        <v>364.58250627635425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>
        <f>EXP(-LN(2)/35)*EV41+(1-EXP(-LN(2)/35))/(LN(2)/35)*ER42*ES42*VLOOKUP('Données projet'!$B$15,Paramètres!$A$1:$I$89,3,0)*0.475*44/12</f>
        <v>15.072398596510244</v>
      </c>
      <c r="EW42" s="21">
        <f>EXP(-LN(2)/25)*EW41+(1-EXP(-LN(2)/25))/(LN(2)/25)*Calculateur!ER42*Calculateur!ET42*VLOOKUP('Données projet'!$B$15,Paramètres!$A$1:$I$89,3,0)*0.475*44/12</f>
        <v>0</v>
      </c>
      <c r="EX42" s="21">
        <f>EXP(-LN(2)/2)*EX41+(1-EXP(-LN(2)/2))/(LN(2)/2)*ER42*EU42*VLOOKUP('Données projet'!$B$15,Paramètres!$A$1:$I$89,3,0)*0.475*44/12</f>
        <v>0</v>
      </c>
      <c r="EY42" s="22">
        <f t="shared" si="21"/>
        <v>15.072398596510244</v>
      </c>
      <c r="EZ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11.4</v>
      </c>
      <c r="FE42" s="12">
        <f>IF('Données projet'!$A$218&gt;35,FE41+FD42-FM41,IF(A42&lt;'Données projet'!$A$218,$FB$205^A42,IF(A42='Données projet'!$A$218,'Données projet'!$B$218,FE41+FD42-FM41)))</f>
        <v>216.6</v>
      </c>
      <c r="FF42" s="17">
        <f>FE42*VLOOKUP('Données projet'!$B$16,Paramètres!$A$1:$I$89,3,0)*VLOOKUP('Données projet'!$B$16,Paramètres!$A$1:$I$89,5,0)</f>
        <v>175.70592000000002</v>
      </c>
      <c r="FG42" s="13">
        <f t="shared" si="47"/>
        <v>44.365494122468341</v>
      </c>
      <c r="FH42" s="20">
        <f t="shared" si="22"/>
        <v>383.29104626329899</v>
      </c>
      <c r="FI42" s="59">
        <f t="shared" si="23"/>
        <v>630.30044335340608</v>
      </c>
      <c r="FJ42" s="59">
        <f ca="1">AVERAGE(OFFSET($FI$3,0,0,'Données projet'!$E$16+1,1))-AVERAGE(OFFSET($H$3,0,0,'Données projet'!$E$16+1,1))</f>
        <v>383.47399633251354</v>
      </c>
      <c r="FK42" s="59">
        <f t="shared" si="48"/>
        <v>370.49129421395628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>
        <f>EXP(-LN(2)/35)*FQ41+(1-EXP(-LN(2)/35))/(LN(2)/35)*FM42*FN42*VLOOKUP('Données projet'!$B$16,Paramètres!$A$1:$I$89,3,0)*0.475*44/12</f>
        <v>15.367935823892799</v>
      </c>
      <c r="FR42" s="21">
        <f>EXP(-LN(2)/25)*FR41+(1-EXP(-LN(2)/25))/(LN(2)/25)*Calculateur!FM42*Calculateur!FO42*VLOOKUP('Données projet'!$B$16,Paramètres!$A$1:$I$89,3,0)*0.475*44/12</f>
        <v>0</v>
      </c>
      <c r="FS42" s="21">
        <f>EXP(-LN(2)/2)*FS41+(1-EXP(-LN(2)/2))/(LN(2)/2)*FM42*FP42*VLOOKUP('Données projet'!$B$16,Paramètres!$A$1:$I$89,3,0)*0.475*44/12</f>
        <v>0</v>
      </c>
      <c r="FT42" s="22">
        <f t="shared" si="24"/>
        <v>15.367935823892799</v>
      </c>
      <c r="FU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12.86166666666667</v>
      </c>
      <c r="FZ42" s="12">
        <f>IF('Données projet'!$A$244&gt;35,FZ41+FY42-GH41,IF(A42&lt;'Données projet'!$A$244,$FW$205^A42,IF(A42='Données projet'!$A$244,'Données projet'!$B$244,FZ41+FY42-GH41)))</f>
        <v>183.15666666666669</v>
      </c>
      <c r="GA42" s="17">
        <f>FZ42*VLOOKUP('Données projet'!$B$17,Paramètres!$A$1:$I$89,3,0)*VLOOKUP('Données projet'!$B$17,Paramètres!$A$1:$I$89,5,0)</f>
        <v>174.29188400000004</v>
      </c>
      <c r="GB42" s="13">
        <f t="shared" si="49"/>
        <v>44.04986353748501</v>
      </c>
      <c r="GC42" s="20">
        <f t="shared" si="25"/>
        <v>380.27854362778641</v>
      </c>
      <c r="GD42" s="59">
        <f t="shared" si="26"/>
        <v>627.28794071789355</v>
      </c>
      <c r="GE42" s="59">
        <f ca="1">AVERAGE(OFFSET($GD$3,0,0,'Données projet'!$E$17+1,1))-AVERAGE(OFFSET($H$3,0,0,'Données projet'!$E$17+1,1))</f>
        <v>592.58528889137358</v>
      </c>
      <c r="GF42" s="59">
        <f t="shared" si="50"/>
        <v>311.31528020403709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>
        <f>EXP(-LN(2)/35)*GL41+(1-EXP(-LN(2)/35))/(LN(2)/35)*GH42*GI42*VLOOKUP('Données projet'!$B$17,Paramètres!$A$1:$I$89,3,0)*0.475*44/12</f>
        <v>29.077093680750636</v>
      </c>
      <c r="GM42" s="21">
        <f>EXP(-LN(2)/25)*GM41+(1-EXP(-LN(2)/25))/(LN(2)/25)*Calculateur!GH42*Calculateur!GJ42*VLOOKUP('Données projet'!$B$17,Paramètres!$A$1:$I$89,3,0)*0.475*44/12</f>
        <v>0</v>
      </c>
      <c r="GN42" s="21">
        <f>EXP(-LN(2)/2)*GN41+(1-EXP(-LN(2)/2))/(LN(2)/2)*GH42*GK42*VLOOKUP('Données projet'!$B$17,Paramètres!$A$1:$I$89,3,0)*0.475*44/12</f>
        <v>0</v>
      </c>
      <c r="GO42" s="21">
        <f t="shared" si="27"/>
        <v>29.077093680750636</v>
      </c>
      <c r="GP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11.142857142857142</v>
      </c>
      <c r="GU42" s="12">
        <f>IF('Données projet'!$A$270&gt;35,GU41+GT42-HC41,IF(A42&lt;'Données projet'!$A$270,$GR$205^A42,IF(A42='Données projet'!$A$270,'Données projet'!$B$270,GU41+GT42-HC41)))</f>
        <v>174.28571428571422</v>
      </c>
      <c r="GV42" s="17">
        <f>GU42*VLOOKUP('Données projet'!$B$18,Paramètres!$A$1:$I$89,3,0)*VLOOKUP('Données projet'!$B$18,Paramètres!$A$1:$I$89,5,0)</f>
        <v>135.94285714285709</v>
      </c>
      <c r="GW42" s="13">
        <f t="shared" si="51"/>
        <v>35.365986273808367</v>
      </c>
      <c r="GX42" s="20">
        <f t="shared" si="28"/>
        <v>298.36290228402567</v>
      </c>
      <c r="GY42" s="59">
        <f t="shared" si="29"/>
        <v>545.37229937413281</v>
      </c>
      <c r="GZ42" s="59">
        <f ca="1">AVERAGE(OFFSET($GY$3,0,0,'Données projet'!$E$18+1,1))-AVERAGE(OFFSET($H$3,0,0,'Données projet'!$E$18+1,1))</f>
        <v>308.85018589589453</v>
      </c>
      <c r="HA42" s="59">
        <f t="shared" si="52"/>
        <v>302.59481222418219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>
        <f>EXP(-LN(2)/35)*HG41+(1-EXP(-LN(2)/35))/(LN(2)/35)*HC42*HD42*VLOOKUP('Données projet'!$B$18,Paramètres!$A$1:$I$89,3,0)*0.475*44/12</f>
        <v>24.221689278483645</v>
      </c>
      <c r="HH42" s="21">
        <f>EXP(-LN(2)/25)*HH41+(1-EXP(-LN(2)/25))/(LN(2)/25)*Calculateur!HC42*Calculateur!HE42*VLOOKUP('Données projet'!$B$18,Paramètres!$A$1:$I$89,3,0)*0.475*44/12</f>
        <v>0</v>
      </c>
      <c r="HI42" s="21">
        <f>EXP(-LN(2)/2)*HI41+(1-EXP(-LN(2)/2))/(LN(2)/2)*HC42*HF42*VLOOKUP('Données projet'!$B$18,Paramètres!$A$1:$I$89,3,0)*0.475*44/12</f>
        <v>0</v>
      </c>
      <c r="HJ42" s="22">
        <f t="shared" si="30"/>
        <v>24.221689278483645</v>
      </c>
    </row>
    <row r="43" spans="1:218" x14ac:dyDescent="0.35">
      <c r="A43" s="10">
        <f t="shared" si="31"/>
        <v>40</v>
      </c>
      <c r="B43" s="72">
        <f>'Scénario référence'!$B$16*5+'Scénario référence'!$B$17*0+'Scénario référence'!$B$18*5</f>
        <v>5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66">
        <f t="shared" si="1"/>
        <v>183.33333333333334</v>
      </c>
      <c r="I43" s="6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12.86166666666667</v>
      </c>
      <c r="N43" s="13">
        <f>IF('Données projet'!$A$36&gt;35,N42+M43-V42,IF(A43&lt;'Données projet'!$A$36,$K$205^A43,IF(A43='Données projet'!$A$36,'Données projet'!$B$36,N42+M43-V42)))</f>
        <v>196.01833333333337</v>
      </c>
      <c r="O43" s="13">
        <f>N43*VLOOKUP('Données projet'!$B$9,Paramètres!$A$1:$I$89,3,0)*VLOOKUP('Données projet'!$B$9,Paramètres!$A$1:$I$89,5,0)</f>
        <v>177.35738800000004</v>
      </c>
      <c r="P43" s="13">
        <f t="shared" si="33"/>
        <v>44.733748562033469</v>
      </c>
      <c r="Q43" s="20">
        <f t="shared" si="53"/>
        <v>386.80872951220834</v>
      </c>
      <c r="R43" s="59">
        <f t="shared" si="0"/>
        <v>634.62174333132918</v>
      </c>
      <c r="S43" s="59">
        <f ca="1">AVERAGE(OFFSET($R$3,0,0,'Données projet'!$E$9+1,1))-AVERAGE(OFFSET($H$3,0,0,'Données projet'!$E$9+1,1))</f>
        <v>567.42635821507474</v>
      </c>
      <c r="T43" s="59">
        <f t="shared" si="34"/>
        <v>299.04735309930152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27.104930447851295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27.104930447851295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12.86166666666667</v>
      </c>
      <c r="AI43" s="13">
        <f>IF('Données projet'!$A$62&gt;35,AI42+AH43-AQ42,IF(A43&lt;'Données projet'!$A$62,$AF$205^A43,IF(A43='Données projet'!$A$62,'Données projet'!$B$62,AI42+AH43-AQ42)))</f>
        <v>196.01833333333337</v>
      </c>
      <c r="AJ43" s="13">
        <f>AI43*VLOOKUP('Données projet'!$B$10,Paramètres!$A$1:$I$89,3,0)*VLOOKUP('Données projet'!$B$10,Paramètres!$A$1:$I$89,5,0)</f>
        <v>198.76259000000005</v>
      </c>
      <c r="AK43" s="13">
        <f t="shared" si="35"/>
        <v>49.47212431008991</v>
      </c>
      <c r="AL43" s="20">
        <f t="shared" si="4"/>
        <v>432.34212742340668</v>
      </c>
      <c r="AM43" s="59">
        <f t="shared" si="5"/>
        <v>680.15514124252752</v>
      </c>
      <c r="AN43" s="59">
        <f ca="1">AVERAGE(OFFSET($AM$3,0,0,'Données projet'!$E$10+1,1))-AVERAGE(OFFSET($H$3,0,0,'Données projet'!$E$10+1,1))</f>
        <v>626.09203985591455</v>
      </c>
      <c r="AO43" s="59">
        <f t="shared" si="36"/>
        <v>327.65191296575199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30.376215157074721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30.376215157074721</v>
      </c>
      <c r="AY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163</v>
      </c>
      <c r="BB43" s="12">
        <f>VLOOKUP(A43,'Données projet'!$A$87:$I$107,9,0)</f>
        <v>10.4</v>
      </c>
      <c r="BC43" s="12">
        <f t="array" ref="BC43">INDEX(BB:BB,MIN(IF(ISNUMBER(BB43:BB239),ROW(BB43:BB239),"")))</f>
        <v>10.4</v>
      </c>
      <c r="BD43" s="12">
        <f>IF('Données projet'!$A$88&gt;35,BD42+BC43-BL42,IF(A43&lt;'Données projet'!$A$88,$BA$205^A43,IF(A43='Données projet'!$A$88,'Données projet'!$B$88,BD42+BC43-BL42)))</f>
        <v>163.00000000000003</v>
      </c>
      <c r="BE43" s="13">
        <f>BD43*VLOOKUP('Données projet'!$B$11,Paramètres!$A$1:$I$89,3,0)*VLOOKUP('Données projet'!$B$11,Paramètres!$A$1:$I$89,5,0)</f>
        <v>139.85400000000004</v>
      </c>
      <c r="BF43" s="13">
        <f t="shared" si="37"/>
        <v>36.263556914404674</v>
      </c>
      <c r="BG43" s="20">
        <f t="shared" si="7"/>
        <v>306.73807829258823</v>
      </c>
      <c r="BH43" s="59">
        <f t="shared" si="8"/>
        <v>554.55109211170907</v>
      </c>
      <c r="BI43" s="59">
        <f ca="1">AVERAGE(OFFSET($BH$3,0,0,'Données projet'!$E$11+1,1))-AVERAGE(OFFSET($H$3,0,0,'Données projet'!$E$11+1,1))</f>
        <v>481.23392184981651</v>
      </c>
      <c r="BJ43" s="59">
        <f t="shared" si="38"/>
        <v>275.88160405468193</v>
      </c>
      <c r="BK43" s="15">
        <f>IF(ISNA(VLOOKUP(A43,'Données projet'!$A$87:$I$107,3,0)),0,VLOOKUP(A43,'Données projet'!$A$87:$I$107,3,0))</f>
        <v>4</v>
      </c>
      <c r="BL43" s="15">
        <f>IF(ISNA(VLOOKUP(A43,'Données projet'!$A$87:$I$107,4,0)),0,VLOOKUP(A43,'Données projet'!$A$87:$I$107,4,0))</f>
        <v>28</v>
      </c>
      <c r="BM43" s="16">
        <f>IF(ISNA(VLOOKUP(A43,'Données projet'!$A$87:$I$107,5,0)),0%,VLOOKUP(A43,'Données projet'!$A$87:$I$107,5,0)*VLOOKUP('Données projet'!$B$11,Paramètres!$A$1:$I$89,7,0))</f>
        <v>0.53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26.82428940588041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26.82428940588041</v>
      </c>
      <c r="BT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16.511666666666667</v>
      </c>
      <c r="BY43" s="12">
        <f>IF('Données projet'!$A$114&gt;35,BY42+BX43-CG42,IF(A43&lt;'Données projet'!$A$114,$BV$205^A43,IF(A43='Données projet'!$A$114,'Données projet'!$B$114,BY42+BX43-CG42)))</f>
        <v>311.43666666666655</v>
      </c>
      <c r="BZ43" s="13">
        <f>BY43*VLOOKUP('Données projet'!$B$12,Paramètres!$A$1:$I$89,3,0)*VLOOKUP('Données projet'!$B$12,Paramètres!$A$1:$I$89,5,0)</f>
        <v>145.75235999999995</v>
      </c>
      <c r="CA43" s="13">
        <f t="shared" si="39"/>
        <v>37.611686286811327</v>
      </c>
      <c r="CB43" s="20">
        <f t="shared" si="10"/>
        <v>319.359047282863</v>
      </c>
      <c r="CC43" s="59">
        <f t="shared" si="11"/>
        <v>567.17206110198379</v>
      </c>
      <c r="CD43" s="59">
        <f ca="1">AVERAGE(OFFSET($CC$3,0,0,'Données projet'!$E$12+1,1))-AVERAGE(OFFSET($H$3,0,0,'Données projet'!$E$12+1,1))</f>
        <v>331.86732359395467</v>
      </c>
      <c r="CE43" s="59">
        <f t="shared" si="40"/>
        <v>208.64489375183106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0</v>
      </c>
      <c r="CL43" s="21">
        <f>EXP(-LN(2)/25)*CL42+(1-EXP(-LN(2)/25))/(LN(2)/25)*Calculateur!CG43*Calculateur!CI43*VLOOKUP('Données projet'!$B$12,Paramètres!$A$1:$I$89,3,0)*0.475*44/12</f>
        <v>0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0</v>
      </c>
      <c r="CO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>
        <f>VLOOKUP(A43,'Données projet'!$A$139:$I$159,2,0)</f>
        <v>228</v>
      </c>
      <c r="CR43" s="12">
        <f>VLOOKUP(A43,'Données projet'!$A$139:$I$159,9,0)</f>
        <v>11.4</v>
      </c>
      <c r="CS43" s="12">
        <f t="array" ref="CS43">INDEX(CR:CR,MIN(IF(ISNUMBER(CR43:CR239),ROW(CR43:CR239),"")))</f>
        <v>11.4</v>
      </c>
      <c r="CT43" s="12">
        <f>IF('Données projet'!$A$140&gt;35,CT42+CS43-DB42,IF(A43&lt;'Données projet'!$A$140,$CQ$205^A43,IF(A43='Données projet'!$A$140,'Données projet'!$B$140,CT42+CS43-DB42)))</f>
        <v>228</v>
      </c>
      <c r="CU43" s="17">
        <f>CT43*VLOOKUP('Données projet'!$B$13,Paramètres!$A$1:$I$89,3,0)*VLOOKUP('Données projet'!$B$13,Paramètres!$A$1:$I$89,5,0)</f>
        <v>167.1696</v>
      </c>
      <c r="CV43" s="13">
        <f t="shared" si="41"/>
        <v>42.455490039298851</v>
      </c>
      <c r="CW43" s="20">
        <f t="shared" si="13"/>
        <v>365.09703181844549</v>
      </c>
      <c r="CX43" s="59">
        <f t="shared" si="14"/>
        <v>612.91004563756633</v>
      </c>
      <c r="CY43" s="59">
        <f ca="1">AVERAGE(OFFSET($CX$3,0,0,'Données projet'!$E$13+1,1))-AVERAGE(OFFSET($H$3,0,0,'Données projet'!$E$13+1,1))</f>
        <v>352.45777291109863</v>
      </c>
      <c r="CZ43" s="59">
        <f t="shared" si="42"/>
        <v>340.92165104349181</v>
      </c>
      <c r="DA43" s="15">
        <f>IF(ISNA(VLOOKUP(A43,'Données projet'!$A$139:$I$159,3,0)),0,VLOOKUP(A43,'Données projet'!$A$139:$I$159,3,0))</f>
        <v>6</v>
      </c>
      <c r="DB43" s="15">
        <f>IF(ISNA(VLOOKUP(A43,'Données projet'!$A$139:$I$159,4,0)),0,VLOOKUP(A43,'Données projet'!$A$139:$I$159,4,0))</f>
        <v>35</v>
      </c>
      <c r="DC43" s="16">
        <f>IF(ISNA(VLOOKUP(A43,'Données projet'!$A$139:$I$159,5,0)),0%,VLOOKUP(A43,'Données projet'!$A$139:$I$159,5,0)*VLOOKUP('Données projet'!$B$13,Paramètres!$A$1:$I$89,7,0))</f>
        <v>0.43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23.246950638629624</v>
      </c>
      <c r="DG43" s="21">
        <f>EXP(-LN(2)/25)*DG42+(1-EXP(-LN(2)/25))/(LN(2)/25)*Calculateur!DB43*Calculateur!DD43*VLOOKUP('Données projet'!$B$13,Paramètres!$A$1:$I$89,3,0)*0.475*44/12</f>
        <v>0</v>
      </c>
      <c r="DH43" s="21">
        <f>EXP(-LN(2)/2)*DH42+(1-EXP(-LN(2)/2))/(LN(2)/2)*DB43*DE43*VLOOKUP('Données projet'!$B$13,Paramètres!$A$1:$I$89,3,0)*0.475*44/12</f>
        <v>0</v>
      </c>
      <c r="DI43" s="22">
        <f t="shared" si="15"/>
        <v>23.246950638629624</v>
      </c>
      <c r="DJ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12.86166666666667</v>
      </c>
      <c r="DO43" s="12">
        <f>IF('Données projet'!$A$166&gt;35,DO42+DN43-DW42,IF(A43&lt;'Données projet'!$A$166,$DL$205^A43,IF(A43='Données projet'!$A$166,'Données projet'!$B$166,DO42+DN43-DW42)))</f>
        <v>196.01833333333337</v>
      </c>
      <c r="DP43" s="17">
        <f>DO43*VLOOKUP('Données projet'!$B$14,Paramètres!$A$1:$I$89,3,0)*VLOOKUP('Données projet'!$B$14,Paramètres!$A$1:$I$89,5,0)</f>
        <v>131.48909800000004</v>
      </c>
      <c r="DQ43" s="13">
        <f t="shared" si="43"/>
        <v>34.340217742931678</v>
      </c>
      <c r="DR43" s="20">
        <f t="shared" si="16"/>
        <v>288.81939158560607</v>
      </c>
      <c r="DS43" s="59">
        <f t="shared" si="17"/>
        <v>536.63240540472691</v>
      </c>
      <c r="DT43" s="59">
        <f ca="1">AVERAGE(OFFSET($DS$3,0,0,'Données projet'!$E$14+1,1))-AVERAGE(OFFSET($H$3,0,0,'Données projet'!$E$14+1,1))</f>
        <v>441.20130048888439</v>
      </c>
      <c r="DU43" s="59">
        <f t="shared" si="44"/>
        <v>237.47732532183946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24.768298512691693</v>
      </c>
      <c r="EB43" s="21">
        <f>EXP(-LN(2)/25)*EB42+(1-EXP(-LN(2)/25))/(LN(2)/25)*Calculateur!DW43*Calculateur!DY43*VLOOKUP('Données projet'!$B$14,Paramètres!$A$1:$I$89,3,0)*0.475*44/12</f>
        <v>0</v>
      </c>
      <c r="EC43" s="21">
        <f>EXP(-LN(2)/2)*EC42+(1-EXP(-LN(2)/2))/(LN(2)/2)*DW43*DZ43*VLOOKUP('Données projet'!$B$14,Paramètres!$A$1:$I$89,3,0)*0.475*44/12</f>
        <v>0</v>
      </c>
      <c r="ED43" s="22">
        <f t="shared" si="18"/>
        <v>24.768298512691693</v>
      </c>
      <c r="EE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>
        <f>VLOOKUP(A43,'Données projet'!$A$191:$I$211,2,0)</f>
        <v>228</v>
      </c>
      <c r="EH43" s="12">
        <f>VLOOKUP(A43,'Données projet'!$A$191:$I$211,9,0)</f>
        <v>11.4</v>
      </c>
      <c r="EI43" s="12">
        <f t="array" ref="EI43">INDEX(EH:EH,MIN(IF(ISNUMBER(EH43:EH239),ROW(EH43:EH239),"")))</f>
        <v>11.4</v>
      </c>
      <c r="EJ43" s="12">
        <f>IF('Données projet'!$A$192&gt;35,EJ42+EI43-ER42,IF(A43&lt;'Données projet'!$A$192,$EG$205^A43,IF(A43='Données projet'!$A$192,'Données projet'!$B$192,EJ42+EI43-ER42)))</f>
        <v>228</v>
      </c>
      <c r="EK43" s="17">
        <f>EJ43*VLOOKUP('Données projet'!$B$15,Paramètres!$A$1:$I$89,3,0)*VLOOKUP('Données projet'!$B$15,Paramètres!$A$1:$I$89,5,0)</f>
        <v>181.39680000000001</v>
      </c>
      <c r="EL43" s="13">
        <f t="shared" si="45"/>
        <v>45.63280848550832</v>
      </c>
      <c r="EM43" s="20">
        <f t="shared" si="19"/>
        <v>395.40990144559368</v>
      </c>
      <c r="EN43" s="59">
        <f t="shared" si="20"/>
        <v>643.22291526471452</v>
      </c>
      <c r="EO43" s="59">
        <f ca="1">AVERAGE(OFFSET($EN$3,0,0,'Données projet'!$E$15+1,1))-AVERAGE(OFFSET($H$3,0,0,'Données projet'!$E$15+1,1))</f>
        <v>377.27600411578322</v>
      </c>
      <c r="EP43" s="59">
        <f t="shared" si="46"/>
        <v>364.58250627635425</v>
      </c>
      <c r="EQ43" s="15">
        <f>IF(ISNA(VLOOKUP(A43,'Données projet'!$A$191:$I$211,3,0)),0,VLOOKUP(A43,'Données projet'!$A$191:$I$211,3,0))</f>
        <v>6</v>
      </c>
      <c r="ER43" s="15">
        <f>IF(ISNA(VLOOKUP(A43,'Données projet'!$A$191:$I$211,4,0)),0,VLOOKUP(A43,'Données projet'!$A$191:$I$211,4,0))</f>
        <v>35</v>
      </c>
      <c r="ES43" s="16">
        <f>IF(ISNA(VLOOKUP(A43,'Données projet'!$A$191:$I$211,5,0)),0%,VLOOKUP(A43,'Données projet'!$A$191:$I$211,5,0)*VLOOKUP('Données projet'!$B$15,Paramètres!$A$1:$I$89,7,0))</f>
        <v>0.53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>
        <f>EXP(-LN(2)/35)*EV42+(1-EXP(-LN(2)/35))/(LN(2)/35)*ER43*ES43*VLOOKUP('Données projet'!$B$15,Paramètres!$A$1:$I$89,3,0)*0.475*44/12</f>
        <v>31.091789993179567</v>
      </c>
      <c r="EW43" s="21">
        <f>EXP(-LN(2)/25)*EW42+(1-EXP(-LN(2)/25))/(LN(2)/25)*Calculateur!ER43*Calculateur!ET43*VLOOKUP('Données projet'!$B$15,Paramètres!$A$1:$I$89,3,0)*0.475*44/12</f>
        <v>0</v>
      </c>
      <c r="EX43" s="21">
        <f>EXP(-LN(2)/2)*EX42+(1-EXP(-LN(2)/2))/(LN(2)/2)*ER43*EU43*VLOOKUP('Données projet'!$B$15,Paramètres!$A$1:$I$89,3,0)*0.475*44/12</f>
        <v>0</v>
      </c>
      <c r="EY43" s="22">
        <f t="shared" si="21"/>
        <v>31.091789993179567</v>
      </c>
      <c r="EZ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>
        <f>VLOOKUP(A43,'Données projet'!$A$217:$I$237,2,0)</f>
        <v>228</v>
      </c>
      <c r="FC43" s="12">
        <f>VLOOKUP(A43,'Données projet'!$A$217:$I$237,9,0)</f>
        <v>11.4</v>
      </c>
      <c r="FD43" s="12">
        <f t="array" ref="FD43">INDEX(FC:FC,MIN(IF(ISNUMBER(FC43:FC239),ROW(FC43:FC239),"")))</f>
        <v>11.4</v>
      </c>
      <c r="FE43" s="12">
        <f>IF('Données projet'!$A$218&gt;35,FE42+FD43-FM42,IF(A43&lt;'Données projet'!$A$218,$FB$205^A43,IF(A43='Données projet'!$A$218,'Données projet'!$B$218,FE42+FD43-FM42)))</f>
        <v>228</v>
      </c>
      <c r="FF43" s="17">
        <f>FE43*VLOOKUP('Données projet'!$B$16,Paramètres!$A$1:$I$89,3,0)*VLOOKUP('Données projet'!$B$16,Paramètres!$A$1:$I$89,5,0)</f>
        <v>184.95360000000002</v>
      </c>
      <c r="FG43" s="13">
        <f t="shared" si="47"/>
        <v>46.42252355095799</v>
      </c>
      <c r="FH43" s="20">
        <f t="shared" si="22"/>
        <v>402.9800818512519</v>
      </c>
      <c r="FI43" s="59">
        <f t="shared" si="23"/>
        <v>650.79309567037274</v>
      </c>
      <c r="FJ43" s="59">
        <f ca="1">AVERAGE(OFFSET($FI$3,0,0,'Données projet'!$E$16+1,1))-AVERAGE(OFFSET($H$3,0,0,'Données projet'!$E$16+1,1))</f>
        <v>383.47399633251354</v>
      </c>
      <c r="FK43" s="59">
        <f t="shared" si="48"/>
        <v>370.49129421395628</v>
      </c>
      <c r="FL43" s="15">
        <f>IF(ISNA(VLOOKUP(A43,'Données projet'!$A$217:$I$237,3,0)),0,VLOOKUP(A43,'Données projet'!$A$217:$I$237,3,0))</f>
        <v>6</v>
      </c>
      <c r="FM43" s="15">
        <f>IF(ISNA(VLOOKUP(A43,'Données projet'!$A$217:$I$237,4,0)),0,VLOOKUP(A43,'Données projet'!$A$217:$I$237,4,0))</f>
        <v>35</v>
      </c>
      <c r="FN43" s="16">
        <f>IF(ISNA(VLOOKUP(A43,'Données projet'!$A$217:$I$237,5,0)),0%,VLOOKUP(A43,'Données projet'!$A$217:$I$237,5,0)*VLOOKUP('Données projet'!$B$16,Paramètres!$A$1:$I$89,7,0))</f>
        <v>0.53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>
        <f>EXP(-LN(2)/35)*FQ42+(1-EXP(-LN(2)/35))/(LN(2)/35)*FM43*FN43*VLOOKUP('Données projet'!$B$16,Paramètres!$A$1:$I$89,3,0)*0.475*44/12</f>
        <v>31.701432934222304</v>
      </c>
      <c r="FR43" s="21">
        <f>EXP(-LN(2)/25)*FR42+(1-EXP(-LN(2)/25))/(LN(2)/25)*Calculateur!FM43*Calculateur!FO43*VLOOKUP('Données projet'!$B$16,Paramètres!$A$1:$I$89,3,0)*0.475*44/12</f>
        <v>0</v>
      </c>
      <c r="FS43" s="21">
        <f>EXP(-LN(2)/2)*FS42+(1-EXP(-LN(2)/2))/(LN(2)/2)*FM43*FP43*VLOOKUP('Données projet'!$B$16,Paramètres!$A$1:$I$89,3,0)*0.475*44/12</f>
        <v>0</v>
      </c>
      <c r="FT43" s="22">
        <f t="shared" si="24"/>
        <v>31.701432934222304</v>
      </c>
      <c r="FU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12.86166666666667</v>
      </c>
      <c r="FZ43" s="12">
        <f>IF('Données projet'!$A$244&gt;35,FZ42+FY43-GH42,IF(A43&lt;'Données projet'!$A$244,$FW$205^A43,IF(A43='Données projet'!$A$244,'Données projet'!$B$244,FZ42+FY43-GH42)))</f>
        <v>196.01833333333337</v>
      </c>
      <c r="GA43" s="17">
        <f>FZ43*VLOOKUP('Données projet'!$B$17,Paramètres!$A$1:$I$89,3,0)*VLOOKUP('Données projet'!$B$17,Paramètres!$A$1:$I$89,5,0)</f>
        <v>186.53104600000003</v>
      </c>
      <c r="GB43" s="13">
        <f t="shared" si="49"/>
        <v>46.772195840563178</v>
      </c>
      <c r="GC43" s="20">
        <f t="shared" si="25"/>
        <v>406.33647953898088</v>
      </c>
      <c r="GD43" s="59">
        <f t="shared" si="26"/>
        <v>654.14949335810172</v>
      </c>
      <c r="GE43" s="59">
        <f ca="1">AVERAGE(OFFSET($GD$3,0,0,'Données projet'!$E$17+1,1))-AVERAGE(OFFSET($H$3,0,0,'Données projet'!$E$17+1,1))</f>
        <v>592.58528889137358</v>
      </c>
      <c r="GF43" s="59">
        <f t="shared" si="50"/>
        <v>311.31528020403709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>
        <f>EXP(-LN(2)/35)*GL42+(1-EXP(-LN(2)/35))/(LN(2)/35)*GH43*GI43*VLOOKUP('Données projet'!$B$17,Paramètres!$A$1:$I$89,3,0)*0.475*44/12</f>
        <v>28.506909608947048</v>
      </c>
      <c r="GM43" s="21">
        <f>EXP(-LN(2)/25)*GM42+(1-EXP(-LN(2)/25))/(LN(2)/25)*Calculateur!GH43*Calculateur!GJ43*VLOOKUP('Données projet'!$B$17,Paramètres!$A$1:$I$89,3,0)*0.475*44/12</f>
        <v>0</v>
      </c>
      <c r="GN43" s="21">
        <f>EXP(-LN(2)/2)*GN42+(1-EXP(-LN(2)/2))/(LN(2)/2)*GH43*GK43*VLOOKUP('Données projet'!$B$17,Paramètres!$A$1:$I$89,3,0)*0.475*44/12</f>
        <v>0</v>
      </c>
      <c r="GO43" s="21">
        <f t="shared" si="27"/>
        <v>28.506909608947048</v>
      </c>
      <c r="GP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11.142857142857142</v>
      </c>
      <c r="GU43" s="12">
        <f>IF('Données projet'!$A$270&gt;35,GU42+GT43-HC42,IF(A43&lt;'Données projet'!$A$270,$GR$205^A43,IF(A43='Données projet'!$A$270,'Données projet'!$B$270,GU42+GT43-HC42)))</f>
        <v>185.42857142857136</v>
      </c>
      <c r="GV43" s="17">
        <f>GU43*VLOOKUP('Données projet'!$B$18,Paramètres!$A$1:$I$89,3,0)*VLOOKUP('Données projet'!$B$18,Paramètres!$A$1:$I$89,5,0)</f>
        <v>144.63428571428565</v>
      </c>
      <c r="GW43" s="13">
        <f t="shared" si="51"/>
        <v>37.356634728420524</v>
      </c>
      <c r="GX43" s="20">
        <f t="shared" si="28"/>
        <v>316.96751977104657</v>
      </c>
      <c r="GY43" s="59">
        <f t="shared" si="29"/>
        <v>564.78053359016735</v>
      </c>
      <c r="GZ43" s="59">
        <f ca="1">AVERAGE(OFFSET($GY$3,0,0,'Données projet'!$E$18+1,1))-AVERAGE(OFFSET($H$3,0,0,'Données projet'!$E$18+1,1))</f>
        <v>308.85018589589453</v>
      </c>
      <c r="HA43" s="59">
        <f t="shared" si="52"/>
        <v>302.59481222418219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>
        <f>EXP(-LN(2)/35)*HG42+(1-EXP(-LN(2)/35))/(LN(2)/35)*HC43*HD43*VLOOKUP('Données projet'!$B$18,Paramètres!$A$1:$I$89,3,0)*0.475*44/12</f>
        <v>23.74671672550425</v>
      </c>
      <c r="HH43" s="21">
        <f>EXP(-LN(2)/25)*HH42+(1-EXP(-LN(2)/25))/(LN(2)/25)*Calculateur!HC43*Calculateur!HE43*VLOOKUP('Données projet'!$B$18,Paramètres!$A$1:$I$89,3,0)*0.475*44/12</f>
        <v>0</v>
      </c>
      <c r="HI43" s="21">
        <f>EXP(-LN(2)/2)*HI42+(1-EXP(-LN(2)/2))/(LN(2)/2)*HC43*HF43*VLOOKUP('Données projet'!$B$18,Paramètres!$A$1:$I$89,3,0)*0.475*44/12</f>
        <v>0</v>
      </c>
      <c r="HJ43" s="22">
        <f t="shared" si="30"/>
        <v>23.74671672550425</v>
      </c>
    </row>
    <row r="44" spans="1:218" x14ac:dyDescent="0.35">
      <c r="A44" s="10">
        <f t="shared" si="31"/>
        <v>41</v>
      </c>
      <c r="B44" s="72">
        <f>'Scénario référence'!$B$16*5+'Scénario référence'!$B$17*0+'Scénario référence'!$B$18*5</f>
        <v>5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66">
        <f t="shared" si="1"/>
        <v>183.33333333333334</v>
      </c>
      <c r="I44" s="6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>
        <f>VLOOKUP(A44,'Données projet'!$A$35:$I$55,2,0)</f>
        <v>208.88</v>
      </c>
      <c r="L44" s="12">
        <f>VLOOKUP(A44,'Données projet'!$A$35:$I$55,9,0)</f>
        <v>12.86166666666667</v>
      </c>
      <c r="M44" s="12">
        <f t="array" ref="M44">INDEX(L:L,MIN(IF(ISNUMBER(L44:L240),ROW(L44:L240),"")))</f>
        <v>12.86166666666667</v>
      </c>
      <c r="N44" s="13">
        <f>IF('Données projet'!$A$36&gt;35,N43+M44-V43,IF(A44&lt;'Données projet'!$A$36,$K$205^A44,IF(A44='Données projet'!$A$36,'Données projet'!$B$36,N43+M44-V43)))</f>
        <v>208.88000000000005</v>
      </c>
      <c r="O44" s="13">
        <f>N44*VLOOKUP('Données projet'!$B$9,Paramètres!$A$1:$I$89,3,0)*VLOOKUP('Données projet'!$B$9,Paramètres!$A$1:$I$89,5,0)</f>
        <v>188.99462400000004</v>
      </c>
      <c r="P44" s="13">
        <f t="shared" si="33"/>
        <v>47.317609904825126</v>
      </c>
      <c r="Q44" s="20">
        <f t="shared" si="53"/>
        <v>411.5771407175705</v>
      </c>
      <c r="R44" s="59">
        <f t="shared" si="0"/>
        <v>660.1798303120745</v>
      </c>
      <c r="S44" s="59">
        <f ca="1">AVERAGE(OFFSET($R$3,0,0,'Données projet'!$E$9+1,1))-AVERAGE(OFFSET($H$3,0,0,'Données projet'!$E$9+1,1))</f>
        <v>567.42635821507474</v>
      </c>
      <c r="T44" s="59">
        <f t="shared" si="34"/>
        <v>299.04735309930152</v>
      </c>
      <c r="U44" s="15">
        <f>IF(ISNA(VLOOKUP(A44,'Données projet'!$A$35:$I$55,3,0)),0,VLOOKUP(A44,'Données projet'!$A$35:$I$55,3,0))</f>
        <v>2</v>
      </c>
      <c r="V44" s="15">
        <f>IF(ISNA(VLOOKUP(A44,'Données projet'!$A$35:$I$55,4,0)),0,VLOOKUP(A44,'Données projet'!$A$35:$I$55,4,0))</f>
        <v>47.41</v>
      </c>
      <c r="W44" s="16">
        <f>IF(ISNA(VLOOKUP(A44,'Données projet'!$A$35:$I$55,5,0)),0%,VLOOKUP(A44,'Données projet'!$A$35:$I$55,5,0)*VLOOKUP('Données projet'!$B$9,Paramètres!$A$1:$I$89,7,0))</f>
        <v>0.43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46.964399976421092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46.964399976421092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>
        <f>VLOOKUP(A44,'Données projet'!$A$61:$I$81,2,0)</f>
        <v>208.88</v>
      </c>
      <c r="AG44" s="12">
        <f>VLOOKUP(A44,'Données projet'!$A$61:$I$81,9,0)</f>
        <v>12.86166666666667</v>
      </c>
      <c r="AH44" s="12">
        <f t="array" ref="AH44">INDEX(AG:AG,MIN(IF(ISNUMBER(AG44:AG240),ROW(AG44:AG240),"")))</f>
        <v>12.86166666666667</v>
      </c>
      <c r="AI44" s="13">
        <f>IF('Données projet'!$A$62&gt;35,AI43+AH44-AQ43,IF(A44&lt;'Données projet'!$A$62,$AF$205^A44,IF(A44='Données projet'!$A$62,'Données projet'!$B$62,AI43+AH44-AQ43)))</f>
        <v>208.88000000000005</v>
      </c>
      <c r="AJ44" s="13">
        <f>AI44*VLOOKUP('Données projet'!$B$10,Paramètres!$A$1:$I$89,3,0)*VLOOKUP('Données projet'!$B$10,Paramètres!$A$1:$I$89,5,0)</f>
        <v>211.80432000000008</v>
      </c>
      <c r="AK44" s="13">
        <f t="shared" si="35"/>
        <v>52.329678475785691</v>
      </c>
      <c r="AL44" s="20">
        <f t="shared" si="4"/>
        <v>460.03338067866019</v>
      </c>
      <c r="AM44" s="59">
        <f t="shared" si="5"/>
        <v>708.63607027316414</v>
      </c>
      <c r="AN44" s="59">
        <f ca="1">AVERAGE(OFFSET($AM$3,0,0,'Données projet'!$E$10+1,1))-AVERAGE(OFFSET($H$3,0,0,'Données projet'!$E$10+1,1))</f>
        <v>626.09203985591455</v>
      </c>
      <c r="AO44" s="59">
        <f t="shared" si="36"/>
        <v>327.65191296575199</v>
      </c>
      <c r="AP44" s="15">
        <f>IF(ISNA(VLOOKUP(A44,'Données projet'!$A$61:$I$81,3,0)),0,VLOOKUP(A44,'Données projet'!$A$61:$I$81,3,0))</f>
        <v>2</v>
      </c>
      <c r="AQ44" s="15">
        <f>IF(ISNA(VLOOKUP(A44,'Données projet'!$A$61:$I$81,4,0)),0,VLOOKUP(A44,'Données projet'!$A$61:$I$81,4,0))</f>
        <v>47.41</v>
      </c>
      <c r="AR44" s="16">
        <f>IF(ISNA(VLOOKUP(A44,'Données projet'!$A$61:$I$81,5,0)),0%,VLOOKUP(A44,'Données projet'!$A$61:$I$81,5,0)*VLOOKUP('Données projet'!$B$10,Paramètres!$A$1:$I$89,7,0))</f>
        <v>0.43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52.632517214954675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52.632517214954675</v>
      </c>
      <c r="AY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11</v>
      </c>
      <c r="BD44" s="12">
        <f>IF('Données projet'!$A$88&gt;35,BD43+BC44-BL43,IF(A44&lt;'Données projet'!$A$88,$BA$205^A44,IF(A44='Données projet'!$A$88,'Données projet'!$B$88,BD43+BC44-BL43)))</f>
        <v>146.00000000000003</v>
      </c>
      <c r="BE44" s="13">
        <f>BD44*VLOOKUP('Données projet'!$B$11,Paramètres!$A$1:$I$89,3,0)*VLOOKUP('Données projet'!$B$11,Paramètres!$A$1:$I$89,5,0)</f>
        <v>125.26800000000004</v>
      </c>
      <c r="BF44" s="13">
        <f t="shared" si="37"/>
        <v>32.9005846700787</v>
      </c>
      <c r="BG44" s="20">
        <f t="shared" si="7"/>
        <v>275.47695163372049</v>
      </c>
      <c r="BH44" s="59">
        <f t="shared" si="8"/>
        <v>524.07964122822443</v>
      </c>
      <c r="BI44" s="59">
        <f ca="1">AVERAGE(OFFSET($BH$3,0,0,'Données projet'!$E$11+1,1))-AVERAGE(OFFSET($H$3,0,0,'Données projet'!$E$11+1,1))</f>
        <v>481.23392184981651</v>
      </c>
      <c r="BJ44" s="59">
        <f t="shared" si="38"/>
        <v>275.88160405468193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26.2982814518321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26.2982814518321</v>
      </c>
      <c r="BT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16.511666666666667</v>
      </c>
      <c r="BY44" s="12">
        <f>IF('Données projet'!$A$114&gt;35,BY43+BX44-CG43,IF(A44&lt;'Données projet'!$A$114,$BV$205^A44,IF(A44='Données projet'!$A$114,'Données projet'!$B$114,BY43+BX44-CG43)))</f>
        <v>327.94833333333321</v>
      </c>
      <c r="BZ44" s="13">
        <f>BY44*VLOOKUP('Données projet'!$B$12,Paramètres!$A$1:$I$89,3,0)*VLOOKUP('Données projet'!$B$12,Paramètres!$A$1:$I$89,5,0)</f>
        <v>153.47981999999993</v>
      </c>
      <c r="CA44" s="13">
        <f t="shared" si="39"/>
        <v>39.368328592132521</v>
      </c>
      <c r="CB44" s="20">
        <f t="shared" si="10"/>
        <v>335.87719213129731</v>
      </c>
      <c r="CC44" s="59">
        <f t="shared" si="11"/>
        <v>584.47988172580131</v>
      </c>
      <c r="CD44" s="59">
        <f ca="1">AVERAGE(OFFSET($CC$3,0,0,'Données projet'!$E$12+1,1))-AVERAGE(OFFSET($H$3,0,0,'Données projet'!$E$12+1,1))</f>
        <v>331.86732359395467</v>
      </c>
      <c r="CE44" s="59">
        <f t="shared" si="40"/>
        <v>208.64489375183106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0</v>
      </c>
      <c r="CL44" s="21">
        <f>EXP(-LN(2)/25)*CL43+(1-EXP(-LN(2)/25))/(LN(2)/25)*Calculateur!CG44*Calculateur!CI44*VLOOKUP('Données projet'!$B$12,Paramètres!$A$1:$I$89,3,0)*0.475*44/12</f>
        <v>0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0</v>
      </c>
      <c r="CO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9.8000000000000007</v>
      </c>
      <c r="CT44" s="12">
        <f>IF('Données projet'!$A$140&gt;35,CT43+CS44-DB43,IF(A44&lt;'Données projet'!$A$140,$CQ$205^A44,IF(A44='Données projet'!$A$140,'Données projet'!$B$140,CT43+CS44-DB43)))</f>
        <v>202.8</v>
      </c>
      <c r="CU44" s="17">
        <f>CT44*VLOOKUP('Données projet'!$B$13,Paramètres!$A$1:$I$89,3,0)*VLOOKUP('Données projet'!$B$13,Paramètres!$A$1:$I$89,5,0)</f>
        <v>148.69296</v>
      </c>
      <c r="CV44" s="13">
        <f t="shared" si="41"/>
        <v>38.281404966971365</v>
      </c>
      <c r="CW44" s="20">
        <f t="shared" si="13"/>
        <v>325.64701898414177</v>
      </c>
      <c r="CX44" s="59">
        <f t="shared" si="14"/>
        <v>574.24970857864571</v>
      </c>
      <c r="CY44" s="59">
        <f ca="1">AVERAGE(OFFSET($CX$3,0,0,'Données projet'!$E$13+1,1))-AVERAGE(OFFSET($H$3,0,0,'Données projet'!$E$13+1,1))</f>
        <v>352.45777291109863</v>
      </c>
      <c r="CZ44" s="59">
        <f t="shared" si="42"/>
        <v>340.92165104349181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22.791092115845903</v>
      </c>
      <c r="DG44" s="21">
        <f>EXP(-LN(2)/25)*DG43+(1-EXP(-LN(2)/25))/(LN(2)/25)*Calculateur!DB44*Calculateur!DD44*VLOOKUP('Données projet'!$B$13,Paramètres!$A$1:$I$89,3,0)*0.475*44/12</f>
        <v>0</v>
      </c>
      <c r="DH44" s="21">
        <f>EXP(-LN(2)/2)*DH43+(1-EXP(-LN(2)/2))/(LN(2)/2)*DB44*DE44*VLOOKUP('Données projet'!$B$13,Paramètres!$A$1:$I$89,3,0)*0.475*44/12</f>
        <v>0</v>
      </c>
      <c r="DI44" s="22">
        <f t="shared" si="15"/>
        <v>22.791092115845903</v>
      </c>
      <c r="DJ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>
        <f>VLOOKUP(A44,'Données projet'!$A$165:$I$185,2,0)</f>
        <v>208.88</v>
      </c>
      <c r="DM44" s="12">
        <f>VLOOKUP(A44,'Données projet'!$A$165:$I$185,9,0)</f>
        <v>12.86166666666667</v>
      </c>
      <c r="DN44" s="12">
        <f t="array" ref="DN44">INDEX(DM:DM,MIN(IF(ISNUMBER(DM44:DM240),ROW(DM44:DM240),"")))</f>
        <v>12.86166666666667</v>
      </c>
      <c r="DO44" s="12">
        <f>IF('Données projet'!$A$166&gt;35,DO43+DN44-DW43,IF(A44&lt;'Données projet'!$A$166,$DL$205^A44,IF(A44='Données projet'!$A$166,'Données projet'!$B$166,DO43+DN44-DW43)))</f>
        <v>208.88000000000005</v>
      </c>
      <c r="DP44" s="17">
        <f>DO44*VLOOKUP('Données projet'!$B$14,Paramètres!$A$1:$I$89,3,0)*VLOOKUP('Données projet'!$B$14,Paramètres!$A$1:$I$89,5,0)</f>
        <v>140.11670400000006</v>
      </c>
      <c r="DQ44" s="13">
        <f t="shared" si="43"/>
        <v>36.323739445924353</v>
      </c>
      <c r="DR44" s="20">
        <f t="shared" si="16"/>
        <v>307.30043900165168</v>
      </c>
      <c r="DS44" s="59">
        <f t="shared" si="17"/>
        <v>555.90312859615563</v>
      </c>
      <c r="DT44" s="59">
        <f ca="1">AVERAGE(OFFSET($DS$3,0,0,'Données projet'!$E$14+1,1))-AVERAGE(OFFSET($H$3,0,0,'Données projet'!$E$14+1,1))</f>
        <v>441.20130048888439</v>
      </c>
      <c r="DU44" s="59">
        <f t="shared" si="44"/>
        <v>237.47732532183946</v>
      </c>
      <c r="DV44" s="15">
        <f>IF(ISNA(VLOOKUP(A44,'Données projet'!$A$165:$I$185,3,0)),0,VLOOKUP(A44,'Données projet'!$A$165:$I$185,3,0))</f>
        <v>2</v>
      </c>
      <c r="DW44" s="15">
        <f>IF(ISNA(VLOOKUP(A44,'Données projet'!$A$165:$I$185,4,0)),0,VLOOKUP(A44,'Données projet'!$A$165:$I$185,4,0))</f>
        <v>47.41</v>
      </c>
      <c r="DX44" s="16">
        <f>IF(ISNA(VLOOKUP(A44,'Données projet'!$A$165:$I$185,5,0)),0%,VLOOKUP(A44,'Données projet'!$A$165:$I$185,5,0)*VLOOKUP('Données projet'!$B$14,Paramètres!$A$1:$I$89,7,0))</f>
        <v>0.53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42.915744806039967</v>
      </c>
      <c r="EB44" s="21">
        <f>EXP(-LN(2)/25)*EB43+(1-EXP(-LN(2)/25))/(LN(2)/25)*Calculateur!DW44*Calculateur!DY44*VLOOKUP('Données projet'!$B$14,Paramètres!$A$1:$I$89,3,0)*0.475*44/12</f>
        <v>0</v>
      </c>
      <c r="EC44" s="21">
        <f>EXP(-LN(2)/2)*EC43+(1-EXP(-LN(2)/2))/(LN(2)/2)*DW44*DZ44*VLOOKUP('Données projet'!$B$14,Paramètres!$A$1:$I$89,3,0)*0.475*44/12</f>
        <v>0</v>
      </c>
      <c r="ED44" s="22">
        <f t="shared" si="18"/>
        <v>42.915744806039967</v>
      </c>
      <c r="EE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9.8000000000000007</v>
      </c>
      <c r="EJ44" s="12">
        <f>IF('Données projet'!$A$192&gt;35,EJ43+EI44-ER43,IF(A44&lt;'Données projet'!$A$192,$EG$205^A44,IF(A44='Données projet'!$A$192,'Données projet'!$B$192,EJ43+EI44-ER43)))</f>
        <v>202.8</v>
      </c>
      <c r="EK44" s="17">
        <f>EJ44*VLOOKUP('Données projet'!$B$15,Paramètres!$A$1:$I$89,3,0)*VLOOKUP('Données projet'!$B$15,Paramètres!$A$1:$I$89,5,0)</f>
        <v>161.34768000000003</v>
      </c>
      <c r="EL44" s="13">
        <f t="shared" si="45"/>
        <v>41.146339844316657</v>
      </c>
      <c r="EM44" s="20">
        <f t="shared" si="19"/>
        <v>352.6770845621848</v>
      </c>
      <c r="EN44" s="59">
        <f t="shared" si="20"/>
        <v>601.27977415668875</v>
      </c>
      <c r="EO44" s="59">
        <f ca="1">AVERAGE(OFFSET($EN$3,0,0,'Données projet'!$E$15+1,1))-AVERAGE(OFFSET($H$3,0,0,'Données projet'!$E$15+1,1))</f>
        <v>377.27600411578322</v>
      </c>
      <c r="EP44" s="59">
        <f t="shared" si="46"/>
        <v>364.58250627635425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>
        <f>EXP(-LN(2)/35)*EV43+(1-EXP(-LN(2)/35))/(LN(2)/35)*ER44*ES44*VLOOKUP('Données projet'!$B$15,Paramètres!$A$1:$I$89,3,0)*0.475*44/12</f>
        <v>30.48209895553266</v>
      </c>
      <c r="EW44" s="21">
        <f>EXP(-LN(2)/25)*EW43+(1-EXP(-LN(2)/25))/(LN(2)/25)*Calculateur!ER44*Calculateur!ET44*VLOOKUP('Données projet'!$B$15,Paramètres!$A$1:$I$89,3,0)*0.475*44/12</f>
        <v>0</v>
      </c>
      <c r="EX44" s="21">
        <f>EXP(-LN(2)/2)*EX43+(1-EXP(-LN(2)/2))/(LN(2)/2)*ER44*EU44*VLOOKUP('Données projet'!$B$15,Paramètres!$A$1:$I$89,3,0)*0.475*44/12</f>
        <v>0</v>
      </c>
      <c r="EY44" s="22">
        <f t="shared" si="21"/>
        <v>30.48209895553266</v>
      </c>
      <c r="EZ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9.8000000000000007</v>
      </c>
      <c r="FE44" s="12">
        <f>IF('Données projet'!$A$218&gt;35,FE43+FD44-FM43,IF(A44&lt;'Données projet'!$A$218,$FB$205^A44,IF(A44='Données projet'!$A$218,'Données projet'!$B$218,FE43+FD44-FM43)))</f>
        <v>202.8</v>
      </c>
      <c r="FF44" s="17">
        <f>FE44*VLOOKUP('Données projet'!$B$16,Paramètres!$A$1:$I$89,3,0)*VLOOKUP('Données projet'!$B$16,Paramètres!$A$1:$I$89,5,0)</f>
        <v>164.51136</v>
      </c>
      <c r="FG44" s="13">
        <f t="shared" si="47"/>
        <v>41.858412704646653</v>
      </c>
      <c r="FH44" s="20">
        <f t="shared" si="22"/>
        <v>359.4273541272596</v>
      </c>
      <c r="FI44" s="59">
        <f t="shared" si="23"/>
        <v>608.0300437217636</v>
      </c>
      <c r="FJ44" s="59">
        <f ca="1">AVERAGE(OFFSET($FI$3,0,0,'Données projet'!$E$16+1,1))-AVERAGE(OFFSET($H$3,0,0,'Données projet'!$E$16+1,1))</f>
        <v>383.47399633251354</v>
      </c>
      <c r="FK44" s="59">
        <f t="shared" si="48"/>
        <v>370.49129421395628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>
        <f>EXP(-LN(2)/35)*FQ43+(1-EXP(-LN(2)/35))/(LN(2)/35)*FM44*FN44*VLOOKUP('Données projet'!$B$16,Paramètres!$A$1:$I$89,3,0)*0.475*44/12</f>
        <v>31.079787170347025</v>
      </c>
      <c r="FR44" s="21">
        <f>EXP(-LN(2)/25)*FR43+(1-EXP(-LN(2)/25))/(LN(2)/25)*Calculateur!FM44*Calculateur!FO44*VLOOKUP('Données projet'!$B$16,Paramètres!$A$1:$I$89,3,0)*0.475*44/12</f>
        <v>0</v>
      </c>
      <c r="FS44" s="21">
        <f>EXP(-LN(2)/2)*FS43+(1-EXP(-LN(2)/2))/(LN(2)/2)*FM44*FP44*VLOOKUP('Données projet'!$B$16,Paramètres!$A$1:$I$89,3,0)*0.475*44/12</f>
        <v>0</v>
      </c>
      <c r="FT44" s="22">
        <f t="shared" si="24"/>
        <v>31.079787170347025</v>
      </c>
      <c r="FU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>
        <f>VLOOKUP(A44,'Données projet'!$A$243:$I$263,2,0)</f>
        <v>208.88</v>
      </c>
      <c r="FX44" s="12">
        <f>VLOOKUP(A44,'Données projet'!$A$243:$I$263,9,0)</f>
        <v>12.86166666666667</v>
      </c>
      <c r="FY44" s="12">
        <f t="array" ref="FY44">INDEX(FX:FX,MIN(IF(ISNUMBER(FX44:FX240),ROW(FX44:FX240),"")))</f>
        <v>12.86166666666667</v>
      </c>
      <c r="FZ44" s="12">
        <f>IF('Données projet'!$A$244&gt;35,FZ43+FY44-GH43,IF(A44&lt;'Données projet'!$A$244,$FW$205^A44,IF(A44='Données projet'!$A$244,'Données projet'!$B$244,FZ43+FY44-GH43)))</f>
        <v>208.88000000000005</v>
      </c>
      <c r="GA44" s="17">
        <f>FZ44*VLOOKUP('Données projet'!$B$17,Paramètres!$A$1:$I$89,3,0)*VLOOKUP('Données projet'!$B$17,Paramètres!$A$1:$I$89,5,0)</f>
        <v>198.77020800000005</v>
      </c>
      <c r="GB44" s="13">
        <f t="shared" si="49"/>
        <v>49.473799722078354</v>
      </c>
      <c r="GC44" s="20">
        <f t="shared" si="25"/>
        <v>432.35831344928653</v>
      </c>
      <c r="GD44" s="59">
        <f t="shared" si="26"/>
        <v>680.96100304379047</v>
      </c>
      <c r="GE44" s="59">
        <f ca="1">AVERAGE(OFFSET($GD$3,0,0,'Données projet'!$E$17+1,1))-AVERAGE(OFFSET($H$3,0,0,'Données projet'!$E$17+1,1))</f>
        <v>592.58528889137358</v>
      </c>
      <c r="GF44" s="59">
        <f t="shared" si="50"/>
        <v>311.31528020403709</v>
      </c>
      <c r="GG44" s="15">
        <f>IF(ISNA(VLOOKUP(A44,'Données projet'!$A$243:$I$263,3,0)),0,VLOOKUP(A44,'Données projet'!$A$243:$I$263,3,0))</f>
        <v>2</v>
      </c>
      <c r="GH44" s="15">
        <f>IF(ISNA(VLOOKUP(A44,'Données projet'!$A$243:$I$263,4,0)),0,VLOOKUP(A44,'Données projet'!$A$243:$I$263,4,0))</f>
        <v>47.41</v>
      </c>
      <c r="GI44" s="16">
        <f>IF(ISNA(VLOOKUP(A44,'Données projet'!$A$243:$I$263,5,0)),0%,VLOOKUP(A44,'Données projet'!$A$243:$I$263,5,0)*VLOOKUP('Données projet'!$B$17,Paramètres!$A$1:$I$89,7,0))</f>
        <v>0.43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>
        <f>EXP(-LN(2)/35)*GL43+(1-EXP(-LN(2)/35))/(LN(2)/35)*GH44*GI44*VLOOKUP('Données projet'!$B$17,Paramètres!$A$1:$I$89,3,0)*0.475*44/12</f>
        <v>49.393593078649772</v>
      </c>
      <c r="GM44" s="21">
        <f>EXP(-LN(2)/25)*GM43+(1-EXP(-LN(2)/25))/(LN(2)/25)*Calculateur!GH44*Calculateur!GJ44*VLOOKUP('Données projet'!$B$17,Paramètres!$A$1:$I$89,3,0)*0.475*44/12</f>
        <v>0</v>
      </c>
      <c r="GN44" s="21">
        <f>EXP(-LN(2)/2)*GN43+(1-EXP(-LN(2)/2))/(LN(2)/2)*GH44*GK44*VLOOKUP('Données projet'!$B$17,Paramètres!$A$1:$I$89,3,0)*0.475*44/12</f>
        <v>0</v>
      </c>
      <c r="GO44" s="21">
        <f t="shared" si="27"/>
        <v>49.393593078649772</v>
      </c>
      <c r="GP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11.142857142857142</v>
      </c>
      <c r="GU44" s="12">
        <f>IF('Données projet'!$A$270&gt;35,GU43+GT44-HC43,IF(A44&lt;'Données projet'!$A$270,$GR$205^A44,IF(A44='Données projet'!$A$270,'Données projet'!$B$270,GU43+GT44-HC43)))</f>
        <v>196.5714285714285</v>
      </c>
      <c r="GV44" s="17">
        <f>GU44*VLOOKUP('Données projet'!$B$18,Paramètres!$A$1:$I$89,3,0)*VLOOKUP('Données projet'!$B$18,Paramètres!$A$1:$I$89,5,0)</f>
        <v>153.32571428571424</v>
      </c>
      <c r="GW44" s="13">
        <f t="shared" si="51"/>
        <v>39.333398837614155</v>
      </c>
      <c r="GX44" s="20">
        <f t="shared" si="28"/>
        <v>335.5479553564636</v>
      </c>
      <c r="GY44" s="59">
        <f t="shared" si="29"/>
        <v>584.1506449509676</v>
      </c>
      <c r="GZ44" s="59">
        <f ca="1">AVERAGE(OFFSET($GY$3,0,0,'Données projet'!$E$18+1,1))-AVERAGE(OFFSET($H$3,0,0,'Données projet'!$E$18+1,1))</f>
        <v>308.85018589589453</v>
      </c>
      <c r="HA44" s="59">
        <f t="shared" si="52"/>
        <v>302.59481222418219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>
        <f>EXP(-LN(2)/35)*HG43+(1-EXP(-LN(2)/35))/(LN(2)/35)*HC44*HD44*VLOOKUP('Données projet'!$B$18,Paramètres!$A$1:$I$89,3,0)*0.475*44/12</f>
        <v>23.281058094584132</v>
      </c>
      <c r="HH44" s="21">
        <f>EXP(-LN(2)/25)*HH43+(1-EXP(-LN(2)/25))/(LN(2)/25)*Calculateur!HC44*Calculateur!HE44*VLOOKUP('Données projet'!$B$18,Paramètres!$A$1:$I$89,3,0)*0.475*44/12</f>
        <v>0</v>
      </c>
      <c r="HI44" s="21">
        <f>EXP(-LN(2)/2)*HI43+(1-EXP(-LN(2)/2))/(LN(2)/2)*HC44*HF44*VLOOKUP('Données projet'!$B$18,Paramètres!$A$1:$I$89,3,0)*0.475*44/12</f>
        <v>0</v>
      </c>
      <c r="HJ44" s="22">
        <f t="shared" si="30"/>
        <v>23.281058094584132</v>
      </c>
    </row>
    <row r="45" spans="1:218" x14ac:dyDescent="0.35">
      <c r="A45" s="10">
        <f t="shared" si="31"/>
        <v>42</v>
      </c>
      <c r="B45" s="72">
        <f>'Scénario référence'!$B$16*5+'Scénario référence'!$B$17*0+'Scénario référence'!$B$18*5</f>
        <v>5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66">
        <f t="shared" si="1"/>
        <v>183.33333333333334</v>
      </c>
      <c r="I45" s="6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13.059999999999999</v>
      </c>
      <c r="N45" s="13">
        <f>IF('Données projet'!$A$36&gt;35,N44+M45-V44,IF(A45&lt;'Données projet'!$A$36,$K$205^A45,IF(A45='Données projet'!$A$36,'Données projet'!$B$36,N44+M45-V44)))</f>
        <v>174.53000000000006</v>
      </c>
      <c r="O45" s="13">
        <f>N45*VLOOKUP('Données projet'!$B$9,Paramètres!$A$1:$I$89,3,0)*VLOOKUP('Données projet'!$B$9,Paramètres!$A$1:$I$89,5,0)</f>
        <v>157.91474400000004</v>
      </c>
      <c r="P45" s="13">
        <f t="shared" si="33"/>
        <v>40.371821598059007</v>
      </c>
      <c r="Q45" s="20">
        <f t="shared" si="53"/>
        <v>345.34910174995275</v>
      </c>
      <c r="R45" s="59">
        <f t="shared" si="0"/>
        <v>594.72776801058751</v>
      </c>
      <c r="S45" s="59">
        <f ca="1">AVERAGE(OFFSET($R$3,0,0,'Données projet'!$E$9+1,1))-AVERAGE(OFFSET($H$3,0,0,'Données projet'!$E$9+1,1))</f>
        <v>567.42635821507474</v>
      </c>
      <c r="T45" s="59">
        <f t="shared" si="34"/>
        <v>299.04735309930152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46.043456738338953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</v>
      </c>
      <c r="AC45" s="22">
        <f t="shared" si="3"/>
        <v>46.043456738338953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13.059999999999999</v>
      </c>
      <c r="AI45" s="13">
        <f>IF('Données projet'!$A$62&gt;35,AI44+AH45-AQ44,IF(A45&lt;'Données projet'!$A$62,$AF$205^A45,IF(A45='Données projet'!$A$62,'Données projet'!$B$62,AI44+AH45-AQ44)))</f>
        <v>174.53000000000006</v>
      </c>
      <c r="AJ45" s="13">
        <f>AI45*VLOOKUP('Données projet'!$B$10,Paramètres!$A$1:$I$89,3,0)*VLOOKUP('Données projet'!$B$10,Paramètres!$A$1:$I$89,5,0)</f>
        <v>176.97342000000009</v>
      </c>
      <c r="AK45" s="13">
        <f t="shared" si="35"/>
        <v>44.648164773275532</v>
      </c>
      <c r="AL45" s="20">
        <f t="shared" si="4"/>
        <v>385.99092681345502</v>
      </c>
      <c r="AM45" s="59">
        <f t="shared" si="5"/>
        <v>635.36959307408972</v>
      </c>
      <c r="AN45" s="59">
        <f ca="1">AVERAGE(OFFSET($AM$3,0,0,'Données projet'!$E$10+1,1))-AVERAGE(OFFSET($H$3,0,0,'Données projet'!$E$10+1,1))</f>
        <v>626.09203985591455</v>
      </c>
      <c r="AO45" s="59">
        <f t="shared" si="36"/>
        <v>327.65191296575199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51.600425655035039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51.600425655035039</v>
      </c>
      <c r="AY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11</v>
      </c>
      <c r="BD45" s="12">
        <f>IF('Données projet'!$A$88&gt;35,BD44+BC45-BL44,IF(A45&lt;'Données projet'!$A$88,$BA$205^A45,IF(A45='Données projet'!$A$88,'Données projet'!$B$88,BD44+BC45-BL44)))</f>
        <v>157.00000000000003</v>
      </c>
      <c r="BE45" s="13">
        <f>BD45*VLOOKUP('Données projet'!$B$11,Paramètres!$A$1:$I$89,3,0)*VLOOKUP('Données projet'!$B$11,Paramètres!$A$1:$I$89,5,0)</f>
        <v>134.70600000000005</v>
      </c>
      <c r="BF45" s="13">
        <f t="shared" si="37"/>
        <v>35.081517028838505</v>
      </c>
      <c r="BG45" s="20">
        <f t="shared" si="7"/>
        <v>295.71325882522711</v>
      </c>
      <c r="BH45" s="59">
        <f t="shared" si="8"/>
        <v>545.09192508586182</v>
      </c>
      <c r="BI45" s="59">
        <f ca="1">AVERAGE(OFFSET($BH$3,0,0,'Données projet'!$E$11+1,1))-AVERAGE(OFFSET($H$3,0,0,'Données projet'!$E$11+1,1))</f>
        <v>481.23392184981651</v>
      </c>
      <c r="BJ45" s="59">
        <f t="shared" si="38"/>
        <v>275.88160405468193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25.782588192929502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25.782588192929502</v>
      </c>
      <c r="BT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>
        <f>VLOOKUP(A45,'Données projet'!$A$113:$I$133,2,0)</f>
        <v>344.46</v>
      </c>
      <c r="BW45" s="12">
        <f>VLOOKUP(A45,'Données projet'!$A$113:$I$133,9,0)</f>
        <v>16.511666666666667</v>
      </c>
      <c r="BX45" s="12">
        <f t="array" ref="BX45">INDEX(BW:BW,MIN(IF(ISNUMBER(BW45:BW241),ROW(BW45:BW241),"")))</f>
        <v>16.511666666666667</v>
      </c>
      <c r="BY45" s="12">
        <f>IF('Données projet'!$A$114&gt;35,BY44+BX45-CG44,IF(A45&lt;'Données projet'!$A$114,$BV$205^A45,IF(A45='Données projet'!$A$114,'Données projet'!$B$114,BY44+BX45-CG44)))</f>
        <v>344.45999999999987</v>
      </c>
      <c r="BZ45" s="13">
        <f>BY45*VLOOKUP('Données projet'!$B$12,Paramètres!$A$1:$I$89,3,0)*VLOOKUP('Données projet'!$B$12,Paramètres!$A$1:$I$89,5,0)</f>
        <v>161.20727999999994</v>
      </c>
      <c r="CA45" s="13">
        <f t="shared" si="39"/>
        <v>41.114701532674296</v>
      </c>
      <c r="CB45" s="20">
        <f t="shared" si="10"/>
        <v>352.37745116940761</v>
      </c>
      <c r="CC45" s="59">
        <f t="shared" si="11"/>
        <v>601.75611743004231</v>
      </c>
      <c r="CD45" s="59">
        <f ca="1">AVERAGE(OFFSET($CC$3,0,0,'Données projet'!$E$12+1,1))-AVERAGE(OFFSET($H$3,0,0,'Données projet'!$E$12+1,1))</f>
        <v>331.86732359395467</v>
      </c>
      <c r="CE45" s="59">
        <f t="shared" si="40"/>
        <v>208.64489375183106</v>
      </c>
      <c r="CF45" s="15">
        <f>IF(ISNA(VLOOKUP(A45,'Données projet'!$A$113:$I$133,3,0)),0,VLOOKUP(A45,'Données projet'!$A$113:$I$133,3,0))</f>
        <v>1</v>
      </c>
      <c r="CG45" s="15">
        <f>IF(ISNA(VLOOKUP(A45,'Données projet'!$A$113:$I$133,4,0)),0,VLOOKUP(A45,'Données projet'!$A$113:$I$133,4,0))</f>
        <v>105.41</v>
      </c>
      <c r="CH45" s="16">
        <f>IF(ISNA(VLOOKUP(A45,'Données projet'!$A$113:$I$133,5,0)),0%,VLOOKUP(A45,'Données projet'!$A$113:$I$133,5,0)*VLOOKUP('Données projet'!$B$12,Paramètres!$A$1:$I$89,7,0))</f>
        <v>0.55000000000000004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35.99305519040481</v>
      </c>
      <c r="CL45" s="21">
        <f>EXP(-LN(2)/25)*CL44+(1-EXP(-LN(2)/25))/(LN(2)/25)*Calculateur!CG45*Calculateur!CI45*VLOOKUP('Données projet'!$B$12,Paramètres!$A$1:$I$89,3,0)*0.475*44/12</f>
        <v>0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35.99305519040481</v>
      </c>
      <c r="CO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9.8000000000000007</v>
      </c>
      <c r="CT45" s="12">
        <f>IF('Données projet'!$A$140&gt;35,CT44+CS45-DB44,IF(A45&lt;'Données projet'!$A$140,$CQ$205^A45,IF(A45='Données projet'!$A$140,'Données projet'!$B$140,CT44+CS45-DB44)))</f>
        <v>212.60000000000002</v>
      </c>
      <c r="CU45" s="17">
        <f>CT45*VLOOKUP('Données projet'!$B$13,Paramètres!$A$1:$I$89,3,0)*VLOOKUP('Données projet'!$B$13,Paramètres!$A$1:$I$89,5,0)</f>
        <v>155.87832000000003</v>
      </c>
      <c r="CV45" s="13">
        <f t="shared" si="41"/>
        <v>39.911451633481022</v>
      </c>
      <c r="CW45" s="20">
        <f t="shared" si="13"/>
        <v>341.00051892831283</v>
      </c>
      <c r="CX45" s="59">
        <f t="shared" si="14"/>
        <v>590.37918518894753</v>
      </c>
      <c r="CY45" s="59">
        <f ca="1">AVERAGE(OFFSET($CX$3,0,0,'Données projet'!$E$13+1,1))-AVERAGE(OFFSET($H$3,0,0,'Données projet'!$E$13+1,1))</f>
        <v>352.45777291109863</v>
      </c>
      <c r="CZ45" s="59">
        <f t="shared" si="42"/>
        <v>340.92165104349181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22.344172700647725</v>
      </c>
      <c r="DG45" s="21">
        <f>EXP(-LN(2)/25)*DG44+(1-EXP(-LN(2)/25))/(LN(2)/25)*Calculateur!DB45*Calculateur!DD45*VLOOKUP('Données projet'!$B$13,Paramètres!$A$1:$I$89,3,0)*0.475*44/12</f>
        <v>0</v>
      </c>
      <c r="DH45" s="21">
        <f>EXP(-LN(2)/2)*DH44+(1-EXP(-LN(2)/2))/(LN(2)/2)*DB45*DE45*VLOOKUP('Données projet'!$B$13,Paramètres!$A$1:$I$89,3,0)*0.475*44/12</f>
        <v>0</v>
      </c>
      <c r="DI45" s="22">
        <f t="shared" si="15"/>
        <v>22.344172700647725</v>
      </c>
      <c r="DJ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13.059999999999999</v>
      </c>
      <c r="DO45" s="12">
        <f>IF('Données projet'!$A$166&gt;35,DO44+DN45-DW44,IF(A45&lt;'Données projet'!$A$166,$DL$205^A45,IF(A45='Données projet'!$A$166,'Données projet'!$B$166,DO44+DN45-DW44)))</f>
        <v>174.53000000000006</v>
      </c>
      <c r="DP45" s="17">
        <f>DO45*VLOOKUP('Données projet'!$B$14,Paramètres!$A$1:$I$89,3,0)*VLOOKUP('Données projet'!$B$14,Paramètres!$A$1:$I$89,5,0)</f>
        <v>117.07472400000005</v>
      </c>
      <c r="DQ45" s="13">
        <f t="shared" si="43"/>
        <v>30.991749829183469</v>
      </c>
      <c r="DR45" s="20">
        <f t="shared" si="16"/>
        <v>257.88244191916129</v>
      </c>
      <c r="DS45" s="59">
        <f t="shared" si="17"/>
        <v>507.261108179796</v>
      </c>
      <c r="DT45" s="59">
        <f ca="1">AVERAGE(OFFSET($DS$3,0,0,'Données projet'!$E$14+1,1))-AVERAGE(OFFSET($H$3,0,0,'Données projet'!$E$14+1,1))</f>
        <v>441.20130048888439</v>
      </c>
      <c r="DU45" s="59">
        <f t="shared" si="44"/>
        <v>237.47732532183946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42.074193226413186</v>
      </c>
      <c r="EB45" s="21">
        <f>EXP(-LN(2)/25)*EB44+(1-EXP(-LN(2)/25))/(LN(2)/25)*Calculateur!DW45*Calculateur!DY45*VLOOKUP('Données projet'!$B$14,Paramètres!$A$1:$I$89,3,0)*0.475*44/12</f>
        <v>0</v>
      </c>
      <c r="EC45" s="21">
        <f>EXP(-LN(2)/2)*EC44+(1-EXP(-LN(2)/2))/(LN(2)/2)*DW45*DZ45*VLOOKUP('Données projet'!$B$14,Paramètres!$A$1:$I$89,3,0)*0.475*44/12</f>
        <v>0</v>
      </c>
      <c r="ED45" s="22">
        <f t="shared" si="18"/>
        <v>42.074193226413186</v>
      </c>
      <c r="EE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9.8000000000000007</v>
      </c>
      <c r="EJ45" s="12">
        <f>IF('Données projet'!$A$192&gt;35,EJ44+EI45-ER44,IF(A45&lt;'Données projet'!$A$192,$EG$205^A45,IF(A45='Données projet'!$A$192,'Données projet'!$B$192,EJ44+EI45-ER44)))</f>
        <v>212.60000000000002</v>
      </c>
      <c r="EK45" s="17">
        <f>EJ45*VLOOKUP('Données projet'!$B$15,Paramètres!$A$1:$I$89,3,0)*VLOOKUP('Données projet'!$B$15,Paramètres!$A$1:$I$89,5,0)</f>
        <v>169.14456000000004</v>
      </c>
      <c r="EL45" s="13">
        <f t="shared" si="45"/>
        <v>42.898377267189964</v>
      </c>
      <c r="EM45" s="20">
        <f t="shared" si="19"/>
        <v>369.30811574035596</v>
      </c>
      <c r="EN45" s="59">
        <f t="shared" si="20"/>
        <v>618.68678200099066</v>
      </c>
      <c r="EO45" s="59">
        <f ca="1">AVERAGE(OFFSET($EN$3,0,0,'Données projet'!$E$15+1,1))-AVERAGE(OFFSET($H$3,0,0,'Données projet'!$E$15+1,1))</f>
        <v>377.27600411578322</v>
      </c>
      <c r="EP45" s="59">
        <f t="shared" si="46"/>
        <v>364.58250627635425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>
        <f>EXP(-LN(2)/35)*EV44+(1-EXP(-LN(2)/35))/(LN(2)/35)*ER45*ES45*VLOOKUP('Données projet'!$B$15,Paramètres!$A$1:$I$89,3,0)*0.475*44/12</f>
        <v>29.884363587259195</v>
      </c>
      <c r="EW45" s="21">
        <f>EXP(-LN(2)/25)*EW44+(1-EXP(-LN(2)/25))/(LN(2)/25)*Calculateur!ER45*Calculateur!ET45*VLOOKUP('Données projet'!$B$15,Paramètres!$A$1:$I$89,3,0)*0.475*44/12</f>
        <v>0</v>
      </c>
      <c r="EX45" s="21">
        <f>EXP(-LN(2)/2)*EX44+(1-EXP(-LN(2)/2))/(LN(2)/2)*ER45*EU45*VLOOKUP('Données projet'!$B$15,Paramètres!$A$1:$I$89,3,0)*0.475*44/12</f>
        <v>0</v>
      </c>
      <c r="EY45" s="22">
        <f t="shared" si="21"/>
        <v>29.884363587259195</v>
      </c>
      <c r="EZ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9.8000000000000007</v>
      </c>
      <c r="FE45" s="12">
        <f>IF('Données projet'!$A$218&gt;35,FE44+FD45-FM44,IF(A45&lt;'Données projet'!$A$218,$FB$205^A45,IF(A45='Données projet'!$A$218,'Données projet'!$B$218,FE44+FD45-FM44)))</f>
        <v>212.60000000000002</v>
      </c>
      <c r="FF45" s="17">
        <f>FE45*VLOOKUP('Données projet'!$B$16,Paramètres!$A$1:$I$89,3,0)*VLOOKUP('Données projet'!$B$16,Paramètres!$A$1:$I$89,5,0)</f>
        <v>172.46112000000005</v>
      </c>
      <c r="FG45" s="13">
        <f t="shared" si="47"/>
        <v>43.640770644577643</v>
      </c>
      <c r="FH45" s="20">
        <f t="shared" si="22"/>
        <v>376.37745953930607</v>
      </c>
      <c r="FI45" s="59">
        <f t="shared" si="23"/>
        <v>625.75612579994083</v>
      </c>
      <c r="FJ45" s="59">
        <f ca="1">AVERAGE(OFFSET($FI$3,0,0,'Données projet'!$E$16+1,1))-AVERAGE(OFFSET($H$3,0,0,'Données projet'!$E$16+1,1))</f>
        <v>383.47399633251354</v>
      </c>
      <c r="FK45" s="59">
        <f t="shared" si="48"/>
        <v>370.49129421395628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>
        <f>EXP(-LN(2)/35)*FQ44+(1-EXP(-LN(2)/35))/(LN(2)/35)*FM45*FN45*VLOOKUP('Données projet'!$B$16,Paramètres!$A$1:$I$89,3,0)*0.475*44/12</f>
        <v>30.470331500734865</v>
      </c>
      <c r="FR45" s="21">
        <f>EXP(-LN(2)/25)*FR44+(1-EXP(-LN(2)/25))/(LN(2)/25)*Calculateur!FM45*Calculateur!FO45*VLOOKUP('Données projet'!$B$16,Paramètres!$A$1:$I$89,3,0)*0.475*44/12</f>
        <v>0</v>
      </c>
      <c r="FS45" s="21">
        <f>EXP(-LN(2)/2)*FS44+(1-EXP(-LN(2)/2))/(LN(2)/2)*FM45*FP45*VLOOKUP('Données projet'!$B$16,Paramètres!$A$1:$I$89,3,0)*0.475*44/12</f>
        <v>0</v>
      </c>
      <c r="FT45" s="22">
        <f t="shared" si="24"/>
        <v>30.470331500734865</v>
      </c>
      <c r="FU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13.059999999999999</v>
      </c>
      <c r="FZ45" s="12">
        <f>IF('Données projet'!$A$244&gt;35,FZ44+FY45-GH44,IF(A45&lt;'Données projet'!$A$244,$FW$205^A45,IF(A45='Données projet'!$A$244,'Données projet'!$B$244,FZ44+FY45-GH44)))</f>
        <v>174.53000000000006</v>
      </c>
      <c r="GA45" s="17">
        <f>FZ45*VLOOKUP('Données projet'!$B$17,Paramètres!$A$1:$I$89,3,0)*VLOOKUP('Données projet'!$B$17,Paramètres!$A$1:$I$89,5,0)</f>
        <v>166.08274800000007</v>
      </c>
      <c r="GB45" s="13">
        <f t="shared" si="49"/>
        <v>42.211502655677656</v>
      </c>
      <c r="GC45" s="20">
        <f t="shared" si="25"/>
        <v>362.77915322530538</v>
      </c>
      <c r="GD45" s="59">
        <f t="shared" si="26"/>
        <v>612.15781948594008</v>
      </c>
      <c r="GE45" s="59">
        <f ca="1">AVERAGE(OFFSET($GD$3,0,0,'Données projet'!$E$17+1,1))-AVERAGE(OFFSET($H$3,0,0,'Données projet'!$E$17+1,1))</f>
        <v>592.58528889137358</v>
      </c>
      <c r="GF45" s="59">
        <f t="shared" si="50"/>
        <v>311.31528020403709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>
        <f>EXP(-LN(2)/35)*GL44+(1-EXP(-LN(2)/35))/(LN(2)/35)*GH45*GI45*VLOOKUP('Données projet'!$B$17,Paramètres!$A$1:$I$89,3,0)*0.475*44/12</f>
        <v>48.425014845494424</v>
      </c>
      <c r="GM45" s="21">
        <f>EXP(-LN(2)/25)*GM44+(1-EXP(-LN(2)/25))/(LN(2)/25)*Calculateur!GH45*Calculateur!GJ45*VLOOKUP('Données projet'!$B$17,Paramètres!$A$1:$I$89,3,0)*0.475*44/12</f>
        <v>0</v>
      </c>
      <c r="GN45" s="21">
        <f>EXP(-LN(2)/2)*GN44+(1-EXP(-LN(2)/2))/(LN(2)/2)*GH45*GK45*VLOOKUP('Données projet'!$B$17,Paramètres!$A$1:$I$89,3,0)*0.475*44/12</f>
        <v>0</v>
      </c>
      <c r="GO45" s="21">
        <f t="shared" si="27"/>
        <v>48.425014845494424</v>
      </c>
      <c r="GP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11.142857142857142</v>
      </c>
      <c r="GU45" s="12">
        <f>IF('Données projet'!$A$270&gt;35,GU44+GT45-HC44,IF(A45&lt;'Données projet'!$A$270,$GR$205^A45,IF(A45='Données projet'!$A$270,'Données projet'!$B$270,GU44+GT45-HC44)))</f>
        <v>207.71428571428564</v>
      </c>
      <c r="GV45" s="17">
        <f>GU45*VLOOKUP('Données projet'!$B$18,Paramètres!$A$1:$I$89,3,0)*VLOOKUP('Données projet'!$B$18,Paramètres!$A$1:$I$89,5,0)</f>
        <v>162.0171428571428</v>
      </c>
      <c r="GW45" s="13">
        <f t="shared" si="51"/>
        <v>41.29715533509664</v>
      </c>
      <c r="GX45" s="20">
        <f t="shared" si="28"/>
        <v>354.10573601815037</v>
      </c>
      <c r="GY45" s="59">
        <f t="shared" si="29"/>
        <v>603.48440227878507</v>
      </c>
      <c r="GZ45" s="59">
        <f ca="1">AVERAGE(OFFSET($GY$3,0,0,'Données projet'!$E$18+1,1))-AVERAGE(OFFSET($H$3,0,0,'Données projet'!$E$18+1,1))</f>
        <v>308.85018589589453</v>
      </c>
      <c r="HA45" s="59">
        <f t="shared" si="52"/>
        <v>302.59481222418219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>
        <f>EXP(-LN(2)/35)*HG44+(1-EXP(-LN(2)/35))/(LN(2)/35)*HC45*HD45*VLOOKUP('Données projet'!$B$18,Paramètres!$A$1:$I$89,3,0)*0.475*44/12</f>
        <v>22.824530745392636</v>
      </c>
      <c r="HH45" s="21">
        <f>EXP(-LN(2)/25)*HH44+(1-EXP(-LN(2)/25))/(LN(2)/25)*Calculateur!HC45*Calculateur!HE45*VLOOKUP('Données projet'!$B$18,Paramètres!$A$1:$I$89,3,0)*0.475*44/12</f>
        <v>0</v>
      </c>
      <c r="HI45" s="21">
        <f>EXP(-LN(2)/2)*HI44+(1-EXP(-LN(2)/2))/(LN(2)/2)*HC45*HF45*VLOOKUP('Données projet'!$B$18,Paramètres!$A$1:$I$89,3,0)*0.475*44/12</f>
        <v>0</v>
      </c>
      <c r="HJ45" s="22">
        <f t="shared" si="30"/>
        <v>22.824530745392636</v>
      </c>
    </row>
    <row r="46" spans="1:218" x14ac:dyDescent="0.35">
      <c r="A46" s="10">
        <f t="shared" si="31"/>
        <v>43</v>
      </c>
      <c r="B46" s="72">
        <f>'Scénario référence'!$B$16*5+'Scénario référence'!$B$17*0+'Scénario référence'!$B$18*5</f>
        <v>5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66">
        <f t="shared" si="1"/>
        <v>183.33333333333334</v>
      </c>
      <c r="I46" s="6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13.059999999999999</v>
      </c>
      <c r="N46" s="13">
        <f>IF('Données projet'!$A$36&gt;35,N45+M46-V45,IF(A46&lt;'Données projet'!$A$36,$K$205^A46,IF(A46='Données projet'!$A$36,'Données projet'!$B$36,N45+M46-V45)))</f>
        <v>187.59000000000006</v>
      </c>
      <c r="O46" s="13">
        <f>N46*VLOOKUP('Données projet'!$B$9,Paramètres!$A$1:$I$89,3,0)*VLOOKUP('Données projet'!$B$9,Paramètres!$A$1:$I$89,5,0)</f>
        <v>169.73143200000004</v>
      </c>
      <c r="P46" s="13">
        <f t="shared" si="33"/>
        <v>43.029867753624529</v>
      </c>
      <c r="Q46" s="20">
        <f t="shared" si="53"/>
        <v>370.55926373756279</v>
      </c>
      <c r="R46" s="59">
        <f t="shared" si="0"/>
        <v>620.70044520399483</v>
      </c>
      <c r="S46" s="59">
        <f ca="1">AVERAGE(OFFSET($R$3,0,0,'Données projet'!$E$9+1,1))-AVERAGE(OFFSET($H$3,0,0,'Données projet'!$E$9+1,1))</f>
        <v>567.42635821507474</v>
      </c>
      <c r="T46" s="59">
        <f t="shared" si="34"/>
        <v>299.04735309930152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45.140572635435696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</v>
      </c>
      <c r="AC46" s="22">
        <f t="shared" si="3"/>
        <v>45.140572635435696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13.059999999999999</v>
      </c>
      <c r="AI46" s="13">
        <f>IF('Données projet'!$A$62&gt;35,AI45+AH46-AQ45,IF(A46&lt;'Données projet'!$A$62,$AF$205^A46,IF(A46='Données projet'!$A$62,'Données projet'!$B$62,AI45+AH46-AQ45)))</f>
        <v>187.59000000000006</v>
      </c>
      <c r="AJ46" s="13">
        <f>AI46*VLOOKUP('Données projet'!$B$10,Paramètres!$A$1:$I$89,3,0)*VLOOKUP('Données projet'!$B$10,Paramètres!$A$1:$I$89,5,0)</f>
        <v>190.21626000000006</v>
      </c>
      <c r="AK46" s="13">
        <f t="shared" si="35"/>
        <v>47.587761700810915</v>
      </c>
      <c r="AL46" s="20">
        <f t="shared" si="4"/>
        <v>414.17533779557908</v>
      </c>
      <c r="AM46" s="59">
        <f t="shared" si="5"/>
        <v>664.31651926201107</v>
      </c>
      <c r="AN46" s="59">
        <f ca="1">AVERAGE(OFFSET($AM$3,0,0,'Données projet'!$E$10+1,1))-AVERAGE(OFFSET($H$3,0,0,'Données projet'!$E$10+1,1))</f>
        <v>626.09203985591455</v>
      </c>
      <c r="AO46" s="59">
        <f t="shared" si="36"/>
        <v>327.65191296575199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50.588572781091734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50.588572781091734</v>
      </c>
      <c r="AY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11</v>
      </c>
      <c r="BD46" s="12">
        <f>IF('Données projet'!$A$88&gt;35,BD45+BC46-BL45,IF(A46&lt;'Données projet'!$A$88,$BA$205^A46,IF(A46='Données projet'!$A$88,'Données projet'!$B$88,BD45+BC46-BL45)))</f>
        <v>168.00000000000003</v>
      </c>
      <c r="BE46" s="13">
        <f>BD46*VLOOKUP('Données projet'!$B$11,Paramètres!$A$1:$I$89,3,0)*VLOOKUP('Données projet'!$B$11,Paramètres!$A$1:$I$89,5,0)</f>
        <v>144.14400000000003</v>
      </c>
      <c r="BF46" s="13">
        <f t="shared" si="37"/>
        <v>37.244720006976252</v>
      </c>
      <c r="BG46" s="20">
        <f t="shared" si="7"/>
        <v>315.9186873454837</v>
      </c>
      <c r="BH46" s="59">
        <f t="shared" si="8"/>
        <v>566.05986881191575</v>
      </c>
      <c r="BI46" s="59">
        <f ca="1">AVERAGE(OFFSET($BH$3,0,0,'Données projet'!$E$11+1,1))-AVERAGE(OFFSET($H$3,0,0,'Données projet'!$E$11+1,1))</f>
        <v>481.23392184981651</v>
      </c>
      <c r="BJ46" s="59">
        <f t="shared" si="38"/>
        <v>275.88160405468193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25.277007364292157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25.277007364292157</v>
      </c>
      <c r="BT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17.080000000000002</v>
      </c>
      <c r="BY46" s="12">
        <f>IF('Données projet'!$A$114&gt;35,BY45+BX46-CG45,IF(A46&lt;'Données projet'!$A$114,$BV$205^A46,IF(A46='Données projet'!$A$114,'Données projet'!$B$114,BY45+BX46-CG45)))</f>
        <v>256.12999999999988</v>
      </c>
      <c r="BZ46" s="13">
        <f>BY46*VLOOKUP('Données projet'!$B$12,Paramètres!$A$1:$I$89,3,0)*VLOOKUP('Données projet'!$B$12,Paramètres!$A$1:$I$89,5,0)</f>
        <v>119.86883999999995</v>
      </c>
      <c r="CA46" s="13">
        <f t="shared" si="39"/>
        <v>31.644406431255067</v>
      </c>
      <c r="CB46" s="20">
        <f t="shared" si="10"/>
        <v>263.88557086776916</v>
      </c>
      <c r="CC46" s="59">
        <f t="shared" si="11"/>
        <v>514.02675233420121</v>
      </c>
      <c r="CD46" s="59">
        <f ca="1">AVERAGE(OFFSET($CC$3,0,0,'Données projet'!$E$12+1,1))-AVERAGE(OFFSET($H$3,0,0,'Données projet'!$E$12+1,1))</f>
        <v>331.86732359395467</v>
      </c>
      <c r="CE46" s="59">
        <f t="shared" si="40"/>
        <v>208.64489375183106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35.287253331716897</v>
      </c>
      <c r="CL46" s="21">
        <f>EXP(-LN(2)/25)*CL45+(1-EXP(-LN(2)/25))/(LN(2)/25)*Calculateur!CG46*Calculateur!CI46*VLOOKUP('Données projet'!$B$12,Paramètres!$A$1:$I$89,3,0)*0.475*44/12</f>
        <v>0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35.287253331716897</v>
      </c>
      <c r="CO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9.8000000000000007</v>
      </c>
      <c r="CT46" s="12">
        <f>IF('Données projet'!$A$140&gt;35,CT45+CS46-DB45,IF(A46&lt;'Données projet'!$A$140,$CQ$205^A46,IF(A46='Données projet'!$A$140,'Données projet'!$B$140,CT45+CS46-DB45)))</f>
        <v>222.40000000000003</v>
      </c>
      <c r="CU46" s="17">
        <f>CT46*VLOOKUP('Données projet'!$B$13,Paramètres!$A$1:$I$89,3,0)*VLOOKUP('Données projet'!$B$13,Paramètres!$A$1:$I$89,5,0)</f>
        <v>163.06368000000001</v>
      </c>
      <c r="CV46" s="13">
        <f t="shared" si="41"/>
        <v>41.532772330984628</v>
      </c>
      <c r="CW46" s="20">
        <f t="shared" si="13"/>
        <v>356.33882114313155</v>
      </c>
      <c r="CX46" s="59">
        <f t="shared" si="14"/>
        <v>606.4800026095636</v>
      </c>
      <c r="CY46" s="59">
        <f ca="1">AVERAGE(OFFSET($CX$3,0,0,'Données projet'!$E$13+1,1))-AVERAGE(OFFSET($H$3,0,0,'Données projet'!$E$13+1,1))</f>
        <v>352.45777291109863</v>
      </c>
      <c r="CZ46" s="59">
        <f t="shared" si="42"/>
        <v>340.92165104349181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21.906017102587658</v>
      </c>
      <c r="DG46" s="21">
        <f>EXP(-LN(2)/25)*DG45+(1-EXP(-LN(2)/25))/(LN(2)/25)*Calculateur!DB46*Calculateur!DD46*VLOOKUP('Données projet'!$B$13,Paramètres!$A$1:$I$89,3,0)*0.475*44/12</f>
        <v>0</v>
      </c>
      <c r="DH46" s="21">
        <f>EXP(-LN(2)/2)*DH45+(1-EXP(-LN(2)/2))/(LN(2)/2)*DB46*DE46*VLOOKUP('Données projet'!$B$13,Paramètres!$A$1:$I$89,3,0)*0.475*44/12</f>
        <v>0</v>
      </c>
      <c r="DI46" s="22">
        <f t="shared" si="15"/>
        <v>21.906017102587658</v>
      </c>
      <c r="DJ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13.059999999999999</v>
      </c>
      <c r="DO46" s="12">
        <f>IF('Données projet'!$A$166&gt;35,DO45+DN46-DW45,IF(A46&lt;'Données projet'!$A$166,$DL$205^A46,IF(A46='Données projet'!$A$166,'Données projet'!$B$166,DO45+DN46-DW45)))</f>
        <v>187.59000000000006</v>
      </c>
      <c r="DP46" s="17">
        <f>DO46*VLOOKUP('Données projet'!$B$14,Paramètres!$A$1:$I$89,3,0)*VLOOKUP('Données projet'!$B$14,Paramètres!$A$1:$I$89,5,0)</f>
        <v>125.83537200000004</v>
      </c>
      <c r="DQ46" s="13">
        <f t="shared" si="43"/>
        <v>33.032220093514354</v>
      </c>
      <c r="DR46" s="20">
        <f t="shared" si="16"/>
        <v>276.69438956287087</v>
      </c>
      <c r="DS46" s="59">
        <f t="shared" si="17"/>
        <v>526.83557102930286</v>
      </c>
      <c r="DT46" s="59">
        <f ca="1">AVERAGE(OFFSET($DS$3,0,0,'Données projet'!$E$14+1,1))-AVERAGE(OFFSET($H$3,0,0,'Données projet'!$E$14+1,1))</f>
        <v>441.20130048888439</v>
      </c>
      <c r="DU46" s="59">
        <f t="shared" si="44"/>
        <v>237.47732532183946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41.249143959967107</v>
      </c>
      <c r="EB46" s="21">
        <f>EXP(-LN(2)/25)*EB45+(1-EXP(-LN(2)/25))/(LN(2)/25)*Calculateur!DW46*Calculateur!DY46*VLOOKUP('Données projet'!$B$14,Paramètres!$A$1:$I$89,3,0)*0.475*44/12</f>
        <v>0</v>
      </c>
      <c r="EC46" s="21">
        <f>EXP(-LN(2)/2)*EC45+(1-EXP(-LN(2)/2))/(LN(2)/2)*DW46*DZ46*VLOOKUP('Données projet'!$B$14,Paramètres!$A$1:$I$89,3,0)*0.475*44/12</f>
        <v>0</v>
      </c>
      <c r="ED46" s="22">
        <f t="shared" si="18"/>
        <v>41.249143959967107</v>
      </c>
      <c r="EE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9.8000000000000007</v>
      </c>
      <c r="EJ46" s="12">
        <f>IF('Données projet'!$A$192&gt;35,EJ45+EI46-ER45,IF(A46&lt;'Données projet'!$A$192,$EG$205^A46,IF(A46='Données projet'!$A$192,'Données projet'!$B$192,EJ45+EI46-ER45)))</f>
        <v>222.40000000000003</v>
      </c>
      <c r="EK46" s="17">
        <f>EJ46*VLOOKUP('Données projet'!$B$15,Paramètres!$A$1:$I$89,3,0)*VLOOKUP('Données projet'!$B$15,Paramètres!$A$1:$I$89,5,0)</f>
        <v>176.94144000000003</v>
      </c>
      <c r="EL46" s="13">
        <f t="shared" si="45"/>
        <v>44.641035679901449</v>
      </c>
      <c r="EM46" s="20">
        <f t="shared" si="19"/>
        <v>385.92281180916171</v>
      </c>
      <c r="EN46" s="59">
        <f t="shared" si="20"/>
        <v>636.0639932755937</v>
      </c>
      <c r="EO46" s="59">
        <f ca="1">AVERAGE(OFFSET($EN$3,0,0,'Données projet'!$E$15+1,1))-AVERAGE(OFFSET($H$3,0,0,'Données projet'!$E$15+1,1))</f>
        <v>377.27600411578322</v>
      </c>
      <c r="EP46" s="59">
        <f t="shared" si="46"/>
        <v>364.58250627635425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>
        <f>EXP(-LN(2)/35)*EV45+(1-EXP(-LN(2)/35))/(LN(2)/35)*ER46*ES46*VLOOKUP('Données projet'!$B$15,Paramètres!$A$1:$I$89,3,0)*0.475*44/12</f>
        <v>29.298349444974999</v>
      </c>
      <c r="EW46" s="21">
        <f>EXP(-LN(2)/25)*EW45+(1-EXP(-LN(2)/25))/(LN(2)/25)*Calculateur!ER46*Calculateur!ET46*VLOOKUP('Données projet'!$B$15,Paramètres!$A$1:$I$89,3,0)*0.475*44/12</f>
        <v>0</v>
      </c>
      <c r="EX46" s="21">
        <f>EXP(-LN(2)/2)*EX45+(1-EXP(-LN(2)/2))/(LN(2)/2)*ER46*EU46*VLOOKUP('Données projet'!$B$15,Paramètres!$A$1:$I$89,3,0)*0.475*44/12</f>
        <v>0</v>
      </c>
      <c r="EY46" s="22">
        <f t="shared" si="21"/>
        <v>29.298349444974999</v>
      </c>
      <c r="EZ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9.8000000000000007</v>
      </c>
      <c r="FE46" s="12">
        <f>IF('Données projet'!$A$218&gt;35,FE45+FD46-FM45,IF(A46&lt;'Données projet'!$A$218,$FB$205^A46,IF(A46='Données projet'!$A$218,'Données projet'!$B$218,FE45+FD46-FM45)))</f>
        <v>222.40000000000003</v>
      </c>
      <c r="FF46" s="17">
        <f>FE46*VLOOKUP('Données projet'!$B$16,Paramètres!$A$1:$I$89,3,0)*VLOOKUP('Données projet'!$B$16,Paramètres!$A$1:$I$89,5,0)</f>
        <v>180.41088000000005</v>
      </c>
      <c r="FG46" s="13">
        <f t="shared" si="47"/>
        <v>45.413587262495575</v>
      </c>
      <c r="FH46" s="20">
        <f t="shared" si="22"/>
        <v>393.31094714884654</v>
      </c>
      <c r="FI46" s="59">
        <f t="shared" si="23"/>
        <v>643.45212861527853</v>
      </c>
      <c r="FJ46" s="59">
        <f ca="1">AVERAGE(OFFSET($FI$3,0,0,'Données projet'!$E$16+1,1))-AVERAGE(OFFSET($H$3,0,0,'Données projet'!$E$16+1,1))</f>
        <v>383.47399633251354</v>
      </c>
      <c r="FK46" s="59">
        <f t="shared" si="48"/>
        <v>370.49129421395628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>
        <f>EXP(-LN(2)/35)*FQ45+(1-EXP(-LN(2)/35))/(LN(2)/35)*FM46*FN46*VLOOKUP('Données projet'!$B$16,Paramètres!$A$1:$I$89,3,0)*0.475*44/12</f>
        <v>29.872826885072548</v>
      </c>
      <c r="FR46" s="21">
        <f>EXP(-LN(2)/25)*FR45+(1-EXP(-LN(2)/25))/(LN(2)/25)*Calculateur!FM46*Calculateur!FO46*VLOOKUP('Données projet'!$B$16,Paramètres!$A$1:$I$89,3,0)*0.475*44/12</f>
        <v>0</v>
      </c>
      <c r="FS46" s="21">
        <f>EXP(-LN(2)/2)*FS45+(1-EXP(-LN(2)/2))/(LN(2)/2)*FM46*FP46*VLOOKUP('Données projet'!$B$16,Paramètres!$A$1:$I$89,3,0)*0.475*44/12</f>
        <v>0</v>
      </c>
      <c r="FT46" s="22">
        <f t="shared" si="24"/>
        <v>29.872826885072548</v>
      </c>
      <c r="FU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13.059999999999999</v>
      </c>
      <c r="FZ46" s="12">
        <f>IF('Données projet'!$A$244&gt;35,FZ45+FY46-GH45,IF(A46&lt;'Données projet'!$A$244,$FW$205^A46,IF(A46='Données projet'!$A$244,'Données projet'!$B$244,FZ45+FY46-GH45)))</f>
        <v>187.59000000000006</v>
      </c>
      <c r="GA46" s="17">
        <f>FZ46*VLOOKUP('Données projet'!$B$17,Paramètres!$A$1:$I$89,3,0)*VLOOKUP('Données projet'!$B$17,Paramètres!$A$1:$I$89,5,0)</f>
        <v>178.51064400000004</v>
      </c>
      <c r="GB46" s="13">
        <f t="shared" si="49"/>
        <v>44.990671836390661</v>
      </c>
      <c r="GC46" s="20">
        <f t="shared" si="25"/>
        <v>389.26479174838045</v>
      </c>
      <c r="GD46" s="59">
        <f t="shared" si="26"/>
        <v>639.40597321481255</v>
      </c>
      <c r="GE46" s="59">
        <f ca="1">AVERAGE(OFFSET($GD$3,0,0,'Données projet'!$E$17+1,1))-AVERAGE(OFFSET($H$3,0,0,'Données projet'!$E$17+1,1))</f>
        <v>592.58528889137358</v>
      </c>
      <c r="GF46" s="59">
        <f t="shared" si="50"/>
        <v>311.31528020403709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>
        <f>EXP(-LN(2)/35)*GL45+(1-EXP(-LN(2)/35))/(LN(2)/35)*GH46*GI46*VLOOKUP('Données projet'!$B$17,Paramètres!$A$1:$I$89,3,0)*0.475*44/12</f>
        <v>47.475429840716863</v>
      </c>
      <c r="GM46" s="21">
        <f>EXP(-LN(2)/25)*GM45+(1-EXP(-LN(2)/25))/(LN(2)/25)*Calculateur!GH46*Calculateur!GJ46*VLOOKUP('Données projet'!$B$17,Paramètres!$A$1:$I$89,3,0)*0.475*44/12</f>
        <v>0</v>
      </c>
      <c r="GN46" s="21">
        <f>EXP(-LN(2)/2)*GN45+(1-EXP(-LN(2)/2))/(LN(2)/2)*GH46*GK46*VLOOKUP('Données projet'!$B$17,Paramètres!$A$1:$I$89,3,0)*0.475*44/12</f>
        <v>0</v>
      </c>
      <c r="GO46" s="21">
        <f t="shared" si="27"/>
        <v>47.475429840716863</v>
      </c>
      <c r="GP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11.142857142857142</v>
      </c>
      <c r="GU46" s="12">
        <f>IF('Données projet'!$A$270&gt;35,GU45+GT46-HC45,IF(A46&lt;'Données projet'!$A$270,$GR$205^A46,IF(A46='Données projet'!$A$270,'Données projet'!$B$270,GU45+GT46-HC45)))</f>
        <v>218.85714285714278</v>
      </c>
      <c r="GV46" s="17">
        <f>GU46*VLOOKUP('Données projet'!$B$18,Paramètres!$A$1:$I$89,3,0)*VLOOKUP('Données projet'!$B$18,Paramètres!$A$1:$I$89,5,0)</f>
        <v>170.70857142857136</v>
      </c>
      <c r="GW46" s="13">
        <f t="shared" si="51"/>
        <v>43.248681576985376</v>
      </c>
      <c r="GX46" s="20">
        <f t="shared" si="28"/>
        <v>372.64221565134466</v>
      </c>
      <c r="GY46" s="59">
        <f t="shared" si="29"/>
        <v>622.78339711777676</v>
      </c>
      <c r="GZ46" s="59">
        <f ca="1">AVERAGE(OFFSET($GY$3,0,0,'Données projet'!$E$18+1,1))-AVERAGE(OFFSET($H$3,0,0,'Données projet'!$E$18+1,1))</f>
        <v>308.85018589589453</v>
      </c>
      <c r="HA46" s="59">
        <f t="shared" si="52"/>
        <v>302.59481222418219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>
        <f>EXP(-LN(2)/35)*HG45+(1-EXP(-LN(2)/35))/(LN(2)/35)*HC46*HD46*VLOOKUP('Données projet'!$B$18,Paramètres!$A$1:$I$89,3,0)*0.475*44/12</f>
        <v>22.376955619064599</v>
      </c>
      <c r="HH46" s="21">
        <f>EXP(-LN(2)/25)*HH45+(1-EXP(-LN(2)/25))/(LN(2)/25)*Calculateur!HC46*Calculateur!HE46*VLOOKUP('Données projet'!$B$18,Paramètres!$A$1:$I$89,3,0)*0.475*44/12</f>
        <v>0</v>
      </c>
      <c r="HI46" s="21">
        <f>EXP(-LN(2)/2)*HI45+(1-EXP(-LN(2)/2))/(LN(2)/2)*HC46*HF46*VLOOKUP('Données projet'!$B$18,Paramètres!$A$1:$I$89,3,0)*0.475*44/12</f>
        <v>0</v>
      </c>
      <c r="HJ46" s="22">
        <f t="shared" si="30"/>
        <v>22.376955619064599</v>
      </c>
    </row>
    <row r="47" spans="1:218" x14ac:dyDescent="0.35">
      <c r="A47" s="10">
        <f t="shared" si="31"/>
        <v>44</v>
      </c>
      <c r="B47" s="72">
        <f>'Scénario référence'!$B$16*5+'Scénario référence'!$B$17*0+'Scénario référence'!$B$18*5</f>
        <v>5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66">
        <f t="shared" si="1"/>
        <v>183.33333333333334</v>
      </c>
      <c r="I47" s="6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13.059999999999999</v>
      </c>
      <c r="N47" s="13">
        <f>IF('Données projet'!$A$36&gt;35,N46+M47-V46,IF(A47&lt;'Données projet'!$A$36,$K$205^A47,IF(A47='Données projet'!$A$36,'Données projet'!$B$36,N46+M47-V46)))</f>
        <v>200.65000000000006</v>
      </c>
      <c r="O47" s="13">
        <f>N47*VLOOKUP('Données projet'!$B$9,Paramètres!$A$1:$I$89,3,0)*VLOOKUP('Données projet'!$B$9,Paramètres!$A$1:$I$89,5,0)</f>
        <v>181.54812000000004</v>
      </c>
      <c r="P47" s="13">
        <f t="shared" si="33"/>
        <v>45.666442486896024</v>
      </c>
      <c r="Q47" s="20">
        <f t="shared" si="53"/>
        <v>395.73202966467733</v>
      </c>
      <c r="R47" s="59">
        <f t="shared" si="0"/>
        <v>646.6224984028147</v>
      </c>
      <c r="S47" s="59">
        <f ca="1">AVERAGE(OFFSET($R$3,0,0,'Données projet'!$E$9+1,1))-AVERAGE(OFFSET($H$3,0,0,'Données projet'!$E$9+1,1))</f>
        <v>567.42635821507474</v>
      </c>
      <c r="T47" s="59">
        <f t="shared" si="34"/>
        <v>299.04735309930152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44.255393539085446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0</v>
      </c>
      <c r="AC47" s="22">
        <f t="shared" si="3"/>
        <v>44.255393539085446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13.059999999999999</v>
      </c>
      <c r="AI47" s="13">
        <f>IF('Données projet'!$A$62&gt;35,AI46+AH47-AQ46,IF(A47&lt;'Données projet'!$A$62,$AF$205^A47,IF(A47='Données projet'!$A$62,'Données projet'!$B$62,AI46+AH47-AQ46)))</f>
        <v>200.65000000000006</v>
      </c>
      <c r="AJ47" s="13">
        <f>AI47*VLOOKUP('Données projet'!$B$10,Paramètres!$A$1:$I$89,3,0)*VLOOKUP('Données projet'!$B$10,Paramètres!$A$1:$I$89,5,0)</f>
        <v>203.45910000000006</v>
      </c>
      <c r="AK47" s="13">
        <f t="shared" si="35"/>
        <v>50.503612867997838</v>
      </c>
      <c r="AL47" s="20">
        <f t="shared" si="4"/>
        <v>442.31839157842973</v>
      </c>
      <c r="AM47" s="59">
        <f t="shared" si="5"/>
        <v>693.2088603165671</v>
      </c>
      <c r="AN47" s="59">
        <f ca="1">AVERAGE(OFFSET($AM$3,0,0,'Données projet'!$E$10+1,1))-AVERAGE(OFFSET($H$3,0,0,'Données projet'!$E$10+1,1))</f>
        <v>626.09203985591455</v>
      </c>
      <c r="AO47" s="59">
        <f t="shared" si="36"/>
        <v>327.65191296575199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49.596561724837144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49.596561724837144</v>
      </c>
      <c r="AY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11</v>
      </c>
      <c r="BD47" s="12">
        <f>IF('Données projet'!$A$88&gt;35,BD46+BC47-BL46,IF(A47&lt;'Données projet'!$A$88,$BA$205^A47,IF(A47='Données projet'!$A$88,'Données projet'!$B$88,BD46+BC47-BL46)))</f>
        <v>179.00000000000003</v>
      </c>
      <c r="BE47" s="13">
        <f>BD47*VLOOKUP('Données projet'!$B$11,Paramètres!$A$1:$I$89,3,0)*VLOOKUP('Données projet'!$B$11,Paramètres!$A$1:$I$89,5,0)</f>
        <v>153.58200000000002</v>
      </c>
      <c r="BF47" s="13">
        <f t="shared" si="37"/>
        <v>39.391486561628568</v>
      </c>
      <c r="BG47" s="20">
        <f t="shared" si="7"/>
        <v>336.09548909483647</v>
      </c>
      <c r="BH47" s="59">
        <f t="shared" si="8"/>
        <v>586.9859578329739</v>
      </c>
      <c r="BI47" s="59">
        <f ca="1">AVERAGE(OFFSET($BH$3,0,0,'Données projet'!$E$11+1,1))-AVERAGE(OFFSET($H$3,0,0,'Données projet'!$E$11+1,1))</f>
        <v>481.23392184981651</v>
      </c>
      <c r="BJ47" s="59">
        <f t="shared" si="38"/>
        <v>275.88160405468193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24.781340667330532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24.781340667330532</v>
      </c>
      <c r="BT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17.080000000000002</v>
      </c>
      <c r="BY47" s="12">
        <f>IF('Données projet'!$A$114&gt;35,BY46+BX47-CG46,IF(A47&lt;'Données projet'!$A$114,$BV$205^A47,IF(A47='Données projet'!$A$114,'Données projet'!$B$114,BY46+BX47-CG46)))</f>
        <v>273.20999999999987</v>
      </c>
      <c r="BZ47" s="13">
        <f>BY47*VLOOKUP('Données projet'!$B$12,Paramètres!$A$1:$I$89,3,0)*VLOOKUP('Données projet'!$B$12,Paramètres!$A$1:$I$89,5,0)</f>
        <v>127.86227999999994</v>
      </c>
      <c r="CA47" s="13">
        <f t="shared" si="39"/>
        <v>33.501919343017299</v>
      </c>
      <c r="CB47" s="20">
        <f t="shared" si="10"/>
        <v>281.04264718908837</v>
      </c>
      <c r="CC47" s="59">
        <f t="shared" si="11"/>
        <v>531.9331159272258</v>
      </c>
      <c r="CD47" s="59">
        <f ca="1">AVERAGE(OFFSET($CC$3,0,0,'Données projet'!$E$12+1,1))-AVERAGE(OFFSET($H$3,0,0,'Données projet'!$E$12+1,1))</f>
        <v>331.86732359395467</v>
      </c>
      <c r="CE47" s="59">
        <f t="shared" si="40"/>
        <v>208.64489375183106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34.595291816981231</v>
      </c>
      <c r="CL47" s="21">
        <f>EXP(-LN(2)/25)*CL46+(1-EXP(-LN(2)/25))/(LN(2)/25)*Calculateur!CG47*Calculateur!CI47*VLOOKUP('Données projet'!$B$12,Paramètres!$A$1:$I$89,3,0)*0.475*44/12</f>
        <v>0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34.595291816981231</v>
      </c>
      <c r="CO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9.8000000000000007</v>
      </c>
      <c r="CT47" s="12">
        <f>IF('Données projet'!$A$140&gt;35,CT46+CS47-DB46,IF(A47&lt;'Données projet'!$A$140,$CQ$205^A47,IF(A47='Données projet'!$A$140,'Données projet'!$B$140,CT46+CS47-DB46)))</f>
        <v>232.20000000000005</v>
      </c>
      <c r="CU47" s="17">
        <f>CT47*VLOOKUP('Données projet'!$B$13,Paramètres!$A$1:$I$89,3,0)*VLOOKUP('Données projet'!$B$13,Paramètres!$A$1:$I$89,5,0)</f>
        <v>170.24904000000004</v>
      </c>
      <c r="CV47" s="13">
        <f t="shared" si="41"/>
        <v>43.145795507930117</v>
      </c>
      <c r="CW47" s="20">
        <f t="shared" si="13"/>
        <v>371.6626718429784</v>
      </c>
      <c r="CX47" s="59">
        <f t="shared" si="14"/>
        <v>622.55314058111583</v>
      </c>
      <c r="CY47" s="59">
        <f ca="1">AVERAGE(OFFSET($CX$3,0,0,'Données projet'!$E$13+1,1))-AVERAGE(OFFSET($H$3,0,0,'Données projet'!$E$13+1,1))</f>
        <v>352.45777291109863</v>
      </c>
      <c r="CZ47" s="59">
        <f t="shared" si="42"/>
        <v>340.92165104349181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21.476453468557022</v>
      </c>
      <c r="DG47" s="21">
        <f>EXP(-LN(2)/25)*DG46+(1-EXP(-LN(2)/25))/(LN(2)/25)*Calculateur!DB47*Calculateur!DD47*VLOOKUP('Données projet'!$B$13,Paramètres!$A$1:$I$89,3,0)*0.475*44/12</f>
        <v>0</v>
      </c>
      <c r="DH47" s="21">
        <f>EXP(-LN(2)/2)*DH46+(1-EXP(-LN(2)/2))/(LN(2)/2)*DB47*DE47*VLOOKUP('Données projet'!$B$13,Paramètres!$A$1:$I$89,3,0)*0.475*44/12</f>
        <v>0</v>
      </c>
      <c r="DI47" s="22">
        <f t="shared" si="15"/>
        <v>21.476453468557022</v>
      </c>
      <c r="DJ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13.059999999999999</v>
      </c>
      <c r="DO47" s="12">
        <f>IF('Données projet'!$A$166&gt;35,DO46+DN47-DW46,IF(A47&lt;'Données projet'!$A$166,$DL$205^A47,IF(A47='Données projet'!$A$166,'Données projet'!$B$166,DO46+DN47-DW46)))</f>
        <v>200.65000000000006</v>
      </c>
      <c r="DP47" s="17">
        <f>DO47*VLOOKUP('Données projet'!$B$14,Paramètres!$A$1:$I$89,3,0)*VLOOKUP('Données projet'!$B$14,Paramètres!$A$1:$I$89,5,0)</f>
        <v>134.59602000000004</v>
      </c>
      <c r="DQ47" s="13">
        <f t="shared" si="43"/>
        <v>35.056207649810915</v>
      </c>
      <c r="DR47" s="20">
        <f t="shared" si="16"/>
        <v>295.47762982342073</v>
      </c>
      <c r="DS47" s="59">
        <f t="shared" si="17"/>
        <v>546.3680985615581</v>
      </c>
      <c r="DT47" s="59">
        <f ca="1">AVERAGE(OFFSET($DS$3,0,0,'Données projet'!$E$14+1,1))-AVERAGE(OFFSET($H$3,0,0,'Données projet'!$E$14+1,1))</f>
        <v>441.20130048888439</v>
      </c>
      <c r="DU47" s="59">
        <f t="shared" si="44"/>
        <v>237.47732532183946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40.440273406405673</v>
      </c>
      <c r="EB47" s="21">
        <f>EXP(-LN(2)/25)*EB46+(1-EXP(-LN(2)/25))/(LN(2)/25)*Calculateur!DW47*Calculateur!DY47*VLOOKUP('Données projet'!$B$14,Paramètres!$A$1:$I$89,3,0)*0.475*44/12</f>
        <v>0</v>
      </c>
      <c r="EC47" s="21">
        <f>EXP(-LN(2)/2)*EC46+(1-EXP(-LN(2)/2))/(LN(2)/2)*DW47*DZ47*VLOOKUP('Données projet'!$B$14,Paramètres!$A$1:$I$89,3,0)*0.475*44/12</f>
        <v>0</v>
      </c>
      <c r="ED47" s="22">
        <f t="shared" si="18"/>
        <v>40.440273406405673</v>
      </c>
      <c r="EE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9.8000000000000007</v>
      </c>
      <c r="EJ47" s="12">
        <f>IF('Données projet'!$A$192&gt;35,EJ46+EI47-ER46,IF(A47&lt;'Données projet'!$A$192,$EG$205^A47,IF(A47='Données projet'!$A$192,'Données projet'!$B$192,EJ46+EI47-ER46)))</f>
        <v>232.20000000000005</v>
      </c>
      <c r="EK47" s="17">
        <f>EJ47*VLOOKUP('Données projet'!$B$15,Paramètres!$A$1:$I$89,3,0)*VLOOKUP('Données projet'!$B$15,Paramètres!$A$1:$I$89,5,0)</f>
        <v>184.73832000000004</v>
      </c>
      <c r="EL47" s="13">
        <f t="shared" si="45"/>
        <v>46.374775595471988</v>
      </c>
      <c r="EM47" s="20">
        <f t="shared" si="19"/>
        <v>402.52197482878046</v>
      </c>
      <c r="EN47" s="59">
        <f t="shared" si="20"/>
        <v>653.41244356691789</v>
      </c>
      <c r="EO47" s="59">
        <f ca="1">AVERAGE(OFFSET($EN$3,0,0,'Données projet'!$E$15+1,1))-AVERAGE(OFFSET($H$3,0,0,'Données projet'!$E$15+1,1))</f>
        <v>377.27600411578322</v>
      </c>
      <c r="EP47" s="59">
        <f t="shared" si="46"/>
        <v>364.58250627635425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>
        <f>EXP(-LN(2)/35)*EV46+(1-EXP(-LN(2)/35))/(LN(2)/35)*ER47*ES47*VLOOKUP('Données projet'!$B$15,Paramètres!$A$1:$I$89,3,0)*0.475*44/12</f>
        <v>28.723826682587664</v>
      </c>
      <c r="EW47" s="21">
        <f>EXP(-LN(2)/25)*EW46+(1-EXP(-LN(2)/25))/(LN(2)/25)*Calculateur!ER47*Calculateur!ET47*VLOOKUP('Données projet'!$B$15,Paramètres!$A$1:$I$89,3,0)*0.475*44/12</f>
        <v>0</v>
      </c>
      <c r="EX47" s="21">
        <f>EXP(-LN(2)/2)*EX46+(1-EXP(-LN(2)/2))/(LN(2)/2)*ER47*EU47*VLOOKUP('Données projet'!$B$15,Paramètres!$A$1:$I$89,3,0)*0.475*44/12</f>
        <v>0</v>
      </c>
      <c r="EY47" s="22">
        <f t="shared" si="21"/>
        <v>28.723826682587664</v>
      </c>
      <c r="EZ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9.8000000000000007</v>
      </c>
      <c r="FE47" s="12">
        <f>IF('Données projet'!$A$218&gt;35,FE46+FD47-FM46,IF(A47&lt;'Données projet'!$A$218,$FB$205^A47,IF(A47='Données projet'!$A$218,'Données projet'!$B$218,FE46+FD47-FM46)))</f>
        <v>232.20000000000005</v>
      </c>
      <c r="FF47" s="17">
        <f>FE47*VLOOKUP('Données projet'!$B$16,Paramètres!$A$1:$I$89,3,0)*VLOOKUP('Données projet'!$B$16,Paramètres!$A$1:$I$89,5,0)</f>
        <v>188.36064000000005</v>
      </c>
      <c r="FG47" s="13">
        <f t="shared" si="47"/>
        <v>47.177331040995796</v>
      </c>
      <c r="FH47" s="20">
        <f t="shared" si="22"/>
        <v>410.22863289640105</v>
      </c>
      <c r="FI47" s="59">
        <f t="shared" si="23"/>
        <v>661.11910163453854</v>
      </c>
      <c r="FJ47" s="59">
        <f ca="1">AVERAGE(OFFSET($FI$3,0,0,'Données projet'!$E$16+1,1))-AVERAGE(OFFSET($H$3,0,0,'Données projet'!$E$16+1,1))</f>
        <v>383.47399633251354</v>
      </c>
      <c r="FK47" s="59">
        <f t="shared" si="48"/>
        <v>370.49129421395628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>
        <f>EXP(-LN(2)/35)*FQ46+(1-EXP(-LN(2)/35))/(LN(2)/35)*FM47*FN47*VLOOKUP('Données projet'!$B$16,Paramètres!$A$1:$I$89,3,0)*0.475*44/12</f>
        <v>29.287038970481539</v>
      </c>
      <c r="FR47" s="21">
        <f>EXP(-LN(2)/25)*FR46+(1-EXP(-LN(2)/25))/(LN(2)/25)*Calculateur!FM47*Calculateur!FO47*VLOOKUP('Données projet'!$B$16,Paramètres!$A$1:$I$89,3,0)*0.475*44/12</f>
        <v>0</v>
      </c>
      <c r="FS47" s="21">
        <f>EXP(-LN(2)/2)*FS46+(1-EXP(-LN(2)/2))/(LN(2)/2)*FM47*FP47*VLOOKUP('Données projet'!$B$16,Paramètres!$A$1:$I$89,3,0)*0.475*44/12</f>
        <v>0</v>
      </c>
      <c r="FT47" s="22">
        <f t="shared" si="24"/>
        <v>29.287038970481539</v>
      </c>
      <c r="FU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13.059999999999999</v>
      </c>
      <c r="FZ47" s="12">
        <f>IF('Données projet'!$A$244&gt;35,FZ46+FY47-GH46,IF(A47&lt;'Données projet'!$A$244,$FW$205^A47,IF(A47='Données projet'!$A$244,'Données projet'!$B$244,FZ46+FY47-GH46)))</f>
        <v>200.65000000000006</v>
      </c>
      <c r="GA47" s="17">
        <f>FZ47*VLOOKUP('Données projet'!$B$17,Paramètres!$A$1:$I$89,3,0)*VLOOKUP('Données projet'!$B$17,Paramètres!$A$1:$I$89,5,0)</f>
        <v>190.93854000000005</v>
      </c>
      <c r="GB47" s="13">
        <f t="shared" si="49"/>
        <v>47.747391175523354</v>
      </c>
      <c r="GC47" s="20">
        <f t="shared" si="25"/>
        <v>415.71133013070329</v>
      </c>
      <c r="GD47" s="59">
        <f t="shared" si="26"/>
        <v>666.60179886884066</v>
      </c>
      <c r="GE47" s="59">
        <f ca="1">AVERAGE(OFFSET($GD$3,0,0,'Données projet'!$E$17+1,1))-AVERAGE(OFFSET($H$3,0,0,'Données projet'!$E$17+1,1))</f>
        <v>592.58528889137358</v>
      </c>
      <c r="GF47" s="59">
        <f t="shared" si="50"/>
        <v>311.31528020403709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>
        <f>EXP(-LN(2)/35)*GL46+(1-EXP(-LN(2)/35))/(LN(2)/35)*GH47*GI47*VLOOKUP('Données projet'!$B$17,Paramètres!$A$1:$I$89,3,0)*0.475*44/12</f>
        <v>46.54446561869333</v>
      </c>
      <c r="GM47" s="21">
        <f>EXP(-LN(2)/25)*GM46+(1-EXP(-LN(2)/25))/(LN(2)/25)*Calculateur!GH47*Calculateur!GJ47*VLOOKUP('Données projet'!$B$17,Paramètres!$A$1:$I$89,3,0)*0.475*44/12</f>
        <v>0</v>
      </c>
      <c r="GN47" s="21">
        <f>EXP(-LN(2)/2)*GN46+(1-EXP(-LN(2)/2))/(LN(2)/2)*GH47*GK47*VLOOKUP('Données projet'!$B$17,Paramètres!$A$1:$I$89,3,0)*0.475*44/12</f>
        <v>0</v>
      </c>
      <c r="GO47" s="21">
        <f t="shared" si="27"/>
        <v>46.54446561869333</v>
      </c>
      <c r="GP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>
        <f>VLOOKUP(A47,'Données projet'!$A$269:$I$289,2,0)</f>
        <v>230</v>
      </c>
      <c r="GS47" s="12">
        <f>VLOOKUP(A47,'Données projet'!$A$269:$I$289,9,0)</f>
        <v>11.142857142857142</v>
      </c>
      <c r="GT47" s="12">
        <f t="array" ref="GT47">INDEX(GS:GS,MIN(IF(ISNUMBER(GS47:GS243),ROW(GS47:GS243),"")))</f>
        <v>11.142857142857142</v>
      </c>
      <c r="GU47" s="12">
        <f>IF('Données projet'!$A$270&gt;35,GU46+GT47-HC46,IF(A47&lt;'Données projet'!$A$270,$GR$205^A47,IF(A47='Données projet'!$A$270,'Données projet'!$B$270,GU46+GT47-HC46)))</f>
        <v>229.99999999999991</v>
      </c>
      <c r="GV47" s="17">
        <f>GU47*VLOOKUP('Données projet'!$B$18,Paramètres!$A$1:$I$89,3,0)*VLOOKUP('Données projet'!$B$18,Paramètres!$A$1:$I$89,5,0)</f>
        <v>179.39999999999995</v>
      </c>
      <c r="GW47" s="13">
        <f t="shared" si="51"/>
        <v>45.188671291872232</v>
      </c>
      <c r="GX47" s="20">
        <f t="shared" si="28"/>
        <v>391.15860250001066</v>
      </c>
      <c r="GY47" s="59">
        <f t="shared" si="29"/>
        <v>642.04907123814814</v>
      </c>
      <c r="GZ47" s="59">
        <f ca="1">AVERAGE(OFFSET($GY$3,0,0,'Données projet'!$E$18+1,1))-AVERAGE(OFFSET($H$3,0,0,'Données projet'!$E$18+1,1))</f>
        <v>308.85018589589453</v>
      </c>
      <c r="HA47" s="59">
        <f t="shared" si="52"/>
        <v>302.59481222418219</v>
      </c>
      <c r="HB47" s="15">
        <f>IF(ISNA(VLOOKUP(A47,'Données projet'!$A$269:$I$289,3,0)),0,VLOOKUP(A47,'Données projet'!$A$269:$I$289,3,0))</f>
        <v>6</v>
      </c>
      <c r="HC47" s="15">
        <f>IF(ISNA(VLOOKUP(A47,'Données projet'!$A$269:$I$289,4,0)),0,VLOOKUP(A47,'Données projet'!$A$269:$I$289,4,0))</f>
        <v>43</v>
      </c>
      <c r="HD47" s="16">
        <f>IF(ISNA(VLOOKUP(A47,'Données projet'!$A$269:$I$289,5,0)),0%,VLOOKUP(A47,'Données projet'!$A$269:$I$289,5,0)*VLOOKUP('Données projet'!$B$18,Paramètres!$A$1:$I$89,7,0))</f>
        <v>0.43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>
        <f>EXP(-LN(2)/35)*HG46+(1-EXP(-LN(2)/35))/(LN(2)/35)*HC47*HD47*VLOOKUP('Données projet'!$B$18,Paramètres!$A$1:$I$89,3,0)*0.475*44/12</f>
        <v>37.881472075670096</v>
      </c>
      <c r="HH47" s="21">
        <f>EXP(-LN(2)/25)*HH46+(1-EXP(-LN(2)/25))/(LN(2)/25)*Calculateur!HC47*Calculateur!HE47*VLOOKUP('Données projet'!$B$18,Paramètres!$A$1:$I$89,3,0)*0.475*44/12</f>
        <v>0</v>
      </c>
      <c r="HI47" s="21">
        <f>EXP(-LN(2)/2)*HI46+(1-EXP(-LN(2)/2))/(LN(2)/2)*HC47*HF47*VLOOKUP('Données projet'!$B$18,Paramètres!$A$1:$I$89,3,0)*0.475*44/12</f>
        <v>0</v>
      </c>
      <c r="HJ47" s="22">
        <f t="shared" si="30"/>
        <v>37.881472075670096</v>
      </c>
    </row>
    <row r="48" spans="1:218" x14ac:dyDescent="0.35">
      <c r="A48" s="10">
        <f t="shared" si="31"/>
        <v>45</v>
      </c>
      <c r="B48" s="72">
        <f>'Scénario référence'!$B$16*5+'Scénario référence'!$B$17*0+'Scénario référence'!$B$18*5</f>
        <v>5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66">
        <f t="shared" si="1"/>
        <v>183.33333333333334</v>
      </c>
      <c r="I48" s="6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13.059999999999999</v>
      </c>
      <c r="N48" s="13">
        <f>IF('Données projet'!$A$36&gt;35,N47+M48-V47,IF(A48&lt;'Données projet'!$A$36,$K$205^A48,IF(A48='Données projet'!$A$36,'Données projet'!$B$36,N47+M48-V47)))</f>
        <v>213.71000000000006</v>
      </c>
      <c r="O48" s="13">
        <f>N48*VLOOKUP('Données projet'!$B$9,Paramètres!$A$1:$I$89,3,0)*VLOOKUP('Données projet'!$B$9,Paramètres!$A$1:$I$89,5,0)</f>
        <v>193.36480800000007</v>
      </c>
      <c r="P48" s="13">
        <f t="shared" si="33"/>
        <v>48.283102387258864</v>
      </c>
      <c r="Q48" s="20">
        <f t="shared" si="53"/>
        <v>420.87011059114269</v>
      </c>
      <c r="R48" s="59">
        <f t="shared" si="0"/>
        <v>672.49686814197685</v>
      </c>
      <c r="S48" s="59">
        <f ca="1">AVERAGE(OFFSET($R$3,0,0,'Données projet'!$E$9+1,1))-AVERAGE(OFFSET($H$3,0,0,'Données projet'!$E$9+1,1))</f>
        <v>567.42635821507474</v>
      </c>
      <c r="T48" s="59">
        <f t="shared" si="34"/>
        <v>299.04735309930152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43.387572264908691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0</v>
      </c>
      <c r="AC48" s="22">
        <f t="shared" si="3"/>
        <v>43.387572264908691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13.059999999999999</v>
      </c>
      <c r="AI48" s="13">
        <f>IF('Données projet'!$A$62&gt;35,AI47+AH48-AQ47,IF(A48&lt;'Données projet'!$A$62,$AF$205^A48,IF(A48='Données projet'!$A$62,'Données projet'!$B$62,AI47+AH48-AQ47)))</f>
        <v>213.71000000000006</v>
      </c>
      <c r="AJ48" s="13">
        <f>AI48*VLOOKUP('Données projet'!$B$10,Paramètres!$A$1:$I$89,3,0)*VLOOKUP('Données projet'!$B$10,Paramètres!$A$1:$I$89,5,0)</f>
        <v>216.70194000000009</v>
      </c>
      <c r="AK48" s="13">
        <f t="shared" si="35"/>
        <v>53.397439744331798</v>
      </c>
      <c r="AL48" s="20">
        <f t="shared" si="4"/>
        <v>470.42308638804462</v>
      </c>
      <c r="AM48" s="59">
        <f t="shared" si="5"/>
        <v>722.04984393887878</v>
      </c>
      <c r="AN48" s="59">
        <f ca="1">AVERAGE(OFFSET($AM$3,0,0,'Données projet'!$E$10+1,1))-AVERAGE(OFFSET($H$3,0,0,'Données projet'!$E$10+1,1))</f>
        <v>626.09203985591455</v>
      </c>
      <c r="AO48" s="59">
        <f t="shared" si="36"/>
        <v>327.65191296575199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48.624003400328711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48.624003400328711</v>
      </c>
      <c r="AY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190</v>
      </c>
      <c r="BB48" s="12">
        <f>VLOOKUP(A48,'Données projet'!$A$87:$I$107,9,0)</f>
        <v>11</v>
      </c>
      <c r="BC48" s="12">
        <f t="array" ref="BC48">INDEX(BB:BB,MIN(IF(ISNUMBER(BB48:BB244),ROW(BB48:BB244),"")))</f>
        <v>11</v>
      </c>
      <c r="BD48" s="12">
        <f>IF('Données projet'!$A$88&gt;35,BD47+BC48-BL47,IF(A48&lt;'Données projet'!$A$88,$BA$205^A48,IF(A48='Données projet'!$A$88,'Données projet'!$B$88,BD47+BC48-BL47)))</f>
        <v>190.00000000000003</v>
      </c>
      <c r="BE48" s="13">
        <f>BD48*VLOOKUP('Données projet'!$B$11,Paramètres!$A$1:$I$89,3,0)*VLOOKUP('Données projet'!$B$11,Paramètres!$A$1:$I$89,5,0)</f>
        <v>163.02000000000004</v>
      </c>
      <c r="BF48" s="13">
        <f t="shared" si="37"/>
        <v>41.52294175893757</v>
      </c>
      <c r="BG48" s="20">
        <f t="shared" si="7"/>
        <v>356.24562356348298</v>
      </c>
      <c r="BH48" s="59">
        <f t="shared" si="8"/>
        <v>607.87238111431714</v>
      </c>
      <c r="BI48" s="59">
        <f ca="1">AVERAGE(OFFSET($BH$3,0,0,'Données projet'!$E$11+1,1))-AVERAGE(OFFSET($H$3,0,0,'Données projet'!$E$11+1,1))</f>
        <v>481.23392184981651</v>
      </c>
      <c r="BJ48" s="59">
        <f t="shared" si="38"/>
        <v>275.88160405468193</v>
      </c>
      <c r="BK48" s="15">
        <f>IF(ISNA(VLOOKUP(A48,'Données projet'!$A$87:$I$107,3,0)),0,VLOOKUP(A48,'Données projet'!$A$87:$I$107,3,0))</f>
        <v>5</v>
      </c>
      <c r="BL48" s="15">
        <f>IF(ISNA(VLOOKUP(A48,'Données projet'!$A$87:$I$107,4,0)),0,VLOOKUP(A48,'Données projet'!$A$87:$I$107,4,0))</f>
        <v>28</v>
      </c>
      <c r="BM48" s="16">
        <f>IF(ISNA(VLOOKUP(A48,'Données projet'!$A$87:$I$107,5,0)),0%,VLOOKUP(A48,'Données projet'!$A$87:$I$107,5,0)*VLOOKUP('Données projet'!$B$11,Paramètres!$A$1:$I$89,7,0))</f>
        <v>0.53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38.37103850285628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38.37103850285628</v>
      </c>
      <c r="BT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17.080000000000002</v>
      </c>
      <c r="BY48" s="12">
        <f>IF('Données projet'!$A$114&gt;35,BY47+BX48-CG47,IF(A48&lt;'Données projet'!$A$114,$BV$205^A48,IF(A48='Données projet'!$A$114,'Données projet'!$B$114,BY47+BX48-CG47)))</f>
        <v>290.28999999999985</v>
      </c>
      <c r="BZ48" s="13">
        <f>BY48*VLOOKUP('Données projet'!$B$12,Paramètres!$A$1:$I$89,3,0)*VLOOKUP('Données projet'!$B$12,Paramètres!$A$1:$I$89,5,0)</f>
        <v>135.85571999999993</v>
      </c>
      <c r="CA48" s="13">
        <f t="shared" si="39"/>
        <v>35.345955182590913</v>
      </c>
      <c r="CB48" s="20">
        <f t="shared" si="10"/>
        <v>298.17625094301241</v>
      </c>
      <c r="CC48" s="59">
        <f t="shared" si="11"/>
        <v>549.80300849384651</v>
      </c>
      <c r="CD48" s="59">
        <f ca="1">AVERAGE(OFFSET($CC$3,0,0,'Données projet'!$E$12+1,1))-AVERAGE(OFFSET($H$3,0,0,'Données projet'!$E$12+1,1))</f>
        <v>331.86732359395467</v>
      </c>
      <c r="CE48" s="59">
        <f t="shared" si="40"/>
        <v>208.64489375183106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33.916899245494683</v>
      </c>
      <c r="CL48" s="21">
        <f>EXP(-LN(2)/25)*CL47+(1-EXP(-LN(2)/25))/(LN(2)/25)*Calculateur!CG48*Calculateur!CI48*VLOOKUP('Données projet'!$B$12,Paramètres!$A$1:$I$89,3,0)*0.475*44/12</f>
        <v>0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33.916899245494683</v>
      </c>
      <c r="CO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>
        <f>VLOOKUP(A48,'Données projet'!$A$139:$I$159,2,0)</f>
        <v>242</v>
      </c>
      <c r="CR48" s="12">
        <f>VLOOKUP(A48,'Données projet'!$A$139:$I$159,9,0)</f>
        <v>9.8000000000000007</v>
      </c>
      <c r="CS48" s="12">
        <f t="array" ref="CS48">INDEX(CR:CR,MIN(IF(ISNUMBER(CR48:CR244),ROW(CR48:CR244),"")))</f>
        <v>9.8000000000000007</v>
      </c>
      <c r="CT48" s="12">
        <f>IF('Données projet'!$A$140&gt;35,CT47+CS48-DB47,IF(A48&lt;'Données projet'!$A$140,$CQ$205^A48,IF(A48='Données projet'!$A$140,'Données projet'!$B$140,CT47+CS48-DB47)))</f>
        <v>242.00000000000006</v>
      </c>
      <c r="CU48" s="17">
        <f>CT48*VLOOKUP('Données projet'!$B$13,Paramètres!$A$1:$I$89,3,0)*VLOOKUP('Données projet'!$B$13,Paramètres!$A$1:$I$89,5,0)</f>
        <v>177.43440000000004</v>
      </c>
      <c r="CV48" s="13">
        <f t="shared" si="41"/>
        <v>44.750911401641211</v>
      </c>
      <c r="CW48" s="20">
        <f t="shared" si="13"/>
        <v>386.97275069119183</v>
      </c>
      <c r="CX48" s="59">
        <f t="shared" si="14"/>
        <v>638.59950824202599</v>
      </c>
      <c r="CY48" s="59">
        <f ca="1">AVERAGE(OFFSET($CX$3,0,0,'Données projet'!$E$13+1,1))-AVERAGE(OFFSET($H$3,0,0,'Données projet'!$E$13+1,1))</f>
        <v>352.45777291109863</v>
      </c>
      <c r="CZ48" s="59">
        <f t="shared" si="42"/>
        <v>340.92165104349181</v>
      </c>
      <c r="DA48" s="15">
        <f>IF(ISNA(VLOOKUP(A48,'Données projet'!$A$139:$I$159,3,0)),0,VLOOKUP(A48,'Données projet'!$A$139:$I$159,3,0))</f>
        <v>7</v>
      </c>
      <c r="DB48" s="15">
        <f>IF(ISNA(VLOOKUP(A48,'Données projet'!$A$139:$I$159,4,0)),0,VLOOKUP(A48,'Données projet'!$A$139:$I$159,4,0))</f>
        <v>24</v>
      </c>
      <c r="DC48" s="16">
        <f>IF(ISNA(VLOOKUP(A48,'Données projet'!$A$139:$I$159,5,0)),0%,VLOOKUP(A48,'Données projet'!$A$139:$I$159,5,0)*VLOOKUP('Données projet'!$B$13,Paramètres!$A$1:$I$89,7,0))</f>
        <v>0.43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29.419992020444909</v>
      </c>
      <c r="DG48" s="21">
        <f>EXP(-LN(2)/25)*DG47+(1-EXP(-LN(2)/25))/(LN(2)/25)*Calculateur!DB48*Calculateur!DD48*VLOOKUP('Données projet'!$B$13,Paramètres!$A$1:$I$89,3,0)*0.475*44/12</f>
        <v>0</v>
      </c>
      <c r="DH48" s="21">
        <f>EXP(-LN(2)/2)*DH47+(1-EXP(-LN(2)/2))/(LN(2)/2)*DB48*DE48*VLOOKUP('Données projet'!$B$13,Paramètres!$A$1:$I$89,3,0)*0.475*44/12</f>
        <v>0</v>
      </c>
      <c r="DI48" s="22">
        <f t="shared" si="15"/>
        <v>29.419992020444909</v>
      </c>
      <c r="DJ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13.059999999999999</v>
      </c>
      <c r="DO48" s="12">
        <f>IF('Données projet'!$A$166&gt;35,DO47+DN48-DW47,IF(A48&lt;'Données projet'!$A$166,$DL$205^A48,IF(A48='Données projet'!$A$166,'Données projet'!$B$166,DO47+DN48-DW47)))</f>
        <v>213.71000000000006</v>
      </c>
      <c r="DP48" s="17">
        <f>DO48*VLOOKUP('Données projet'!$B$14,Paramètres!$A$1:$I$89,3,0)*VLOOKUP('Données projet'!$B$14,Paramètres!$A$1:$I$89,5,0)</f>
        <v>143.35666800000004</v>
      </c>
      <c r="DQ48" s="13">
        <f t="shared" si="43"/>
        <v>37.064907426290667</v>
      </c>
      <c r="DR48" s="20">
        <f t="shared" si="16"/>
        <v>314.23424386745631</v>
      </c>
      <c r="DS48" s="59">
        <f t="shared" si="17"/>
        <v>565.86100141829047</v>
      </c>
      <c r="DT48" s="59">
        <f ca="1">AVERAGE(OFFSET($DS$3,0,0,'Données projet'!$E$14+1,1))-AVERAGE(OFFSET($H$3,0,0,'Données projet'!$E$14+1,1))</f>
        <v>441.20130048888439</v>
      </c>
      <c r="DU48" s="59">
        <f t="shared" si="44"/>
        <v>237.47732532183946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39.647264311037254</v>
      </c>
      <c r="EB48" s="21">
        <f>EXP(-LN(2)/25)*EB47+(1-EXP(-LN(2)/25))/(LN(2)/25)*Calculateur!DW48*Calculateur!DY48*VLOOKUP('Données projet'!$B$14,Paramètres!$A$1:$I$89,3,0)*0.475*44/12</f>
        <v>0</v>
      </c>
      <c r="EC48" s="21">
        <f>EXP(-LN(2)/2)*EC47+(1-EXP(-LN(2)/2))/(LN(2)/2)*DW48*DZ48*VLOOKUP('Données projet'!$B$14,Paramètres!$A$1:$I$89,3,0)*0.475*44/12</f>
        <v>0</v>
      </c>
      <c r="ED48" s="22">
        <f t="shared" si="18"/>
        <v>39.647264311037254</v>
      </c>
      <c r="EE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>
        <f>VLOOKUP(A48,'Données projet'!$A$191:$I$211,2,0)</f>
        <v>242</v>
      </c>
      <c r="EH48" s="12">
        <f>VLOOKUP(A48,'Données projet'!$A$191:$I$211,9,0)</f>
        <v>9.8000000000000007</v>
      </c>
      <c r="EI48" s="12">
        <f t="array" ref="EI48">INDEX(EH:EH,MIN(IF(ISNUMBER(EH48:EH244),ROW(EH48:EH244),"")))</f>
        <v>9.8000000000000007</v>
      </c>
      <c r="EJ48" s="12">
        <f>IF('Données projet'!$A$192&gt;35,EJ47+EI48-ER47,IF(A48&lt;'Données projet'!$A$192,$EG$205^A48,IF(A48='Données projet'!$A$192,'Données projet'!$B$192,EJ47+EI48-ER47)))</f>
        <v>242.00000000000006</v>
      </c>
      <c r="EK48" s="17">
        <f>EJ48*VLOOKUP('Données projet'!$B$15,Paramètres!$A$1:$I$89,3,0)*VLOOKUP('Données projet'!$B$15,Paramètres!$A$1:$I$89,5,0)</f>
        <v>192.53520000000006</v>
      </c>
      <c r="EL48" s="13">
        <f t="shared" si="45"/>
        <v>48.100016456123079</v>
      </c>
      <c r="EM48" s="20">
        <f t="shared" si="19"/>
        <v>419.10633532774779</v>
      </c>
      <c r="EN48" s="59">
        <f t="shared" si="20"/>
        <v>670.73309287858194</v>
      </c>
      <c r="EO48" s="59">
        <f ca="1">AVERAGE(OFFSET($EN$3,0,0,'Données projet'!$E$15+1,1))-AVERAGE(OFFSET($H$3,0,0,'Données projet'!$E$15+1,1))</f>
        <v>377.27600411578322</v>
      </c>
      <c r="EP48" s="59">
        <f t="shared" si="46"/>
        <v>364.58250627635425</v>
      </c>
      <c r="EQ48" s="15">
        <f>IF(ISNA(VLOOKUP(A48,'Données projet'!$A$191:$I$211,3,0)),0,VLOOKUP(A48,'Données projet'!$A$191:$I$211,3,0))</f>
        <v>7</v>
      </c>
      <c r="ER48" s="15">
        <f>IF(ISNA(VLOOKUP(A48,'Données projet'!$A$191:$I$211,4,0)),0,VLOOKUP(A48,'Données projet'!$A$191:$I$211,4,0))</f>
        <v>24</v>
      </c>
      <c r="ES48" s="16">
        <f>IF(ISNA(VLOOKUP(A48,'Données projet'!$A$191:$I$211,5,0)),0%,VLOOKUP(A48,'Données projet'!$A$191:$I$211,5,0)*VLOOKUP('Données projet'!$B$15,Paramètres!$A$1:$I$89,7,0))</f>
        <v>0.53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>
        <f>EXP(-LN(2)/35)*EV47+(1-EXP(-LN(2)/35))/(LN(2)/35)*ER48*ES48*VLOOKUP('Données projet'!$B$15,Paramètres!$A$1:$I$89,3,0)*0.475*44/12</f>
        <v>39.34796557707206</v>
      </c>
      <c r="EW48" s="21">
        <f>EXP(-LN(2)/25)*EW47+(1-EXP(-LN(2)/25))/(LN(2)/25)*Calculateur!ER48*Calculateur!ET48*VLOOKUP('Données projet'!$B$15,Paramètres!$A$1:$I$89,3,0)*0.475*44/12</f>
        <v>0</v>
      </c>
      <c r="EX48" s="21">
        <f>EXP(-LN(2)/2)*EX47+(1-EXP(-LN(2)/2))/(LN(2)/2)*ER48*EU48*VLOOKUP('Données projet'!$B$15,Paramètres!$A$1:$I$89,3,0)*0.475*44/12</f>
        <v>0</v>
      </c>
      <c r="EY48" s="22">
        <f t="shared" si="21"/>
        <v>39.34796557707206</v>
      </c>
      <c r="EZ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>
        <f>VLOOKUP(A48,'Données projet'!$A$217:$I$237,2,0)</f>
        <v>242</v>
      </c>
      <c r="FC48" s="12">
        <f>VLOOKUP(A48,'Données projet'!$A$217:$I$237,9,0)</f>
        <v>9.8000000000000007</v>
      </c>
      <c r="FD48" s="12">
        <f t="array" ref="FD48">INDEX(FC:FC,MIN(IF(ISNUMBER(FC48:FC244),ROW(FC48:FC244),"")))</f>
        <v>9.8000000000000007</v>
      </c>
      <c r="FE48" s="12">
        <f>IF('Données projet'!$A$218&gt;35,FE47+FD48-FM47,IF(A48&lt;'Données projet'!$A$218,$FB$205^A48,IF(A48='Données projet'!$A$218,'Données projet'!$B$218,FE47+FD48-FM47)))</f>
        <v>242.00000000000006</v>
      </c>
      <c r="FF48" s="17">
        <f>FE48*VLOOKUP('Données projet'!$B$16,Paramètres!$A$1:$I$89,3,0)*VLOOKUP('Données projet'!$B$16,Paramètres!$A$1:$I$89,5,0)</f>
        <v>196.31040000000004</v>
      </c>
      <c r="FG48" s="13">
        <f t="shared" si="47"/>
        <v>48.932428681108973</v>
      </c>
      <c r="FH48" s="20">
        <f t="shared" si="22"/>
        <v>427.13125995293154</v>
      </c>
      <c r="FI48" s="59">
        <f t="shared" si="23"/>
        <v>678.7580175037657</v>
      </c>
      <c r="FJ48" s="59">
        <f ca="1">AVERAGE(OFFSET($FI$3,0,0,'Données projet'!$E$16+1,1))-AVERAGE(OFFSET($H$3,0,0,'Données projet'!$E$16+1,1))</f>
        <v>383.47399633251354</v>
      </c>
      <c r="FK48" s="59">
        <f t="shared" si="48"/>
        <v>370.49129421395628</v>
      </c>
      <c r="FL48" s="15">
        <f>IF(ISNA(VLOOKUP(A48,'Données projet'!$A$217:$I$237,3,0)),0,VLOOKUP(A48,'Données projet'!$A$217:$I$237,3,0))</f>
        <v>7</v>
      </c>
      <c r="FM48" s="15">
        <f>IF(ISNA(VLOOKUP(A48,'Données projet'!$A$217:$I$237,4,0)),0,VLOOKUP(A48,'Données projet'!$A$217:$I$237,4,0))</f>
        <v>24</v>
      </c>
      <c r="FN48" s="16">
        <f>IF(ISNA(VLOOKUP(A48,'Données projet'!$A$217:$I$237,5,0)),0%,VLOOKUP(A48,'Données projet'!$A$217:$I$237,5,0)*VLOOKUP('Données projet'!$B$16,Paramètres!$A$1:$I$89,7,0))</f>
        <v>0.53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>
        <f>EXP(-LN(2)/35)*FQ47+(1-EXP(-LN(2)/35))/(LN(2)/35)*FM48*FN48*VLOOKUP('Données projet'!$B$16,Paramètres!$A$1:$I$89,3,0)*0.475*44/12</f>
        <v>40.119494313877397</v>
      </c>
      <c r="FR48" s="21">
        <f>EXP(-LN(2)/25)*FR47+(1-EXP(-LN(2)/25))/(LN(2)/25)*Calculateur!FM48*Calculateur!FO48*VLOOKUP('Données projet'!$B$16,Paramètres!$A$1:$I$89,3,0)*0.475*44/12</f>
        <v>0</v>
      </c>
      <c r="FS48" s="21">
        <f>EXP(-LN(2)/2)*FS47+(1-EXP(-LN(2)/2))/(LN(2)/2)*FM48*FP48*VLOOKUP('Données projet'!$B$16,Paramètres!$A$1:$I$89,3,0)*0.475*44/12</f>
        <v>0</v>
      </c>
      <c r="FT48" s="22">
        <f t="shared" si="24"/>
        <v>40.119494313877397</v>
      </c>
      <c r="FU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13.059999999999999</v>
      </c>
      <c r="FZ48" s="12">
        <f>IF('Données projet'!$A$244&gt;35,FZ47+FY48-GH47,IF(A48&lt;'Données projet'!$A$244,$FW$205^A48,IF(A48='Données projet'!$A$244,'Données projet'!$B$244,FZ47+FY48-GH47)))</f>
        <v>213.71000000000006</v>
      </c>
      <c r="GA48" s="17">
        <f>FZ48*VLOOKUP('Données projet'!$B$17,Paramètres!$A$1:$I$89,3,0)*VLOOKUP('Données projet'!$B$17,Paramètres!$A$1:$I$89,5,0)</f>
        <v>203.36643600000005</v>
      </c>
      <c r="GB48" s="13">
        <f t="shared" si="49"/>
        <v>50.483288193815937</v>
      </c>
      <c r="GC48" s="20">
        <f t="shared" si="25"/>
        <v>442.12160297089616</v>
      </c>
      <c r="GD48" s="59">
        <f t="shared" si="26"/>
        <v>693.74836052173032</v>
      </c>
      <c r="GE48" s="59">
        <f ca="1">AVERAGE(OFFSET($GD$3,0,0,'Données projet'!$E$17+1,1))-AVERAGE(OFFSET($H$3,0,0,'Données projet'!$E$17+1,1))</f>
        <v>592.58528889137358</v>
      </c>
      <c r="GF48" s="59">
        <f t="shared" si="50"/>
        <v>311.31528020403709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>
        <f>EXP(-LN(2)/35)*GL47+(1-EXP(-LN(2)/35))/(LN(2)/35)*GH48*GI48*VLOOKUP('Données projet'!$B$17,Paramètres!$A$1:$I$89,3,0)*0.475*44/12</f>
        <v>45.631757037231566</v>
      </c>
      <c r="GM48" s="21">
        <f>EXP(-LN(2)/25)*GM47+(1-EXP(-LN(2)/25))/(LN(2)/25)*Calculateur!GH48*Calculateur!GJ48*VLOOKUP('Données projet'!$B$17,Paramètres!$A$1:$I$89,3,0)*0.475*44/12</f>
        <v>0</v>
      </c>
      <c r="GN48" s="21">
        <f>EXP(-LN(2)/2)*GN47+(1-EXP(-LN(2)/2))/(LN(2)/2)*GH48*GK48*VLOOKUP('Données projet'!$B$17,Paramètres!$A$1:$I$89,3,0)*0.475*44/12</f>
        <v>0</v>
      </c>
      <c r="GO48" s="21">
        <f t="shared" si="27"/>
        <v>45.631757037231566</v>
      </c>
      <c r="GP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10.375</v>
      </c>
      <c r="GU48" s="12">
        <f>IF('Données projet'!$A$270&gt;35,GU47+GT48-HC47,IF(A48&lt;'Données projet'!$A$270,$GR$205^A48,IF(A48='Données projet'!$A$270,'Données projet'!$B$270,GU47+GT48-HC47)))</f>
        <v>197.37499999999991</v>
      </c>
      <c r="GV48" s="17">
        <f>GU48*VLOOKUP('Données projet'!$B$18,Paramètres!$A$1:$I$89,3,0)*VLOOKUP('Données projet'!$B$18,Paramètres!$A$1:$I$89,5,0)</f>
        <v>153.95249999999993</v>
      </c>
      <c r="GW48" s="13">
        <f t="shared" si="51"/>
        <v>39.475441267837361</v>
      </c>
      <c r="GX48" s="20">
        <f t="shared" si="28"/>
        <v>336.88699770814992</v>
      </c>
      <c r="GY48" s="59">
        <f t="shared" si="29"/>
        <v>588.51375525898402</v>
      </c>
      <c r="GZ48" s="59">
        <f ca="1">AVERAGE(OFFSET($GY$3,0,0,'Données projet'!$E$18+1,1))-AVERAGE(OFFSET($H$3,0,0,'Données projet'!$E$18+1,1))</f>
        <v>308.85018589589453</v>
      </c>
      <c r="HA48" s="59">
        <f t="shared" si="52"/>
        <v>302.59481222418219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>
        <f>EXP(-LN(2)/35)*HG47+(1-EXP(-LN(2)/35))/(LN(2)/35)*HC48*HD48*VLOOKUP('Données projet'!$B$18,Paramètres!$A$1:$I$89,3,0)*0.475*44/12</f>
        <v>37.138639513682705</v>
      </c>
      <c r="HH48" s="21">
        <f>EXP(-LN(2)/25)*HH47+(1-EXP(-LN(2)/25))/(LN(2)/25)*Calculateur!HC48*Calculateur!HE48*VLOOKUP('Données projet'!$B$18,Paramètres!$A$1:$I$89,3,0)*0.475*44/12</f>
        <v>0</v>
      </c>
      <c r="HI48" s="21">
        <f>EXP(-LN(2)/2)*HI47+(1-EXP(-LN(2)/2))/(LN(2)/2)*HC48*HF48*VLOOKUP('Données projet'!$B$18,Paramètres!$A$1:$I$89,3,0)*0.475*44/12</f>
        <v>0</v>
      </c>
      <c r="HJ48" s="22">
        <f t="shared" si="30"/>
        <v>37.138639513682705</v>
      </c>
    </row>
    <row r="49" spans="1:218" x14ac:dyDescent="0.35">
      <c r="A49" s="10">
        <f t="shared" si="31"/>
        <v>46</v>
      </c>
      <c r="B49" s="72">
        <f>'Scénario référence'!$B$16*5+'Scénario référence'!$B$17*0+'Scénario référence'!$B$18*5</f>
        <v>5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66">
        <f t="shared" si="1"/>
        <v>183.33333333333334</v>
      </c>
      <c r="I49" s="6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13.059999999999999</v>
      </c>
      <c r="N49" s="13">
        <f>IF('Données projet'!$A$36&gt;35,N48+M49-V48,IF(A49&lt;'Données projet'!$A$36,$K$205^A49,IF(A49='Données projet'!$A$36,'Données projet'!$B$36,N48+M49-V48)))</f>
        <v>226.77000000000007</v>
      </c>
      <c r="O49" s="13">
        <f>N49*VLOOKUP('Données projet'!$B$9,Paramètres!$A$1:$I$89,3,0)*VLOOKUP('Données projet'!$B$9,Paramètres!$A$1:$I$89,5,0)</f>
        <v>205.18149600000007</v>
      </c>
      <c r="P49" s="13">
        <f t="shared" si="33"/>
        <v>50.88120304468918</v>
      </c>
      <c r="Q49" s="20">
        <f t="shared" si="53"/>
        <v>445.97586750283375</v>
      </c>
      <c r="R49" s="59">
        <f t="shared" si="0"/>
        <v>698.32614090155937</v>
      </c>
      <c r="S49" s="59">
        <f ca="1">AVERAGE(OFFSET($R$3,0,0,'Données projet'!$E$9+1,1))-AVERAGE(OFFSET($H$3,0,0,'Données projet'!$E$9+1,1))</f>
        <v>567.42635821507474</v>
      </c>
      <c r="T49" s="59">
        <f t="shared" si="34"/>
        <v>299.04735309930152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42.536768436599829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0</v>
      </c>
      <c r="AC49" s="22">
        <f t="shared" si="3"/>
        <v>42.536768436599829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13.059999999999999</v>
      </c>
      <c r="AI49" s="13">
        <f>IF('Données projet'!$A$62&gt;35,AI48+AH49-AQ48,IF(A49&lt;'Données projet'!$A$62,$AF$205^A49,IF(A49='Données projet'!$A$62,'Données projet'!$B$62,AI48+AH49-AQ48)))</f>
        <v>226.77000000000007</v>
      </c>
      <c r="AJ49" s="13">
        <f>AI49*VLOOKUP('Données projet'!$B$10,Paramètres!$A$1:$I$89,3,0)*VLOOKUP('Données projet'!$B$10,Paramètres!$A$1:$I$89,5,0)</f>
        <v>229.94478000000009</v>
      </c>
      <c r="AK49" s="13">
        <f t="shared" si="35"/>
        <v>56.270741509246001</v>
      </c>
      <c r="AL49" s="20">
        <f t="shared" si="4"/>
        <v>498.49203329527023</v>
      </c>
      <c r="AM49" s="59">
        <f t="shared" si="5"/>
        <v>750.84230669399585</v>
      </c>
      <c r="AN49" s="59">
        <f ca="1">AVERAGE(OFFSET($AM$3,0,0,'Données projet'!$E$10+1,1))-AVERAGE(OFFSET($H$3,0,0,'Données projet'!$E$10+1,1))</f>
        <v>626.09203985591455</v>
      </c>
      <c r="AO49" s="59">
        <f t="shared" si="36"/>
        <v>327.65191296575199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47.670516351361883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47.670516351361883</v>
      </c>
      <c r="AY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11</v>
      </c>
      <c r="BD49" s="12">
        <f>IF('Données projet'!$A$88&gt;35,BD48+BC49-BL48,IF(A49&lt;'Données projet'!$A$88,$BA$205^A49,IF(A49='Données projet'!$A$88,'Données projet'!$B$88,BD48+BC49-BL48)))</f>
        <v>173.00000000000003</v>
      </c>
      <c r="BE49" s="13">
        <f>BD49*VLOOKUP('Données projet'!$B$11,Paramètres!$A$1:$I$89,3,0)*VLOOKUP('Données projet'!$B$11,Paramètres!$A$1:$I$89,5,0)</f>
        <v>148.43400000000003</v>
      </c>
      <c r="BF49" s="13">
        <f t="shared" si="37"/>
        <v>38.222489421716382</v>
      </c>
      <c r="BG49" s="20">
        <f t="shared" si="7"/>
        <v>325.0933857428227</v>
      </c>
      <c r="BH49" s="59">
        <f t="shared" si="8"/>
        <v>577.44365914154832</v>
      </c>
      <c r="BI49" s="59">
        <f ca="1">AVERAGE(OFFSET($BH$3,0,0,'Données projet'!$E$11+1,1))-AVERAGE(OFFSET($H$3,0,0,'Données projet'!$E$11+1,1))</f>
        <v>481.23392184981651</v>
      </c>
      <c r="BJ49" s="59">
        <f t="shared" si="38"/>
        <v>275.88160405468193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37.618605841837798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37.618605841837798</v>
      </c>
      <c r="BT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17.080000000000002</v>
      </c>
      <c r="BY49" s="12">
        <f>IF('Données projet'!$A$114&gt;35,BY48+BX49-CG48,IF(A49&lt;'Données projet'!$A$114,$BV$205^A49,IF(A49='Données projet'!$A$114,'Données projet'!$B$114,BY48+BX49-CG48)))</f>
        <v>307.36999999999983</v>
      </c>
      <c r="BZ49" s="13">
        <f>BY49*VLOOKUP('Données projet'!$B$12,Paramètres!$A$1:$I$89,3,0)*VLOOKUP('Données projet'!$B$12,Paramètres!$A$1:$I$89,5,0)</f>
        <v>143.84915999999993</v>
      </c>
      <c r="CA49" s="13">
        <f t="shared" si="39"/>
        <v>37.177397234767412</v>
      </c>
      <c r="CB49" s="20">
        <f t="shared" si="10"/>
        <v>315.28792051721973</v>
      </c>
      <c r="CC49" s="59">
        <f t="shared" si="11"/>
        <v>567.63819391594541</v>
      </c>
      <c r="CD49" s="59">
        <f ca="1">AVERAGE(OFFSET($CC$3,0,0,'Données projet'!$E$12+1,1))-AVERAGE(OFFSET($H$3,0,0,'Données projet'!$E$12+1,1))</f>
        <v>331.86732359395467</v>
      </c>
      <c r="CE49" s="59">
        <f t="shared" si="40"/>
        <v>208.64489375183106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33.251809538556373</v>
      </c>
      <c r="CL49" s="21">
        <f>EXP(-LN(2)/25)*CL48+(1-EXP(-LN(2)/25))/(LN(2)/25)*Calculateur!CG49*Calculateur!CI49*VLOOKUP('Données projet'!$B$12,Paramètres!$A$1:$I$89,3,0)*0.475*44/12</f>
        <v>0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33.251809538556373</v>
      </c>
      <c r="CO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8.6</v>
      </c>
      <c r="CT49" s="12">
        <f>IF('Données projet'!$A$140&gt;35,CT48+CS49-DB48,IF(A49&lt;'Données projet'!$A$140,$CQ$205^A49,IF(A49='Données projet'!$A$140,'Données projet'!$B$140,CT48+CS49-DB48)))</f>
        <v>226.60000000000005</v>
      </c>
      <c r="CU49" s="17">
        <f>CT49*VLOOKUP('Données projet'!$B$13,Paramètres!$A$1:$I$89,3,0)*VLOOKUP('Données projet'!$B$13,Paramètres!$A$1:$I$89,5,0)</f>
        <v>166.14312000000004</v>
      </c>
      <c r="CV49" s="13">
        <f t="shared" si="41"/>
        <v>42.225060429180481</v>
      </c>
      <c r="CW49" s="20">
        <f t="shared" si="13"/>
        <v>362.90791424748937</v>
      </c>
      <c r="CX49" s="59">
        <f t="shared" si="14"/>
        <v>615.25818764621499</v>
      </c>
      <c r="CY49" s="59">
        <f ca="1">AVERAGE(OFFSET($CX$3,0,0,'Données projet'!$E$13+1,1))-AVERAGE(OFFSET($H$3,0,0,'Données projet'!$E$13+1,1))</f>
        <v>352.45777291109863</v>
      </c>
      <c r="CZ49" s="59">
        <f t="shared" si="42"/>
        <v>340.92165104349181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28.843083921347251</v>
      </c>
      <c r="DG49" s="21">
        <f>EXP(-LN(2)/25)*DG48+(1-EXP(-LN(2)/25))/(LN(2)/25)*Calculateur!DB49*Calculateur!DD49*VLOOKUP('Données projet'!$B$13,Paramètres!$A$1:$I$89,3,0)*0.475*44/12</f>
        <v>0</v>
      </c>
      <c r="DH49" s="21">
        <f>EXP(-LN(2)/2)*DH48+(1-EXP(-LN(2)/2))/(LN(2)/2)*DB49*DE49*VLOOKUP('Données projet'!$B$13,Paramètres!$A$1:$I$89,3,0)*0.475*44/12</f>
        <v>0</v>
      </c>
      <c r="DI49" s="22">
        <f t="shared" si="15"/>
        <v>28.843083921347251</v>
      </c>
      <c r="DJ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13.059999999999999</v>
      </c>
      <c r="DO49" s="12">
        <f>IF('Données projet'!$A$166&gt;35,DO48+DN49-DW48,IF(A49&lt;'Données projet'!$A$166,$DL$205^A49,IF(A49='Données projet'!$A$166,'Données projet'!$B$166,DO48+DN49-DW48)))</f>
        <v>226.77000000000007</v>
      </c>
      <c r="DP49" s="17">
        <f>DO49*VLOOKUP('Données projet'!$B$14,Paramètres!$A$1:$I$89,3,0)*VLOOKUP('Données projet'!$B$14,Paramètres!$A$1:$I$89,5,0)</f>
        <v>152.11731600000005</v>
      </c>
      <c r="DQ49" s="13">
        <f t="shared" si="43"/>
        <v>39.059360052376498</v>
      </c>
      <c r="DR49" s="20">
        <f t="shared" si="16"/>
        <v>332.96604412455576</v>
      </c>
      <c r="DS49" s="59">
        <f t="shared" si="17"/>
        <v>585.31631752328144</v>
      </c>
      <c r="DT49" s="59">
        <f ca="1">AVERAGE(OFFSET($DS$3,0,0,'Données projet'!$E$14+1,1))-AVERAGE(OFFSET($H$3,0,0,'Données projet'!$E$14+1,1))</f>
        <v>441.20130048888439</v>
      </c>
      <c r="DU49" s="59">
        <f t="shared" si="44"/>
        <v>237.47732532183946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38.869805640341227</v>
      </c>
      <c r="EB49" s="21">
        <f>EXP(-LN(2)/25)*EB48+(1-EXP(-LN(2)/25))/(LN(2)/25)*Calculateur!DW49*Calculateur!DY49*VLOOKUP('Données projet'!$B$14,Paramètres!$A$1:$I$89,3,0)*0.475*44/12</f>
        <v>0</v>
      </c>
      <c r="EC49" s="21">
        <f>EXP(-LN(2)/2)*EC48+(1-EXP(-LN(2)/2))/(LN(2)/2)*DW49*DZ49*VLOOKUP('Données projet'!$B$14,Paramètres!$A$1:$I$89,3,0)*0.475*44/12</f>
        <v>0</v>
      </c>
      <c r="ED49" s="22">
        <f t="shared" si="18"/>
        <v>38.869805640341227</v>
      </c>
      <c r="EE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8.6</v>
      </c>
      <c r="EJ49" s="12">
        <f>IF('Données projet'!$A$192&gt;35,EJ48+EI49-ER48,IF(A49&lt;'Données projet'!$A$192,$EG$205^A49,IF(A49='Données projet'!$A$192,'Données projet'!$B$192,EJ48+EI49-ER48)))</f>
        <v>226.60000000000005</v>
      </c>
      <c r="EK49" s="17">
        <f>EJ49*VLOOKUP('Données projet'!$B$15,Paramètres!$A$1:$I$89,3,0)*VLOOKUP('Données projet'!$B$15,Paramètres!$A$1:$I$89,5,0)</f>
        <v>180.28296000000006</v>
      </c>
      <c r="EL49" s="13">
        <f t="shared" si="45"/>
        <v>45.385133797071397</v>
      </c>
      <c r="EM49" s="20">
        <f t="shared" si="19"/>
        <v>393.03859669656612</v>
      </c>
      <c r="EN49" s="59">
        <f t="shared" si="20"/>
        <v>645.38887009529174</v>
      </c>
      <c r="EO49" s="59">
        <f ca="1">AVERAGE(OFFSET($EN$3,0,0,'Données projet'!$E$15+1,1))-AVERAGE(OFFSET($H$3,0,0,'Données projet'!$E$15+1,1))</f>
        <v>377.27600411578322</v>
      </c>
      <c r="EP49" s="59">
        <f t="shared" si="46"/>
        <v>364.58250627635425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>
        <f>EXP(-LN(2)/35)*EV48+(1-EXP(-LN(2)/35))/(LN(2)/35)*ER49*ES49*VLOOKUP('Données projet'!$B$15,Paramètres!$A$1:$I$89,3,0)*0.475*44/12</f>
        <v>38.576375971994885</v>
      </c>
      <c r="EW49" s="21">
        <f>EXP(-LN(2)/25)*EW48+(1-EXP(-LN(2)/25))/(LN(2)/25)*Calculateur!ER49*Calculateur!ET49*VLOOKUP('Données projet'!$B$15,Paramètres!$A$1:$I$89,3,0)*0.475*44/12</f>
        <v>0</v>
      </c>
      <c r="EX49" s="21">
        <f>EXP(-LN(2)/2)*EX48+(1-EXP(-LN(2)/2))/(LN(2)/2)*ER49*EU49*VLOOKUP('Données projet'!$B$15,Paramètres!$A$1:$I$89,3,0)*0.475*44/12</f>
        <v>0</v>
      </c>
      <c r="EY49" s="22">
        <f t="shared" si="21"/>
        <v>38.576375971994885</v>
      </c>
      <c r="EZ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8.6</v>
      </c>
      <c r="FE49" s="12">
        <f>IF('Données projet'!$A$218&gt;35,FE48+FD49-FM48,IF(A49&lt;'Données projet'!$A$218,$FB$205^A49,IF(A49='Données projet'!$A$218,'Données projet'!$B$218,FE48+FD49-FM48)))</f>
        <v>226.60000000000005</v>
      </c>
      <c r="FF49" s="17">
        <f>FE49*VLOOKUP('Données projet'!$B$16,Paramètres!$A$1:$I$89,3,0)*VLOOKUP('Données projet'!$B$16,Paramètres!$A$1:$I$89,5,0)</f>
        <v>183.81792000000007</v>
      </c>
      <c r="FG49" s="13">
        <f t="shared" si="47"/>
        <v>46.170562638655326</v>
      </c>
      <c r="FH49" s="20">
        <f t="shared" si="22"/>
        <v>400.56327392899146</v>
      </c>
      <c r="FI49" s="59">
        <f t="shared" si="23"/>
        <v>652.91354732771708</v>
      </c>
      <c r="FJ49" s="59">
        <f ca="1">AVERAGE(OFFSET($FI$3,0,0,'Données projet'!$E$16+1,1))-AVERAGE(OFFSET($H$3,0,0,'Données projet'!$E$16+1,1))</f>
        <v>383.47399633251354</v>
      </c>
      <c r="FK49" s="59">
        <f t="shared" si="48"/>
        <v>370.49129421395628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>
        <f>EXP(-LN(2)/35)*FQ48+(1-EXP(-LN(2)/35))/(LN(2)/35)*FM49*FN49*VLOOKUP('Données projet'!$B$16,Paramètres!$A$1:$I$89,3,0)*0.475*44/12</f>
        <v>39.332775500857537</v>
      </c>
      <c r="FR49" s="21">
        <f>EXP(-LN(2)/25)*FR48+(1-EXP(-LN(2)/25))/(LN(2)/25)*Calculateur!FM49*Calculateur!FO49*VLOOKUP('Données projet'!$B$16,Paramètres!$A$1:$I$89,3,0)*0.475*44/12</f>
        <v>0</v>
      </c>
      <c r="FS49" s="21">
        <f>EXP(-LN(2)/2)*FS48+(1-EXP(-LN(2)/2))/(LN(2)/2)*FM49*FP49*VLOOKUP('Données projet'!$B$16,Paramètres!$A$1:$I$89,3,0)*0.475*44/12</f>
        <v>0</v>
      </c>
      <c r="FT49" s="22">
        <f t="shared" si="24"/>
        <v>39.332775500857537</v>
      </c>
      <c r="FU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13.059999999999999</v>
      </c>
      <c r="FZ49" s="12">
        <f>IF('Données projet'!$A$244&gt;35,FZ48+FY49-GH48,IF(A49&lt;'Données projet'!$A$244,$FW$205^A49,IF(A49='Données projet'!$A$244,'Données projet'!$B$244,FZ48+FY49-GH48)))</f>
        <v>226.77000000000007</v>
      </c>
      <c r="GA49" s="17">
        <f>FZ49*VLOOKUP('Données projet'!$B$17,Paramètres!$A$1:$I$89,3,0)*VLOOKUP('Données projet'!$B$17,Paramètres!$A$1:$I$89,5,0)</f>
        <v>215.79433200000005</v>
      </c>
      <c r="GB49" s="13">
        <f t="shared" si="49"/>
        <v>53.199780253369433</v>
      </c>
      <c r="GC49" s="20">
        <f t="shared" si="25"/>
        <v>468.49807884128523</v>
      </c>
      <c r="GD49" s="59">
        <f t="shared" si="26"/>
        <v>720.84835224001085</v>
      </c>
      <c r="GE49" s="59">
        <f ca="1">AVERAGE(OFFSET($GD$3,0,0,'Données projet'!$E$17+1,1))-AVERAGE(OFFSET($H$3,0,0,'Données projet'!$E$17+1,1))</f>
        <v>592.58528889137358</v>
      </c>
      <c r="GF49" s="59">
        <f t="shared" si="50"/>
        <v>311.31528020403709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>
        <f>EXP(-LN(2)/35)*GL48+(1-EXP(-LN(2)/35))/(LN(2)/35)*GH49*GI49*VLOOKUP('Données projet'!$B$17,Paramètres!$A$1:$I$89,3,0)*0.475*44/12</f>
        <v>44.736946114355007</v>
      </c>
      <c r="GM49" s="21">
        <f>EXP(-LN(2)/25)*GM48+(1-EXP(-LN(2)/25))/(LN(2)/25)*Calculateur!GH49*Calculateur!GJ49*VLOOKUP('Données projet'!$B$17,Paramètres!$A$1:$I$89,3,0)*0.475*44/12</f>
        <v>0</v>
      </c>
      <c r="GN49" s="21">
        <f>EXP(-LN(2)/2)*GN48+(1-EXP(-LN(2)/2))/(LN(2)/2)*GH49*GK49*VLOOKUP('Données projet'!$B$17,Paramètres!$A$1:$I$89,3,0)*0.475*44/12</f>
        <v>0</v>
      </c>
      <c r="GO49" s="21">
        <f t="shared" si="27"/>
        <v>44.736946114355007</v>
      </c>
      <c r="GP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10.375</v>
      </c>
      <c r="GU49" s="12">
        <f>IF('Données projet'!$A$270&gt;35,GU48+GT49-HC48,IF(A49&lt;'Données projet'!$A$270,$GR$205^A49,IF(A49='Données projet'!$A$270,'Données projet'!$B$270,GU48+GT49-HC48)))</f>
        <v>207.74999999999991</v>
      </c>
      <c r="GV49" s="17">
        <f>GU49*VLOOKUP('Données projet'!$B$18,Paramètres!$A$1:$I$89,3,0)*VLOOKUP('Données projet'!$B$18,Paramètres!$A$1:$I$89,5,0)</f>
        <v>162.04499999999993</v>
      </c>
      <c r="GW49" s="13">
        <f t="shared" si="51"/>
        <v>41.303429372463391</v>
      </c>
      <c r="GX49" s="20">
        <f t="shared" si="28"/>
        <v>354.16518115704025</v>
      </c>
      <c r="GY49" s="59">
        <f t="shared" si="29"/>
        <v>606.51545455576593</v>
      </c>
      <c r="GZ49" s="59">
        <f ca="1">AVERAGE(OFFSET($GY$3,0,0,'Données projet'!$E$18+1,1))-AVERAGE(OFFSET($H$3,0,0,'Données projet'!$E$18+1,1))</f>
        <v>308.85018589589453</v>
      </c>
      <c r="HA49" s="59">
        <f t="shared" si="52"/>
        <v>302.59481222418219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>
        <f>EXP(-LN(2)/35)*HG48+(1-EXP(-LN(2)/35))/(LN(2)/35)*HC49*HD49*VLOOKUP('Données projet'!$B$18,Paramètres!$A$1:$I$89,3,0)*0.475*44/12</f>
        <v>36.410373445152757</v>
      </c>
      <c r="HH49" s="21">
        <f>EXP(-LN(2)/25)*HH48+(1-EXP(-LN(2)/25))/(LN(2)/25)*Calculateur!HC49*Calculateur!HE49*VLOOKUP('Données projet'!$B$18,Paramètres!$A$1:$I$89,3,0)*0.475*44/12</f>
        <v>0</v>
      </c>
      <c r="HI49" s="21">
        <f>EXP(-LN(2)/2)*HI48+(1-EXP(-LN(2)/2))/(LN(2)/2)*HC49*HF49*VLOOKUP('Données projet'!$B$18,Paramètres!$A$1:$I$89,3,0)*0.475*44/12</f>
        <v>0</v>
      </c>
      <c r="HJ49" s="22">
        <f t="shared" si="30"/>
        <v>36.410373445152757</v>
      </c>
    </row>
    <row r="50" spans="1:218" x14ac:dyDescent="0.35">
      <c r="A50" s="10">
        <f t="shared" si="31"/>
        <v>47</v>
      </c>
      <c r="B50" s="72">
        <f>'Scénario référence'!$B$16*5+'Scénario référence'!$B$17*0+'Scénario référence'!$B$18*5</f>
        <v>5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66">
        <f t="shared" si="1"/>
        <v>183.33333333333334</v>
      </c>
      <c r="I50" s="6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13.059999999999999</v>
      </c>
      <c r="N50" s="13">
        <f>IF('Données projet'!$A$36&gt;35,N49+M50-V49,IF(A50&lt;'Données projet'!$A$36,$K$205^A50,IF(A50='Données projet'!$A$36,'Données projet'!$B$36,N49+M50-V49)))</f>
        <v>239.83000000000007</v>
      </c>
      <c r="O50" s="13">
        <f>N50*VLOOKUP('Données projet'!$B$9,Paramètres!$A$1:$I$89,3,0)*VLOOKUP('Données projet'!$B$9,Paramètres!$A$1:$I$89,5,0)</f>
        <v>216.99818400000007</v>
      </c>
      <c r="P50" s="13">
        <f t="shared" si="33"/>
        <v>53.461935088977889</v>
      </c>
      <c r="Q50" s="20">
        <f t="shared" si="53"/>
        <v>471.05137407996989</v>
      </c>
      <c r="R50" s="59">
        <f t="shared" si="0"/>
        <v>724.11261194416534</v>
      </c>
      <c r="S50" s="59">
        <f ca="1">AVERAGE(OFFSET($R$3,0,0,'Données projet'!$E$9+1,1))-AVERAGE(OFFSET($H$3,0,0,'Données projet'!$E$9+1,1))</f>
        <v>567.42635821507474</v>
      </c>
      <c r="T50" s="59">
        <f t="shared" si="34"/>
        <v>299.04735309930152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41.702648352425008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0</v>
      </c>
      <c r="AC50" s="22">
        <f t="shared" si="3"/>
        <v>41.702648352425008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13.059999999999999</v>
      </c>
      <c r="AI50" s="13">
        <f>IF('Données projet'!$A$62&gt;35,AI49+AH50-AQ49,IF(A50&lt;'Données projet'!$A$62,$AF$205^A50,IF(A50='Données projet'!$A$62,'Données projet'!$B$62,AI49+AH50-AQ49)))</f>
        <v>239.83000000000007</v>
      </c>
      <c r="AJ50" s="13">
        <f>AI50*VLOOKUP('Données projet'!$B$10,Paramètres!$A$1:$I$89,3,0)*VLOOKUP('Données projet'!$B$10,Paramètres!$A$1:$I$89,5,0)</f>
        <v>243.18762000000009</v>
      </c>
      <c r="AK50" s="13">
        <f t="shared" si="35"/>
        <v>59.124834908752511</v>
      </c>
      <c r="AL50" s="20">
        <f t="shared" si="4"/>
        <v>526.52752563274419</v>
      </c>
      <c r="AM50" s="59">
        <f t="shared" si="5"/>
        <v>779.58876349693958</v>
      </c>
      <c r="AN50" s="59">
        <f ca="1">AVERAGE(OFFSET($AM$3,0,0,'Données projet'!$E$10+1,1))-AVERAGE(OFFSET($H$3,0,0,'Données projet'!$E$10+1,1))</f>
        <v>626.09203985591455</v>
      </c>
      <c r="AO50" s="59">
        <f t="shared" si="36"/>
        <v>327.65191296575199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46.735726601855617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46.735726601855617</v>
      </c>
      <c r="AY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11</v>
      </c>
      <c r="BD50" s="12">
        <f>IF('Données projet'!$A$88&gt;35,BD49+BC50-BL49,IF(A50&lt;'Données projet'!$A$88,$BA$205^A50,IF(A50='Données projet'!$A$88,'Données projet'!$B$88,BD49+BC50-BL49)))</f>
        <v>184.00000000000003</v>
      </c>
      <c r="BE50" s="13">
        <f>BD50*VLOOKUP('Données projet'!$B$11,Paramètres!$A$1:$I$89,3,0)*VLOOKUP('Données projet'!$B$11,Paramètres!$A$1:$I$89,5,0)</f>
        <v>157.87200000000004</v>
      </c>
      <c r="BF50" s="13">
        <f t="shared" si="37"/>
        <v>40.362165684361159</v>
      </c>
      <c r="BG50" s="20">
        <f t="shared" si="7"/>
        <v>345.25783856692902</v>
      </c>
      <c r="BH50" s="59">
        <f t="shared" si="8"/>
        <v>598.31907643112436</v>
      </c>
      <c r="BI50" s="59">
        <f ca="1">AVERAGE(OFFSET($BH$3,0,0,'Données projet'!$E$11+1,1))-AVERAGE(OFFSET($H$3,0,0,'Données projet'!$E$11+1,1))</f>
        <v>481.23392184981651</v>
      </c>
      <c r="BJ50" s="59">
        <f t="shared" si="38"/>
        <v>275.88160405468193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36.880927926363285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36.880927926363285</v>
      </c>
      <c r="BT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17.080000000000002</v>
      </c>
      <c r="BY50" s="12">
        <f>IF('Données projet'!$A$114&gt;35,BY49+BX50-CG49,IF(A50&lt;'Données projet'!$A$114,$BV$205^A50,IF(A50='Données projet'!$A$114,'Données projet'!$B$114,BY49+BX50-CG49)))</f>
        <v>324.44999999999982</v>
      </c>
      <c r="BZ50" s="13">
        <f>BY50*VLOOKUP('Données projet'!$B$12,Paramètres!$A$1:$I$89,3,0)*VLOOKUP('Données projet'!$B$12,Paramètres!$A$1:$I$89,5,0)</f>
        <v>151.84259999999992</v>
      </c>
      <c r="CA50" s="13">
        <f t="shared" si="39"/>
        <v>38.997025074969166</v>
      </c>
      <c r="CB50" s="20">
        <f t="shared" si="10"/>
        <v>332.37901367223782</v>
      </c>
      <c r="CC50" s="59">
        <f t="shared" si="11"/>
        <v>585.44025153643315</v>
      </c>
      <c r="CD50" s="59">
        <f ca="1">AVERAGE(OFFSET($CC$3,0,0,'Données projet'!$E$12+1,1))-AVERAGE(OFFSET($H$3,0,0,'Données projet'!$E$12+1,1))</f>
        <v>331.86732359395467</v>
      </c>
      <c r="CE50" s="59">
        <f t="shared" si="40"/>
        <v>208.64489375183106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32.599761835106456</v>
      </c>
      <c r="CL50" s="21">
        <f>EXP(-LN(2)/25)*CL49+(1-EXP(-LN(2)/25))/(LN(2)/25)*Calculateur!CG50*Calculateur!CI50*VLOOKUP('Données projet'!$B$12,Paramètres!$A$1:$I$89,3,0)*0.475*44/12</f>
        <v>0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32.599761835106456</v>
      </c>
      <c r="CO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8.6</v>
      </c>
      <c r="CT50" s="12">
        <f>IF('Données projet'!$A$140&gt;35,CT49+CS50-DB49,IF(A50&lt;'Données projet'!$A$140,$CQ$205^A50,IF(A50='Données projet'!$A$140,'Données projet'!$B$140,CT49+CS50-DB49)))</f>
        <v>235.20000000000005</v>
      </c>
      <c r="CU50" s="17">
        <f>CT50*VLOOKUP('Données projet'!$B$13,Paramètres!$A$1:$I$89,3,0)*VLOOKUP('Données projet'!$B$13,Paramètres!$A$1:$I$89,5,0)</f>
        <v>172.44864000000001</v>
      </c>
      <c r="CV50" s="13">
        <f t="shared" si="41"/>
        <v>43.637980200453676</v>
      </c>
      <c r="CW50" s="20">
        <f t="shared" si="13"/>
        <v>376.35086351579019</v>
      </c>
      <c r="CX50" s="59">
        <f t="shared" si="14"/>
        <v>629.41210137998564</v>
      </c>
      <c r="CY50" s="59">
        <f ca="1">AVERAGE(OFFSET($CX$3,0,0,'Données projet'!$E$13+1,1))-AVERAGE(OFFSET($H$3,0,0,'Données projet'!$E$13+1,1))</f>
        <v>352.45777291109863</v>
      </c>
      <c r="CZ50" s="59">
        <f t="shared" si="42"/>
        <v>340.92165104349181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28.277488638193702</v>
      </c>
      <c r="DG50" s="21">
        <f>EXP(-LN(2)/25)*DG49+(1-EXP(-LN(2)/25))/(LN(2)/25)*Calculateur!DB50*Calculateur!DD50*VLOOKUP('Données projet'!$B$13,Paramètres!$A$1:$I$89,3,0)*0.475*44/12</f>
        <v>0</v>
      </c>
      <c r="DH50" s="21">
        <f>EXP(-LN(2)/2)*DH49+(1-EXP(-LN(2)/2))/(LN(2)/2)*DB50*DE50*VLOOKUP('Données projet'!$B$13,Paramètres!$A$1:$I$89,3,0)*0.475*44/12</f>
        <v>0</v>
      </c>
      <c r="DI50" s="22">
        <f t="shared" si="15"/>
        <v>28.277488638193702</v>
      </c>
      <c r="DJ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13.059999999999999</v>
      </c>
      <c r="DO50" s="12">
        <f>IF('Données projet'!$A$166&gt;35,DO49+DN50-DW49,IF(A50&lt;'Données projet'!$A$166,$DL$205^A50,IF(A50='Données projet'!$A$166,'Données projet'!$B$166,DO49+DN50-DW49)))</f>
        <v>239.83000000000007</v>
      </c>
      <c r="DP50" s="17">
        <f>DO50*VLOOKUP('Données projet'!$B$14,Paramètres!$A$1:$I$89,3,0)*VLOOKUP('Données projet'!$B$14,Paramètres!$A$1:$I$89,5,0)</f>
        <v>160.87796400000005</v>
      </c>
      <c r="DQ50" s="13">
        <f t="shared" si="43"/>
        <v>41.040479524493612</v>
      </c>
      <c r="DR50" s="20">
        <f t="shared" si="16"/>
        <v>351.67462247182647</v>
      </c>
      <c r="DS50" s="59">
        <f t="shared" si="17"/>
        <v>604.73586033602191</v>
      </c>
      <c r="DT50" s="59">
        <f ca="1">AVERAGE(OFFSET($DS$3,0,0,'Données projet'!$E$14+1,1))-AVERAGE(OFFSET($H$3,0,0,'Données projet'!$E$14+1,1))</f>
        <v>441.20130048888439</v>
      </c>
      <c r="DU50" s="59">
        <f t="shared" si="44"/>
        <v>237.47732532183946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38.107592459974583</v>
      </c>
      <c r="EB50" s="21">
        <f>EXP(-LN(2)/25)*EB49+(1-EXP(-LN(2)/25))/(LN(2)/25)*Calculateur!DW50*Calculateur!DY50*VLOOKUP('Données projet'!$B$14,Paramètres!$A$1:$I$89,3,0)*0.475*44/12</f>
        <v>0</v>
      </c>
      <c r="EC50" s="21">
        <f>EXP(-LN(2)/2)*EC49+(1-EXP(-LN(2)/2))/(LN(2)/2)*DW50*DZ50*VLOOKUP('Données projet'!$B$14,Paramètres!$A$1:$I$89,3,0)*0.475*44/12</f>
        <v>0</v>
      </c>
      <c r="ED50" s="22">
        <f t="shared" si="18"/>
        <v>38.107592459974583</v>
      </c>
      <c r="EE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8.6</v>
      </c>
      <c r="EJ50" s="12">
        <f>IF('Données projet'!$A$192&gt;35,EJ49+EI50-ER49,IF(A50&lt;'Données projet'!$A$192,$EG$205^A50,IF(A50='Données projet'!$A$192,'Données projet'!$B$192,EJ49+EI50-ER49)))</f>
        <v>235.20000000000005</v>
      </c>
      <c r="EK50" s="17">
        <f>EJ50*VLOOKUP('Données projet'!$B$15,Paramètres!$A$1:$I$89,3,0)*VLOOKUP('Données projet'!$B$15,Paramètres!$A$1:$I$89,5,0)</f>
        <v>187.12512000000004</v>
      </c>
      <c r="EL50" s="13">
        <f t="shared" si="45"/>
        <v>46.903794805770545</v>
      </c>
      <c r="EM50" s="20">
        <f t="shared" si="19"/>
        <v>407.60035995338376</v>
      </c>
      <c r="EN50" s="59">
        <f t="shared" si="20"/>
        <v>660.66159781757915</v>
      </c>
      <c r="EO50" s="59">
        <f ca="1">AVERAGE(OFFSET($EN$3,0,0,'Données projet'!$E$15+1,1))-AVERAGE(OFFSET($H$3,0,0,'Données projet'!$E$15+1,1))</f>
        <v>377.27600411578322</v>
      </c>
      <c r="EP50" s="59">
        <f t="shared" si="46"/>
        <v>364.58250627635425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>
        <f>EXP(-LN(2)/35)*EV49+(1-EXP(-LN(2)/35))/(LN(2)/35)*ER50*ES50*VLOOKUP('Données projet'!$B$15,Paramètres!$A$1:$I$89,3,0)*0.475*44/12</f>
        <v>37.819916768450085</v>
      </c>
      <c r="EW50" s="21">
        <f>EXP(-LN(2)/25)*EW49+(1-EXP(-LN(2)/25))/(LN(2)/25)*Calculateur!ER50*Calculateur!ET50*VLOOKUP('Données projet'!$B$15,Paramètres!$A$1:$I$89,3,0)*0.475*44/12</f>
        <v>0</v>
      </c>
      <c r="EX50" s="21">
        <f>EXP(-LN(2)/2)*EX49+(1-EXP(-LN(2)/2))/(LN(2)/2)*ER50*EU50*VLOOKUP('Données projet'!$B$15,Paramètres!$A$1:$I$89,3,0)*0.475*44/12</f>
        <v>0</v>
      </c>
      <c r="EY50" s="22">
        <f t="shared" si="21"/>
        <v>37.819916768450085</v>
      </c>
      <c r="EZ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8.6</v>
      </c>
      <c r="FE50" s="12">
        <f>IF('Données projet'!$A$218&gt;35,FE49+FD50-FM49,IF(A50&lt;'Données projet'!$A$218,$FB$205^A50,IF(A50='Données projet'!$A$218,'Données projet'!$B$218,FE49+FD50-FM49)))</f>
        <v>235.20000000000005</v>
      </c>
      <c r="FF50" s="17">
        <f>FE50*VLOOKUP('Données projet'!$B$16,Paramètres!$A$1:$I$89,3,0)*VLOOKUP('Données projet'!$B$16,Paramètres!$A$1:$I$89,5,0)</f>
        <v>190.79424000000006</v>
      </c>
      <c r="FG50" s="13">
        <f t="shared" si="47"/>
        <v>47.715505384501149</v>
      </c>
      <c r="FH50" s="20">
        <f t="shared" si="22"/>
        <v>415.40447321133956</v>
      </c>
      <c r="FI50" s="59">
        <f t="shared" si="23"/>
        <v>668.46571107553495</v>
      </c>
      <c r="FJ50" s="59">
        <f ca="1">AVERAGE(OFFSET($FI$3,0,0,'Données projet'!$E$16+1,1))-AVERAGE(OFFSET($H$3,0,0,'Données projet'!$E$16+1,1))</f>
        <v>383.47399633251354</v>
      </c>
      <c r="FK50" s="59">
        <f t="shared" si="48"/>
        <v>370.49129421395628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>
        <f>EXP(-LN(2)/35)*FQ49+(1-EXP(-LN(2)/35))/(LN(2)/35)*FM50*FN50*VLOOKUP('Données projet'!$B$16,Paramètres!$A$1:$I$89,3,0)*0.475*44/12</f>
        <v>38.561483763909898</v>
      </c>
      <c r="FR50" s="21">
        <f>EXP(-LN(2)/25)*FR49+(1-EXP(-LN(2)/25))/(LN(2)/25)*Calculateur!FM50*Calculateur!FO50*VLOOKUP('Données projet'!$B$16,Paramètres!$A$1:$I$89,3,0)*0.475*44/12</f>
        <v>0</v>
      </c>
      <c r="FS50" s="21">
        <f>EXP(-LN(2)/2)*FS49+(1-EXP(-LN(2)/2))/(LN(2)/2)*FM50*FP50*VLOOKUP('Données projet'!$B$16,Paramètres!$A$1:$I$89,3,0)*0.475*44/12</f>
        <v>0</v>
      </c>
      <c r="FT50" s="22">
        <f t="shared" si="24"/>
        <v>38.561483763909898</v>
      </c>
      <c r="FU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13.059999999999999</v>
      </c>
      <c r="FZ50" s="12">
        <f>IF('Données projet'!$A$244&gt;35,FZ49+FY50-GH49,IF(A50&lt;'Données projet'!$A$244,$FW$205^A50,IF(A50='Données projet'!$A$244,'Données projet'!$B$244,FZ49+FY50-GH49)))</f>
        <v>239.83000000000007</v>
      </c>
      <c r="GA50" s="17">
        <f>FZ50*VLOOKUP('Données projet'!$B$17,Paramètres!$A$1:$I$89,3,0)*VLOOKUP('Données projet'!$B$17,Paramètres!$A$1:$I$89,5,0)</f>
        <v>228.22222800000006</v>
      </c>
      <c r="GB50" s="13">
        <f t="shared" si="49"/>
        <v>55.898112239120678</v>
      </c>
      <c r="GC50" s="20">
        <f t="shared" si="25"/>
        <v>494.84292591646863</v>
      </c>
      <c r="GD50" s="59">
        <f t="shared" si="26"/>
        <v>747.90416378066402</v>
      </c>
      <c r="GE50" s="59">
        <f ca="1">AVERAGE(OFFSET($GD$3,0,0,'Données projet'!$E$17+1,1))-AVERAGE(OFFSET($H$3,0,0,'Données projet'!$E$17+1,1))</f>
        <v>592.58528889137358</v>
      </c>
      <c r="GF50" s="59">
        <f t="shared" si="50"/>
        <v>311.31528020403709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>
        <f>EXP(-LN(2)/35)*GL49+(1-EXP(-LN(2)/35))/(LN(2)/35)*GH50*GI50*VLOOKUP('Données projet'!$B$17,Paramètres!$A$1:$I$89,3,0)*0.475*44/12</f>
        <v>43.859681887895285</v>
      </c>
      <c r="GM50" s="21">
        <f>EXP(-LN(2)/25)*GM49+(1-EXP(-LN(2)/25))/(LN(2)/25)*Calculateur!GH50*Calculateur!GJ50*VLOOKUP('Données projet'!$B$17,Paramètres!$A$1:$I$89,3,0)*0.475*44/12</f>
        <v>0</v>
      </c>
      <c r="GN50" s="21">
        <f>EXP(-LN(2)/2)*GN49+(1-EXP(-LN(2)/2))/(LN(2)/2)*GH50*GK50*VLOOKUP('Données projet'!$B$17,Paramètres!$A$1:$I$89,3,0)*0.475*44/12</f>
        <v>0</v>
      </c>
      <c r="GO50" s="21">
        <f t="shared" si="27"/>
        <v>43.859681887895285</v>
      </c>
      <c r="GP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10.375</v>
      </c>
      <c r="GU50" s="12">
        <f>IF('Données projet'!$A$270&gt;35,GU49+GT50-HC49,IF(A50&lt;'Données projet'!$A$270,$GR$205^A50,IF(A50='Données projet'!$A$270,'Données projet'!$B$270,GU49+GT50-HC49)))</f>
        <v>218.12499999999991</v>
      </c>
      <c r="GV50" s="17">
        <f>GU50*VLOOKUP('Données projet'!$B$18,Paramètres!$A$1:$I$89,3,0)*VLOOKUP('Données projet'!$B$18,Paramètres!$A$1:$I$89,5,0)</f>
        <v>170.13749999999993</v>
      </c>
      <c r="GW50" s="13">
        <f t="shared" si="51"/>
        <v>43.120817562072375</v>
      </c>
      <c r="GX50" s="20">
        <f t="shared" si="28"/>
        <v>371.42490308727588</v>
      </c>
      <c r="GY50" s="59">
        <f t="shared" si="29"/>
        <v>624.48614095147127</v>
      </c>
      <c r="GZ50" s="59">
        <f ca="1">AVERAGE(OFFSET($GY$3,0,0,'Données projet'!$E$18+1,1))-AVERAGE(OFFSET($H$3,0,0,'Données projet'!$E$18+1,1))</f>
        <v>308.85018589589453</v>
      </c>
      <c r="HA50" s="59">
        <f t="shared" si="52"/>
        <v>302.59481222418219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>
        <f>EXP(-LN(2)/35)*HG49+(1-EXP(-LN(2)/35))/(LN(2)/35)*HC50*HD50*VLOOKUP('Données projet'!$B$18,Paramètres!$A$1:$I$89,3,0)*0.475*44/12</f>
        <v>35.696388230028241</v>
      </c>
      <c r="HH50" s="21">
        <f>EXP(-LN(2)/25)*HH49+(1-EXP(-LN(2)/25))/(LN(2)/25)*Calculateur!HC50*Calculateur!HE50*VLOOKUP('Données projet'!$B$18,Paramètres!$A$1:$I$89,3,0)*0.475*44/12</f>
        <v>0</v>
      </c>
      <c r="HI50" s="21">
        <f>EXP(-LN(2)/2)*HI49+(1-EXP(-LN(2)/2))/(LN(2)/2)*HC50*HF50*VLOOKUP('Données projet'!$B$18,Paramètres!$A$1:$I$89,3,0)*0.475*44/12</f>
        <v>0</v>
      </c>
      <c r="HJ50" s="22">
        <f t="shared" si="30"/>
        <v>35.696388230028241</v>
      </c>
    </row>
    <row r="51" spans="1:218" x14ac:dyDescent="0.35">
      <c r="A51" s="10">
        <f t="shared" si="31"/>
        <v>48</v>
      </c>
      <c r="B51" s="72">
        <f>'Scénario référence'!$B$16*5+'Scénario référence'!$B$17*0+'Scénario référence'!$B$18*5</f>
        <v>5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66">
        <f t="shared" si="1"/>
        <v>183.33333333333334</v>
      </c>
      <c r="I51" s="6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>
        <f>VLOOKUP(A51,'Données projet'!$A$35:$I$55,2,0)</f>
        <v>252.89</v>
      </c>
      <c r="L51" s="12">
        <f>VLOOKUP(A51,'Données projet'!$A$35:$I$55,9,0)</f>
        <v>13.059999999999999</v>
      </c>
      <c r="M51" s="12">
        <f t="array" ref="M51">INDEX(L:L,MIN(IF(ISNUMBER(L51:L247),ROW(L51:L247),"")))</f>
        <v>13.059999999999999</v>
      </c>
      <c r="N51" s="13">
        <f>IF('Données projet'!$A$36&gt;35,N50+M51-V50,IF(A51&lt;'Données projet'!$A$36,$K$205^A51,IF(A51='Données projet'!$A$36,'Données projet'!$B$36,N50+M51-V50)))</f>
        <v>252.89000000000007</v>
      </c>
      <c r="O51" s="13">
        <f>N51*VLOOKUP('Données projet'!$B$9,Paramètres!$A$1:$I$89,3,0)*VLOOKUP('Données projet'!$B$9,Paramètres!$A$1:$I$89,5,0)</f>
        <v>228.81487200000004</v>
      </c>
      <c r="P51" s="13">
        <f t="shared" si="33"/>
        <v>56.026352154237983</v>
      </c>
      <c r="Q51" s="20">
        <f t="shared" si="53"/>
        <v>496.09846540196457</v>
      </c>
      <c r="R51" s="59">
        <f t="shared" si="0"/>
        <v>749.85833408763233</v>
      </c>
      <c r="S51" s="59">
        <f ca="1">AVERAGE(OFFSET($R$3,0,0,'Données projet'!$E$9+1,1))-AVERAGE(OFFSET($H$3,0,0,'Données projet'!$E$9+1,1))</f>
        <v>567.42635821507474</v>
      </c>
      <c r="T51" s="59">
        <f t="shared" si="34"/>
        <v>299.04735309930152</v>
      </c>
      <c r="U51" s="15">
        <f>IF(ISNA(VLOOKUP(A51,'Données projet'!$A$35:$I$55,3,0)),0,VLOOKUP(A51,'Données projet'!$A$35:$I$55,3,0))</f>
        <v>3</v>
      </c>
      <c r="V51" s="15">
        <f>IF(ISNA(VLOOKUP(A51,'Données projet'!$A$35:$I$55,4,0)),0,VLOOKUP(A51,'Données projet'!$A$35:$I$55,4,0))</f>
        <v>61.12</v>
      </c>
      <c r="W51" s="16">
        <f>IF(ISNA(VLOOKUP(A51,'Données projet'!$A$35:$I$55,5,0)),0%,VLOOKUP(A51,'Données projet'!$A$35:$I$55,5,0)*VLOOKUP('Données projet'!$B$9,Paramètres!$A$1:$I$89,7,0))</f>
        <v>0.43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67.172519093966031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0</v>
      </c>
      <c r="AC51" s="22">
        <f t="shared" si="3"/>
        <v>67.172519093966031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>
        <f>VLOOKUP(A51,'Données projet'!$A$61:$I$81,2,0)</f>
        <v>252.89</v>
      </c>
      <c r="AG51" s="12">
        <f>VLOOKUP(A51,'Données projet'!$A$61:$I$81,9,0)</f>
        <v>13.059999999999999</v>
      </c>
      <c r="AH51" s="12">
        <f t="array" ref="AH51">INDEX(AG:AG,MIN(IF(ISNUMBER(AG51:AG247),ROW(AG51:AG247),"")))</f>
        <v>13.059999999999999</v>
      </c>
      <c r="AI51" s="13">
        <f>IF('Données projet'!$A$62&gt;35,AI50+AH51-AQ50,IF(A51&lt;'Données projet'!$A$62,$AF$205^A51,IF(A51='Données projet'!$A$62,'Données projet'!$B$62,AI50+AH51-AQ50)))</f>
        <v>252.89000000000007</v>
      </c>
      <c r="AJ51" s="13">
        <f>AI51*VLOOKUP('Données projet'!$B$10,Paramètres!$A$1:$I$89,3,0)*VLOOKUP('Données projet'!$B$10,Paramètres!$A$1:$I$89,5,0)</f>
        <v>256.4304600000001</v>
      </c>
      <c r="AK51" s="13">
        <f t="shared" si="35"/>
        <v>61.960885182060892</v>
      </c>
      <c r="AL51" s="20">
        <f t="shared" si="4"/>
        <v>554.5315928587562</v>
      </c>
      <c r="AM51" s="59">
        <f t="shared" si="5"/>
        <v>808.2914615444239</v>
      </c>
      <c r="AN51" s="59">
        <f ca="1">AVERAGE(OFFSET($AM$3,0,0,'Données projet'!$E$10+1,1))-AVERAGE(OFFSET($H$3,0,0,'Données projet'!$E$10+1,1))</f>
        <v>626.09203985591455</v>
      </c>
      <c r="AO51" s="59">
        <f t="shared" si="36"/>
        <v>327.65191296575199</v>
      </c>
      <c r="AP51" s="15">
        <f>IF(ISNA(VLOOKUP(A51,'Données projet'!$A$61:$I$81,3,0)),0,VLOOKUP(A51,'Données projet'!$A$61:$I$81,3,0))</f>
        <v>3</v>
      </c>
      <c r="AQ51" s="15">
        <f>IF(ISNA(VLOOKUP(A51,'Données projet'!$A$61:$I$81,4,0)),0,VLOOKUP(A51,'Données projet'!$A$61:$I$81,4,0))</f>
        <v>61.12</v>
      </c>
      <c r="AR51" s="16">
        <f>IF(ISNA(VLOOKUP(A51,'Données projet'!$A$61:$I$81,5,0)),0%,VLOOKUP(A51,'Données projet'!$A$61:$I$81,5,0)*VLOOKUP('Données projet'!$B$10,Paramètres!$A$1:$I$89,7,0))</f>
        <v>0.43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75.279547260479177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75.279547260479177</v>
      </c>
      <c r="AY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11</v>
      </c>
      <c r="BD51" s="12">
        <f>IF('Données projet'!$A$88&gt;35,BD50+BC51-BL50,IF(A51&lt;'Données projet'!$A$88,$BA$205^A51,IF(A51='Données projet'!$A$88,'Données projet'!$B$88,BD50+BC51-BL50)))</f>
        <v>195.00000000000003</v>
      </c>
      <c r="BE51" s="13">
        <f>BD51*VLOOKUP('Données projet'!$B$11,Paramètres!$A$1:$I$89,3,0)*VLOOKUP('Données projet'!$B$11,Paramètres!$A$1:$I$89,5,0)</f>
        <v>167.31000000000006</v>
      </c>
      <c r="BF51" s="13">
        <f t="shared" si="37"/>
        <v>42.486994942347515</v>
      </c>
      <c r="BG51" s="20">
        <f t="shared" si="7"/>
        <v>365.39643285792204</v>
      </c>
      <c r="BH51" s="59">
        <f t="shared" si="8"/>
        <v>619.15630154358973</v>
      </c>
      <c r="BI51" s="59">
        <f ca="1">AVERAGE(OFFSET($BH$3,0,0,'Données projet'!$E$11+1,1))-AVERAGE(OFFSET($H$3,0,0,'Données projet'!$E$11+1,1))</f>
        <v>481.23392184981651</v>
      </c>
      <c r="BJ51" s="59">
        <f t="shared" si="38"/>
        <v>275.88160405468193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36.157715424872123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36.157715424872123</v>
      </c>
      <c r="BT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17.080000000000002</v>
      </c>
      <c r="BY51" s="12">
        <f>IF('Données projet'!$A$114&gt;35,BY50+BX51-CG50,IF(A51&lt;'Données projet'!$A$114,$BV$205^A51,IF(A51='Données projet'!$A$114,'Données projet'!$B$114,BY50+BX51-CG50)))</f>
        <v>341.5299999999998</v>
      </c>
      <c r="BZ51" s="13">
        <f>BY51*VLOOKUP('Données projet'!$B$12,Paramètres!$A$1:$I$89,3,0)*VLOOKUP('Données projet'!$B$12,Paramètres!$A$1:$I$89,5,0)</f>
        <v>159.83603999999991</v>
      </c>
      <c r="CA51" s="13">
        <f t="shared" si="39"/>
        <v>40.805531564585834</v>
      </c>
      <c r="CB51" s="20">
        <f t="shared" si="10"/>
        <v>349.45073714165352</v>
      </c>
      <c r="CC51" s="59">
        <f t="shared" si="11"/>
        <v>603.21060582732116</v>
      </c>
      <c r="CD51" s="59">
        <f ca="1">AVERAGE(OFFSET($CC$3,0,0,'Données projet'!$E$12+1,1))-AVERAGE(OFFSET($H$3,0,0,'Données projet'!$E$12+1,1))</f>
        <v>331.86732359395467</v>
      </c>
      <c r="CE51" s="59">
        <f t="shared" si="40"/>
        <v>208.64489375183106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31.960500389411365</v>
      </c>
      <c r="CL51" s="21">
        <f>EXP(-LN(2)/25)*CL50+(1-EXP(-LN(2)/25))/(LN(2)/25)*Calculateur!CG51*Calculateur!CI51*VLOOKUP('Données projet'!$B$12,Paramètres!$A$1:$I$89,3,0)*0.475*44/12</f>
        <v>0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31.960500389411365</v>
      </c>
      <c r="CO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8.6</v>
      </c>
      <c r="CT51" s="12">
        <f>IF('Données projet'!$A$140&gt;35,CT50+CS51-DB50,IF(A51&lt;'Données projet'!$A$140,$CQ$205^A51,IF(A51='Données projet'!$A$140,'Données projet'!$B$140,CT50+CS51-DB50)))</f>
        <v>243.80000000000004</v>
      </c>
      <c r="CU51" s="17">
        <f>CT51*VLOOKUP('Données projet'!$B$13,Paramètres!$A$1:$I$89,3,0)*VLOOKUP('Données projet'!$B$13,Paramètres!$A$1:$I$89,5,0)</f>
        <v>178.75416000000001</v>
      </c>
      <c r="CV51" s="13">
        <f t="shared" si="41"/>
        <v>45.044897778507469</v>
      </c>
      <c r="CW51" s="20">
        <f t="shared" si="13"/>
        <v>389.78335896423386</v>
      </c>
      <c r="CX51" s="59">
        <f t="shared" si="14"/>
        <v>643.54322764990161</v>
      </c>
      <c r="CY51" s="59">
        <f ca="1">AVERAGE(OFFSET($CX$3,0,0,'Données projet'!$E$13+1,1))-AVERAGE(OFFSET($H$3,0,0,'Données projet'!$E$13+1,1))</f>
        <v>352.45777291109863</v>
      </c>
      <c r="CZ51" s="59">
        <f t="shared" si="42"/>
        <v>340.92165104349181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27.722984333563737</v>
      </c>
      <c r="DG51" s="21">
        <f>EXP(-LN(2)/25)*DG50+(1-EXP(-LN(2)/25))/(LN(2)/25)*Calculateur!DB51*Calculateur!DD51*VLOOKUP('Données projet'!$B$13,Paramètres!$A$1:$I$89,3,0)*0.475*44/12</f>
        <v>0</v>
      </c>
      <c r="DH51" s="21">
        <f>EXP(-LN(2)/2)*DH50+(1-EXP(-LN(2)/2))/(LN(2)/2)*DB51*DE51*VLOOKUP('Données projet'!$B$13,Paramètres!$A$1:$I$89,3,0)*0.475*44/12</f>
        <v>0</v>
      </c>
      <c r="DI51" s="22">
        <f t="shared" si="15"/>
        <v>27.722984333563737</v>
      </c>
      <c r="DJ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>
        <f>VLOOKUP(A51,'Données projet'!$A$165:$I$185,2,0)</f>
        <v>252.89</v>
      </c>
      <c r="DM51" s="12">
        <f>VLOOKUP(A51,'Données projet'!$A$165:$I$185,9,0)</f>
        <v>13.059999999999999</v>
      </c>
      <c r="DN51" s="12">
        <f t="array" ref="DN51">INDEX(DM:DM,MIN(IF(ISNUMBER(DM51:DM247),ROW(DM51:DM247),"")))</f>
        <v>13.059999999999999</v>
      </c>
      <c r="DO51" s="12">
        <f>IF('Données projet'!$A$166&gt;35,DO50+DN51-DW50,IF(A51&lt;'Données projet'!$A$166,$DL$205^A51,IF(A51='Données projet'!$A$166,'Données projet'!$B$166,DO50+DN51-DW50)))</f>
        <v>252.89000000000007</v>
      </c>
      <c r="DP51" s="17">
        <f>DO51*VLOOKUP('Données projet'!$B$14,Paramètres!$A$1:$I$89,3,0)*VLOOKUP('Données projet'!$B$14,Paramètres!$A$1:$I$89,5,0)</f>
        <v>169.63861200000005</v>
      </c>
      <c r="DQ51" s="13">
        <f t="shared" si="43"/>
        <v>43.009074673245848</v>
      </c>
      <c r="DR51" s="20">
        <f t="shared" si="16"/>
        <v>370.36138762256996</v>
      </c>
      <c r="DS51" s="59">
        <f t="shared" si="17"/>
        <v>624.12125630823766</v>
      </c>
      <c r="DT51" s="59">
        <f ca="1">AVERAGE(OFFSET($DS$3,0,0,'Données projet'!$E$14+1,1))-AVERAGE(OFFSET($H$3,0,0,'Données projet'!$E$14+1,1))</f>
        <v>441.20130048888439</v>
      </c>
      <c r="DU51" s="59">
        <f t="shared" si="44"/>
        <v>237.47732532183946</v>
      </c>
      <c r="DV51" s="15">
        <f>IF(ISNA(VLOOKUP(A51,'Données projet'!$A$165:$I$185,3,0)),0,VLOOKUP(A51,'Données projet'!$A$165:$I$185,3,0))</f>
        <v>3</v>
      </c>
      <c r="DW51" s="15">
        <f>IF(ISNA(VLOOKUP(A51,'Données projet'!$A$165:$I$185,4,0)),0,VLOOKUP(A51,'Données projet'!$A$165:$I$185,4,0))</f>
        <v>61.12</v>
      </c>
      <c r="DX51" s="16">
        <f>IF(ISNA(VLOOKUP(A51,'Données projet'!$A$165:$I$185,5,0)),0%,VLOOKUP(A51,'Données projet'!$A$165:$I$185,5,0)*VLOOKUP('Données projet'!$B$14,Paramètres!$A$1:$I$89,7,0))</f>
        <v>0.53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61.38178468931379</v>
      </c>
      <c r="EB51" s="21">
        <f>EXP(-LN(2)/25)*EB50+(1-EXP(-LN(2)/25))/(LN(2)/25)*Calculateur!DW51*Calculateur!DY51*VLOOKUP('Données projet'!$B$14,Paramètres!$A$1:$I$89,3,0)*0.475*44/12</f>
        <v>0</v>
      </c>
      <c r="EC51" s="21">
        <f>EXP(-LN(2)/2)*EC50+(1-EXP(-LN(2)/2))/(LN(2)/2)*DW51*DZ51*VLOOKUP('Données projet'!$B$14,Paramètres!$A$1:$I$89,3,0)*0.475*44/12</f>
        <v>0</v>
      </c>
      <c r="ED51" s="22">
        <f t="shared" si="18"/>
        <v>61.38178468931379</v>
      </c>
      <c r="EE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8.6</v>
      </c>
      <c r="EJ51" s="12">
        <f>IF('Données projet'!$A$192&gt;35,EJ50+EI51-ER50,IF(A51&lt;'Données projet'!$A$192,$EG$205^A51,IF(A51='Données projet'!$A$192,'Données projet'!$B$192,EJ50+EI51-ER50)))</f>
        <v>243.80000000000004</v>
      </c>
      <c r="EK51" s="17">
        <f>EJ51*VLOOKUP('Données projet'!$B$15,Paramètres!$A$1:$I$89,3,0)*VLOOKUP('Données projet'!$B$15,Paramètres!$A$1:$I$89,5,0)</f>
        <v>193.96728000000004</v>
      </c>
      <c r="EL51" s="13">
        <f t="shared" si="45"/>
        <v>48.41600442423902</v>
      </c>
      <c r="EM51" s="20">
        <f t="shared" si="19"/>
        <v>422.15088703888301</v>
      </c>
      <c r="EN51" s="59">
        <f t="shared" si="20"/>
        <v>675.91075572455065</v>
      </c>
      <c r="EO51" s="59">
        <f ca="1">AVERAGE(OFFSET($EN$3,0,0,'Données projet'!$E$15+1,1))-AVERAGE(OFFSET($H$3,0,0,'Données projet'!$E$15+1,1))</f>
        <v>377.27600411578322</v>
      </c>
      <c r="EP51" s="59">
        <f t="shared" si="46"/>
        <v>364.58250627635425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>
        <f>EXP(-LN(2)/35)*EV50+(1-EXP(-LN(2)/35))/(LN(2)/35)*ER51*ES51*VLOOKUP('Données projet'!$B$15,Paramètres!$A$1:$I$89,3,0)*0.475*44/12</f>
        <v>37.078291268492244</v>
      </c>
      <c r="EW51" s="21">
        <f>EXP(-LN(2)/25)*EW50+(1-EXP(-LN(2)/25))/(LN(2)/25)*Calculateur!ER51*Calculateur!ET51*VLOOKUP('Données projet'!$B$15,Paramètres!$A$1:$I$89,3,0)*0.475*44/12</f>
        <v>0</v>
      </c>
      <c r="EX51" s="21">
        <f>EXP(-LN(2)/2)*EX50+(1-EXP(-LN(2)/2))/(LN(2)/2)*ER51*EU51*VLOOKUP('Données projet'!$B$15,Paramètres!$A$1:$I$89,3,0)*0.475*44/12</f>
        <v>0</v>
      </c>
      <c r="EY51" s="22">
        <f t="shared" si="21"/>
        <v>37.078291268492244</v>
      </c>
      <c r="EZ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8.6</v>
      </c>
      <c r="FE51" s="12">
        <f>IF('Données projet'!$A$218&gt;35,FE50+FD51-FM50,IF(A51&lt;'Données projet'!$A$218,$FB$205^A51,IF(A51='Données projet'!$A$218,'Données projet'!$B$218,FE50+FD51-FM50)))</f>
        <v>243.80000000000004</v>
      </c>
      <c r="FF51" s="17">
        <f>FE51*VLOOKUP('Données projet'!$B$16,Paramètres!$A$1:$I$89,3,0)*VLOOKUP('Données projet'!$B$16,Paramètres!$A$1:$I$89,5,0)</f>
        <v>197.77056000000005</v>
      </c>
      <c r="FG51" s="13">
        <f t="shared" si="47"/>
        <v>49.253885093250254</v>
      </c>
      <c r="FH51" s="20">
        <f t="shared" si="22"/>
        <v>430.23424187074426</v>
      </c>
      <c r="FI51" s="59">
        <f t="shared" si="23"/>
        <v>683.9941105564119</v>
      </c>
      <c r="FJ51" s="59">
        <f ca="1">AVERAGE(OFFSET($FI$3,0,0,'Données projet'!$E$16+1,1))-AVERAGE(OFFSET($H$3,0,0,'Données projet'!$E$16+1,1))</f>
        <v>383.47399633251354</v>
      </c>
      <c r="FK51" s="59">
        <f t="shared" si="48"/>
        <v>370.49129421395628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>
        <f>EXP(-LN(2)/35)*FQ50+(1-EXP(-LN(2)/35))/(LN(2)/35)*FM51*FN51*VLOOKUP('Données projet'!$B$16,Paramètres!$A$1:$I$89,3,0)*0.475*44/12</f>
        <v>37.805316587482295</v>
      </c>
      <c r="FR51" s="21">
        <f>EXP(-LN(2)/25)*FR50+(1-EXP(-LN(2)/25))/(LN(2)/25)*Calculateur!FM51*Calculateur!FO51*VLOOKUP('Données projet'!$B$16,Paramètres!$A$1:$I$89,3,0)*0.475*44/12</f>
        <v>0</v>
      </c>
      <c r="FS51" s="21">
        <f>EXP(-LN(2)/2)*FS50+(1-EXP(-LN(2)/2))/(LN(2)/2)*FM51*FP51*VLOOKUP('Données projet'!$B$16,Paramètres!$A$1:$I$89,3,0)*0.475*44/12</f>
        <v>0</v>
      </c>
      <c r="FT51" s="22">
        <f t="shared" si="24"/>
        <v>37.805316587482295</v>
      </c>
      <c r="FU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>
        <f>VLOOKUP(A51,'Données projet'!$A$243:$I$263,2,0)</f>
        <v>252.89</v>
      </c>
      <c r="FX51" s="12">
        <f>VLOOKUP(A51,'Données projet'!$A$243:$I$263,9,0)</f>
        <v>13.059999999999999</v>
      </c>
      <c r="FY51" s="12">
        <f t="array" ref="FY51">INDEX(FX:FX,MIN(IF(ISNUMBER(FX51:FX247),ROW(FX51:FX247),"")))</f>
        <v>13.059999999999999</v>
      </c>
      <c r="FZ51" s="12">
        <f>IF('Données projet'!$A$244&gt;35,FZ50+FY51-GH50,IF(A51&lt;'Données projet'!$A$244,$FW$205^A51,IF(A51='Données projet'!$A$244,'Données projet'!$B$244,FZ50+FY51-GH50)))</f>
        <v>252.89000000000007</v>
      </c>
      <c r="GA51" s="17">
        <f>FZ51*VLOOKUP('Données projet'!$B$17,Paramètres!$A$1:$I$89,3,0)*VLOOKUP('Données projet'!$B$17,Paramètres!$A$1:$I$89,5,0)</f>
        <v>240.65012400000006</v>
      </c>
      <c r="GB51" s="13">
        <f t="shared" si="49"/>
        <v>58.579385797648833</v>
      </c>
      <c r="GC51" s="20">
        <f t="shared" si="25"/>
        <v>521.15806289757188</v>
      </c>
      <c r="GD51" s="59">
        <f t="shared" si="26"/>
        <v>774.91793158323958</v>
      </c>
      <c r="GE51" s="59">
        <f ca="1">AVERAGE(OFFSET($GD$3,0,0,'Données projet'!$E$17+1,1))-AVERAGE(OFFSET($H$3,0,0,'Données projet'!$E$17+1,1))</f>
        <v>592.58528889137358</v>
      </c>
      <c r="GF51" s="59">
        <f t="shared" si="50"/>
        <v>311.31528020403709</v>
      </c>
      <c r="GG51" s="15">
        <f>IF(ISNA(VLOOKUP(A51,'Données projet'!$A$243:$I$263,3,0)),0,VLOOKUP(A51,'Données projet'!$A$243:$I$263,3,0))</f>
        <v>3</v>
      </c>
      <c r="GH51" s="15">
        <f>IF(ISNA(VLOOKUP(A51,'Données projet'!$A$243:$I$263,4,0)),0,VLOOKUP(A51,'Données projet'!$A$243:$I$263,4,0))</f>
        <v>61.12</v>
      </c>
      <c r="GI51" s="16">
        <f>IF(ISNA(VLOOKUP(A51,'Données projet'!$A$243:$I$263,5,0)),0%,VLOOKUP(A51,'Données projet'!$A$243:$I$263,5,0)*VLOOKUP('Données projet'!$B$17,Paramètres!$A$1:$I$89,7,0))</f>
        <v>0.43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>
        <f>EXP(-LN(2)/35)*GL50+(1-EXP(-LN(2)/35))/(LN(2)/35)*GH51*GI51*VLOOKUP('Données projet'!$B$17,Paramètres!$A$1:$I$89,3,0)*0.475*44/12</f>
        <v>70.646959736757395</v>
      </c>
      <c r="GM51" s="21">
        <f>EXP(-LN(2)/25)*GM50+(1-EXP(-LN(2)/25))/(LN(2)/25)*Calculateur!GH51*Calculateur!GJ51*VLOOKUP('Données projet'!$B$17,Paramètres!$A$1:$I$89,3,0)*0.475*44/12</f>
        <v>0</v>
      </c>
      <c r="GN51" s="21">
        <f>EXP(-LN(2)/2)*GN50+(1-EXP(-LN(2)/2))/(LN(2)/2)*GH51*GK51*VLOOKUP('Données projet'!$B$17,Paramètres!$A$1:$I$89,3,0)*0.475*44/12</f>
        <v>0</v>
      </c>
      <c r="GO51" s="21">
        <f t="shared" si="27"/>
        <v>70.646959736757395</v>
      </c>
      <c r="GP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10.375</v>
      </c>
      <c r="GU51" s="12">
        <f>IF('Données projet'!$A$270&gt;35,GU50+GT51-HC50,IF(A51&lt;'Données projet'!$A$270,$GR$205^A51,IF(A51='Données projet'!$A$270,'Données projet'!$B$270,GU50+GT51-HC50)))</f>
        <v>228.49999999999991</v>
      </c>
      <c r="GV51" s="17">
        <f>GU51*VLOOKUP('Données projet'!$B$18,Paramètres!$A$1:$I$89,3,0)*VLOOKUP('Données projet'!$B$18,Paramètres!$A$1:$I$89,5,0)</f>
        <v>178.22999999999993</v>
      </c>
      <c r="GW51" s="13">
        <f t="shared" si="51"/>
        <v>44.928167580487852</v>
      </c>
      <c r="GX51" s="20">
        <f t="shared" si="28"/>
        <v>388.66714186934951</v>
      </c>
      <c r="GY51" s="59">
        <f t="shared" si="29"/>
        <v>642.4270105550172</v>
      </c>
      <c r="GZ51" s="59">
        <f ca="1">AVERAGE(OFFSET($GY$3,0,0,'Données projet'!$E$18+1,1))-AVERAGE(OFFSET($H$3,0,0,'Données projet'!$E$18+1,1))</f>
        <v>308.85018589589453</v>
      </c>
      <c r="HA51" s="59">
        <f t="shared" si="52"/>
        <v>302.59481222418219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>
        <f>EXP(-LN(2)/35)*HG50+(1-EXP(-LN(2)/35))/(LN(2)/35)*HC51*HD51*VLOOKUP('Données projet'!$B$18,Paramètres!$A$1:$I$89,3,0)*0.475*44/12</f>
        <v>34.996403829484336</v>
      </c>
      <c r="HH51" s="21">
        <f>EXP(-LN(2)/25)*HH50+(1-EXP(-LN(2)/25))/(LN(2)/25)*Calculateur!HC51*Calculateur!HE51*VLOOKUP('Données projet'!$B$18,Paramètres!$A$1:$I$89,3,0)*0.475*44/12</f>
        <v>0</v>
      </c>
      <c r="HI51" s="21">
        <f>EXP(-LN(2)/2)*HI50+(1-EXP(-LN(2)/2))/(LN(2)/2)*HC51*HF51*VLOOKUP('Données projet'!$B$18,Paramètres!$A$1:$I$89,3,0)*0.475*44/12</f>
        <v>0</v>
      </c>
      <c r="HJ51" s="22">
        <f t="shared" si="30"/>
        <v>34.996403829484336</v>
      </c>
    </row>
    <row r="52" spans="1:218" x14ac:dyDescent="0.35">
      <c r="A52" s="10">
        <f t="shared" si="31"/>
        <v>49</v>
      </c>
      <c r="B52" s="72">
        <f>'Scénario référence'!$B$16*5+'Scénario référence'!$B$17*0+'Scénario référence'!$B$18*5</f>
        <v>5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66">
        <f t="shared" si="1"/>
        <v>183.33333333333334</v>
      </c>
      <c r="I52" s="6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12.271428571428576</v>
      </c>
      <c r="N52" s="13">
        <f>IF('Données projet'!$A$36&gt;35,N51+M52-V51,IF(A52&lt;'Données projet'!$A$36,$K$205^A52,IF(A52='Données projet'!$A$36,'Données projet'!$B$36,N51+M52-V51)))</f>
        <v>204.04142857142864</v>
      </c>
      <c r="O52" s="13">
        <f>N52*VLOOKUP('Données projet'!$B$9,Paramètres!$A$1:$I$89,3,0)*VLOOKUP('Données projet'!$B$9,Paramètres!$A$1:$I$89,5,0)</f>
        <v>184.61668457142864</v>
      </c>
      <c r="P52" s="13">
        <f t="shared" si="33"/>
        <v>46.347794643176734</v>
      </c>
      <c r="Q52" s="20">
        <f t="shared" si="53"/>
        <v>402.26313463210437</v>
      </c>
      <c r="R52" s="59">
        <f t="shared" si="0"/>
        <v>656.70951445639639</v>
      </c>
      <c r="S52" s="59">
        <f ca="1">AVERAGE(OFFSET($R$3,0,0,'Données projet'!$E$9+1,1))-AVERAGE(OFFSET($H$3,0,0,'Données projet'!$E$9+1,1))</f>
        <v>567.42635821507474</v>
      </c>
      <c r="T52" s="59">
        <f t="shared" si="34"/>
        <v>299.04735309930152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65.855306965724438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0</v>
      </c>
      <c r="AC52" s="22">
        <f t="shared" si="3"/>
        <v>65.855306965724438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12.271428571428576</v>
      </c>
      <c r="AI52" s="13">
        <f>IF('Données projet'!$A$62&gt;35,AI51+AH52-AQ51,IF(A52&lt;'Données projet'!$A$62,$AF$205^A52,IF(A52='Données projet'!$A$62,'Données projet'!$B$62,AI51+AH52-AQ51)))</f>
        <v>204.04142857142864</v>
      </c>
      <c r="AJ52" s="13">
        <f>AI52*VLOOKUP('Données projet'!$B$10,Paramètres!$A$1:$I$89,3,0)*VLOOKUP('Données projet'!$B$10,Paramètres!$A$1:$I$89,5,0)</f>
        <v>206.89800857142865</v>
      </c>
      <c r="AK52" s="13">
        <f t="shared" si="35"/>
        <v>51.257136542136692</v>
      </c>
      <c r="AL52" s="20">
        <f t="shared" si="4"/>
        <v>449.62021107279298</v>
      </c>
      <c r="AM52" s="59">
        <f t="shared" si="5"/>
        <v>704.06659089708501</v>
      </c>
      <c r="AN52" s="59">
        <f ca="1">AVERAGE(OFFSET($AM$3,0,0,'Données projet'!$E$10+1,1))-AVERAGE(OFFSET($H$3,0,0,'Données projet'!$E$10+1,1))</f>
        <v>626.09203985591455</v>
      </c>
      <c r="AO52" s="59">
        <f t="shared" si="36"/>
        <v>327.65191296575199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73.803361254691183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73.803361254691183</v>
      </c>
      <c r="AY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11</v>
      </c>
      <c r="BD52" s="12">
        <f>IF('Données projet'!$A$88&gt;35,BD51+BC52-BL51,IF(A52&lt;'Données projet'!$A$88,$BA$205^A52,IF(A52='Données projet'!$A$88,'Données projet'!$B$88,BD51+BC52-BL51)))</f>
        <v>206.00000000000003</v>
      </c>
      <c r="BE52" s="13">
        <f>BD52*VLOOKUP('Données projet'!$B$11,Paramètres!$A$1:$I$89,3,0)*VLOOKUP('Données projet'!$B$11,Paramètres!$A$1:$I$89,5,0)</f>
        <v>176.74800000000005</v>
      </c>
      <c r="BF52" s="13">
        <f t="shared" si="37"/>
        <v>44.597910160550732</v>
      </c>
      <c r="BG52" s="20">
        <f t="shared" si="7"/>
        <v>385.51079352962591</v>
      </c>
      <c r="BH52" s="59">
        <f t="shared" si="8"/>
        <v>639.95717335391782</v>
      </c>
      <c r="BI52" s="59">
        <f ca="1">AVERAGE(OFFSET($BH$3,0,0,'Données projet'!$E$11+1,1))-AVERAGE(OFFSET($H$3,0,0,'Données projet'!$E$11+1,1))</f>
        <v>481.23392184981651</v>
      </c>
      <c r="BJ52" s="59">
        <f t="shared" si="38"/>
        <v>275.88160405468193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35.448684679419138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35.448684679419138</v>
      </c>
      <c r="BT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17.080000000000002</v>
      </c>
      <c r="BY52" s="12">
        <f>IF('Données projet'!$A$114&gt;35,BY51+BX52-CG51,IF(A52&lt;'Données projet'!$A$114,$BV$205^A52,IF(A52='Données projet'!$A$114,'Données projet'!$B$114,BY51+BX52-CG51)))</f>
        <v>358.60999999999979</v>
      </c>
      <c r="BZ52" s="13">
        <f>BY52*VLOOKUP('Données projet'!$B$12,Paramètres!$A$1:$I$89,3,0)*VLOOKUP('Données projet'!$B$12,Paramètres!$A$1:$I$89,5,0)</f>
        <v>167.8294799999999</v>
      </c>
      <c r="CA52" s="13">
        <f t="shared" si="39"/>
        <v>42.603536349929698</v>
      </c>
      <c r="CB52" s="20">
        <f t="shared" si="10"/>
        <v>366.50417014279401</v>
      </c>
      <c r="CC52" s="59">
        <f t="shared" si="11"/>
        <v>620.95054996708598</v>
      </c>
      <c r="CD52" s="59">
        <f ca="1">AVERAGE(OFFSET($CC$3,0,0,'Données projet'!$E$12+1,1))-AVERAGE(OFFSET($H$3,0,0,'Données projet'!$E$12+1,1))</f>
        <v>331.86732359395467</v>
      </c>
      <c r="CE52" s="59">
        <f t="shared" si="40"/>
        <v>208.64489375183106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31.333774470755376</v>
      </c>
      <c r="CL52" s="21">
        <f>EXP(-LN(2)/25)*CL51+(1-EXP(-LN(2)/25))/(LN(2)/25)*Calculateur!CG52*Calculateur!CI52*VLOOKUP('Données projet'!$B$12,Paramètres!$A$1:$I$89,3,0)*0.475*44/12</f>
        <v>0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31.333774470755376</v>
      </c>
      <c r="CO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8.6</v>
      </c>
      <c r="CT52" s="12">
        <f>IF('Données projet'!$A$140&gt;35,CT51+CS52-DB51,IF(A52&lt;'Données projet'!$A$140,$CQ$205^A52,IF(A52='Données projet'!$A$140,'Données projet'!$B$140,CT51+CS52-DB51)))</f>
        <v>252.40000000000003</v>
      </c>
      <c r="CU52" s="17">
        <f>CT52*VLOOKUP('Données projet'!$B$13,Paramètres!$A$1:$I$89,3,0)*VLOOKUP('Données projet'!$B$13,Paramètres!$A$1:$I$89,5,0)</f>
        <v>185.05968000000004</v>
      </c>
      <c r="CV52" s="13">
        <f t="shared" si="41"/>
        <v>46.44604914943055</v>
      </c>
      <c r="CW52" s="20">
        <f t="shared" si="13"/>
        <v>403.20581160192484</v>
      </c>
      <c r="CX52" s="59">
        <f t="shared" si="14"/>
        <v>657.65219142621686</v>
      </c>
      <c r="CY52" s="59">
        <f ca="1">AVERAGE(OFFSET($CX$3,0,0,'Données projet'!$E$13+1,1))-AVERAGE(OFFSET($H$3,0,0,'Données projet'!$E$13+1,1))</f>
        <v>352.45777291109863</v>
      </c>
      <c r="CZ52" s="59">
        <f t="shared" si="42"/>
        <v>340.92165104349181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27.179353520133336</v>
      </c>
      <c r="DG52" s="21">
        <f>EXP(-LN(2)/25)*DG51+(1-EXP(-LN(2)/25))/(LN(2)/25)*Calculateur!DB52*Calculateur!DD52*VLOOKUP('Données projet'!$B$13,Paramètres!$A$1:$I$89,3,0)*0.475*44/12</f>
        <v>0</v>
      </c>
      <c r="DH52" s="21">
        <f>EXP(-LN(2)/2)*DH51+(1-EXP(-LN(2)/2))/(LN(2)/2)*DB52*DE52*VLOOKUP('Données projet'!$B$13,Paramètres!$A$1:$I$89,3,0)*0.475*44/12</f>
        <v>0</v>
      </c>
      <c r="DI52" s="22">
        <f t="shared" si="15"/>
        <v>27.179353520133336</v>
      </c>
      <c r="DJ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12.271428571428576</v>
      </c>
      <c r="DO52" s="12">
        <f>IF('Données projet'!$A$166&gt;35,DO51+DN52-DW51,IF(A52&lt;'Données projet'!$A$166,$DL$205^A52,IF(A52='Données projet'!$A$166,'Données projet'!$B$166,DO51+DN52-DW51)))</f>
        <v>204.04142857142864</v>
      </c>
      <c r="DP52" s="17">
        <f>DO52*VLOOKUP('Données projet'!$B$14,Paramètres!$A$1:$I$89,3,0)*VLOOKUP('Données projet'!$B$14,Paramètres!$A$1:$I$89,5,0)</f>
        <v>136.87099028571433</v>
      </c>
      <c r="DQ52" s="13">
        <f t="shared" si="43"/>
        <v>35.579253049725239</v>
      </c>
      <c r="DR52" s="20">
        <f t="shared" si="16"/>
        <v>300.35084047589049</v>
      </c>
      <c r="DS52" s="59">
        <f t="shared" si="17"/>
        <v>554.79722030018252</v>
      </c>
      <c r="DT52" s="59">
        <f ca="1">AVERAGE(OFFSET($DS$3,0,0,'Données projet'!$E$14+1,1))-AVERAGE(OFFSET($H$3,0,0,'Données projet'!$E$14+1,1))</f>
        <v>441.20130048888439</v>
      </c>
      <c r="DU52" s="59">
        <f t="shared" si="44"/>
        <v>237.47732532183946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60.178125330748195</v>
      </c>
      <c r="EB52" s="21">
        <f>EXP(-LN(2)/25)*EB51+(1-EXP(-LN(2)/25))/(LN(2)/25)*Calculateur!DW52*Calculateur!DY52*VLOOKUP('Données projet'!$B$14,Paramètres!$A$1:$I$89,3,0)*0.475*44/12</f>
        <v>0</v>
      </c>
      <c r="EC52" s="21">
        <f>EXP(-LN(2)/2)*EC51+(1-EXP(-LN(2)/2))/(LN(2)/2)*DW52*DZ52*VLOOKUP('Données projet'!$B$14,Paramètres!$A$1:$I$89,3,0)*0.475*44/12</f>
        <v>0</v>
      </c>
      <c r="ED52" s="22">
        <f t="shared" si="18"/>
        <v>60.178125330748195</v>
      </c>
      <c r="EE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8.6</v>
      </c>
      <c r="EJ52" s="12">
        <f>IF('Données projet'!$A$192&gt;35,EJ51+EI52-ER51,IF(A52&lt;'Données projet'!$A$192,$EG$205^A52,IF(A52='Données projet'!$A$192,'Données projet'!$B$192,EJ51+EI52-ER51)))</f>
        <v>252.40000000000003</v>
      </c>
      <c r="EK52" s="17">
        <f>EJ52*VLOOKUP('Données projet'!$B$15,Paramètres!$A$1:$I$89,3,0)*VLOOKUP('Données projet'!$B$15,Paramètres!$A$1:$I$89,5,0)</f>
        <v>200.80944000000002</v>
      </c>
      <c r="EL52" s="13">
        <f t="shared" si="45"/>
        <v>49.922016299484312</v>
      </c>
      <c r="EM52" s="20">
        <f t="shared" si="19"/>
        <v>436.69061972160188</v>
      </c>
      <c r="EN52" s="59">
        <f t="shared" si="20"/>
        <v>691.13699954589379</v>
      </c>
      <c r="EO52" s="59">
        <f ca="1">AVERAGE(OFFSET($EN$3,0,0,'Données projet'!$E$15+1,1))-AVERAGE(OFFSET($H$3,0,0,'Données projet'!$E$15+1,1))</f>
        <v>377.27600411578322</v>
      </c>
      <c r="EP52" s="59">
        <f t="shared" si="46"/>
        <v>364.58250627635425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>
        <f>EXP(-LN(2)/35)*EV51+(1-EXP(-LN(2)/35))/(LN(2)/35)*ER52*ES52*VLOOKUP('Données projet'!$B$15,Paramètres!$A$1:$I$89,3,0)*0.475*44/12</f>
        <v>36.35120859224169</v>
      </c>
      <c r="EW52" s="21">
        <f>EXP(-LN(2)/25)*EW51+(1-EXP(-LN(2)/25))/(LN(2)/25)*Calculateur!ER52*Calculateur!ET52*VLOOKUP('Données projet'!$B$15,Paramètres!$A$1:$I$89,3,0)*0.475*44/12</f>
        <v>0</v>
      </c>
      <c r="EX52" s="21">
        <f>EXP(-LN(2)/2)*EX51+(1-EXP(-LN(2)/2))/(LN(2)/2)*ER52*EU52*VLOOKUP('Données projet'!$B$15,Paramètres!$A$1:$I$89,3,0)*0.475*44/12</f>
        <v>0</v>
      </c>
      <c r="EY52" s="22">
        <f t="shared" si="21"/>
        <v>36.35120859224169</v>
      </c>
      <c r="EZ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8.6</v>
      </c>
      <c r="FE52" s="12">
        <f>IF('Données projet'!$A$218&gt;35,FE51+FD52-FM51,IF(A52&lt;'Données projet'!$A$218,$FB$205^A52,IF(A52='Données projet'!$A$218,'Données projet'!$B$218,FE51+FD52-FM51)))</f>
        <v>252.40000000000003</v>
      </c>
      <c r="FF52" s="17">
        <f>FE52*VLOOKUP('Données projet'!$B$16,Paramètres!$A$1:$I$89,3,0)*VLOOKUP('Données projet'!$B$16,Paramètres!$A$1:$I$89,5,0)</f>
        <v>204.74688000000003</v>
      </c>
      <c r="FG52" s="13">
        <f t="shared" si="47"/>
        <v>50.785959801489987</v>
      </c>
      <c r="FH52" s="20">
        <f t="shared" si="22"/>
        <v>445.05302932092837</v>
      </c>
      <c r="FI52" s="59">
        <f t="shared" si="23"/>
        <v>699.4994091452204</v>
      </c>
      <c r="FJ52" s="59">
        <f ca="1">AVERAGE(OFFSET($FI$3,0,0,'Données projet'!$E$16+1,1))-AVERAGE(OFFSET($H$3,0,0,'Données projet'!$E$16+1,1))</f>
        <v>383.47399633251354</v>
      </c>
      <c r="FK52" s="59">
        <f t="shared" si="48"/>
        <v>370.49129421395628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>
        <f>EXP(-LN(2)/35)*FQ51+(1-EXP(-LN(2)/35))/(LN(2)/35)*FM52*FN52*VLOOKUP('Données projet'!$B$16,Paramètres!$A$1:$I$89,3,0)*0.475*44/12</f>
        <v>37.063977388167999</v>
      </c>
      <c r="FR52" s="21">
        <f>EXP(-LN(2)/25)*FR51+(1-EXP(-LN(2)/25))/(LN(2)/25)*Calculateur!FM52*Calculateur!FO52*VLOOKUP('Données projet'!$B$16,Paramètres!$A$1:$I$89,3,0)*0.475*44/12</f>
        <v>0</v>
      </c>
      <c r="FS52" s="21">
        <f>EXP(-LN(2)/2)*FS51+(1-EXP(-LN(2)/2))/(LN(2)/2)*FM52*FP52*VLOOKUP('Données projet'!$B$16,Paramètres!$A$1:$I$89,3,0)*0.475*44/12</f>
        <v>0</v>
      </c>
      <c r="FT52" s="22">
        <f t="shared" si="24"/>
        <v>37.063977388167999</v>
      </c>
      <c r="FU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12.271428571428576</v>
      </c>
      <c r="FZ52" s="12">
        <f>IF('Données projet'!$A$244&gt;35,FZ51+FY52-GH51,IF(A52&lt;'Données projet'!$A$244,$FW$205^A52,IF(A52='Données projet'!$A$244,'Données projet'!$B$244,FZ51+FY52-GH51)))</f>
        <v>204.04142857142864</v>
      </c>
      <c r="GA52" s="17">
        <f>FZ52*VLOOKUP('Données projet'!$B$17,Paramètres!$A$1:$I$89,3,0)*VLOOKUP('Données projet'!$B$17,Paramètres!$A$1:$I$89,5,0)</f>
        <v>194.16582342857149</v>
      </c>
      <c r="GB52" s="13">
        <f t="shared" si="49"/>
        <v>48.459791488807113</v>
      </c>
      <c r="GC52" s="20">
        <f t="shared" si="25"/>
        <v>422.57294598110099</v>
      </c>
      <c r="GD52" s="59">
        <f t="shared" si="26"/>
        <v>677.01932580539301</v>
      </c>
      <c r="GE52" s="59">
        <f ca="1">AVERAGE(OFFSET($GD$3,0,0,'Données projet'!$E$17+1,1))-AVERAGE(OFFSET($H$3,0,0,'Données projet'!$E$17+1,1))</f>
        <v>592.58528889137358</v>
      </c>
      <c r="GF52" s="59">
        <f t="shared" si="50"/>
        <v>311.31528020403709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>
        <f>EXP(-LN(2)/35)*GL51+(1-EXP(-LN(2)/35))/(LN(2)/35)*GH52*GI52*VLOOKUP('Données projet'!$B$17,Paramètres!$A$1:$I$89,3,0)*0.475*44/12</f>
        <v>69.261615946710194</v>
      </c>
      <c r="GM52" s="21">
        <f>EXP(-LN(2)/25)*GM51+(1-EXP(-LN(2)/25))/(LN(2)/25)*Calculateur!GH52*Calculateur!GJ52*VLOOKUP('Données projet'!$B$17,Paramètres!$A$1:$I$89,3,0)*0.475*44/12</f>
        <v>0</v>
      </c>
      <c r="GN52" s="21">
        <f>EXP(-LN(2)/2)*GN51+(1-EXP(-LN(2)/2))/(LN(2)/2)*GH52*GK52*VLOOKUP('Données projet'!$B$17,Paramètres!$A$1:$I$89,3,0)*0.475*44/12</f>
        <v>0</v>
      </c>
      <c r="GO52" s="21">
        <f t="shared" si="27"/>
        <v>69.261615946710194</v>
      </c>
      <c r="GP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10.375</v>
      </c>
      <c r="GU52" s="12">
        <f>IF('Données projet'!$A$270&gt;35,GU51+GT52-HC51,IF(A52&lt;'Données projet'!$A$270,$GR$205^A52,IF(A52='Données projet'!$A$270,'Données projet'!$B$270,GU51+GT52-HC51)))</f>
        <v>238.87499999999991</v>
      </c>
      <c r="GV52" s="17">
        <f>GU52*VLOOKUP('Données projet'!$B$18,Paramètres!$A$1:$I$89,3,0)*VLOOKUP('Données projet'!$B$18,Paramètres!$A$1:$I$89,5,0)</f>
        <v>186.32249999999993</v>
      </c>
      <c r="GW52" s="13">
        <f t="shared" si="51"/>
        <v>46.725987276254116</v>
      </c>
      <c r="GX52" s="20">
        <f t="shared" si="28"/>
        <v>405.8927820061424</v>
      </c>
      <c r="GY52" s="59">
        <f t="shared" si="29"/>
        <v>660.33916183043436</v>
      </c>
      <c r="GZ52" s="59">
        <f ca="1">AVERAGE(OFFSET($GY$3,0,0,'Données projet'!$E$18+1,1))-AVERAGE(OFFSET($H$3,0,0,'Données projet'!$E$18+1,1))</f>
        <v>308.85018589589453</v>
      </c>
      <c r="HA52" s="59">
        <f t="shared" si="52"/>
        <v>302.59481222418219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>
        <f>EXP(-LN(2)/35)*HG51+(1-EXP(-LN(2)/35))/(LN(2)/35)*HC52*HD52*VLOOKUP('Données projet'!$B$18,Paramètres!$A$1:$I$89,3,0)*0.475*44/12</f>
        <v>34.310145696086771</v>
      </c>
      <c r="HH52" s="21">
        <f>EXP(-LN(2)/25)*HH51+(1-EXP(-LN(2)/25))/(LN(2)/25)*Calculateur!HC52*Calculateur!HE52*VLOOKUP('Données projet'!$B$18,Paramètres!$A$1:$I$89,3,0)*0.475*44/12</f>
        <v>0</v>
      </c>
      <c r="HI52" s="21">
        <f>EXP(-LN(2)/2)*HI51+(1-EXP(-LN(2)/2))/(LN(2)/2)*HC52*HF52*VLOOKUP('Données projet'!$B$18,Paramètres!$A$1:$I$89,3,0)*0.475*44/12</f>
        <v>0</v>
      </c>
      <c r="HJ52" s="22">
        <f t="shared" si="30"/>
        <v>34.310145696086771</v>
      </c>
    </row>
    <row r="53" spans="1:218" x14ac:dyDescent="0.35">
      <c r="A53" s="10">
        <f t="shared" si="31"/>
        <v>50</v>
      </c>
      <c r="B53" s="72">
        <f>'Scénario référence'!$B$16*5+'Scénario référence'!$B$17*0+'Scénario référence'!$B$18*5</f>
        <v>5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66">
        <f t="shared" si="1"/>
        <v>183.33333333333334</v>
      </c>
      <c r="I53" s="6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12.271428571428576</v>
      </c>
      <c r="N53" s="13">
        <f>IF('Données projet'!$A$36&gt;35,N52+M53-V52,IF(A53&lt;'Données projet'!$A$36,$K$205^A53,IF(A53='Données projet'!$A$36,'Données projet'!$B$36,N52+M53-V52)))</f>
        <v>216.31285714285721</v>
      </c>
      <c r="O53" s="13">
        <f>N53*VLOOKUP('Données projet'!$B$9,Paramètres!$A$1:$I$89,3,0)*VLOOKUP('Données projet'!$B$9,Paramètres!$A$1:$I$89,5,0)</f>
        <v>195.71987314285718</v>
      </c>
      <c r="P53" s="13">
        <f t="shared" si="33"/>
        <v>48.802344365335458</v>
      </c>
      <c r="Q53" s="20">
        <f t="shared" si="53"/>
        <v>425.87619549343549</v>
      </c>
      <c r="R53" s="59">
        <f t="shared" si="0"/>
        <v>680.99717702290559</v>
      </c>
      <c r="S53" s="59">
        <f ca="1">AVERAGE(OFFSET($R$3,0,0,'Données projet'!$E$9+1,1))-AVERAGE(OFFSET($H$3,0,0,'Données projet'!$E$9+1,1))</f>
        <v>567.42635821507474</v>
      </c>
      <c r="T53" s="59">
        <f t="shared" si="34"/>
        <v>299.04735309930152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64.563924563897586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0</v>
      </c>
      <c r="AC53" s="22">
        <f t="shared" si="3"/>
        <v>64.563924563897586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12.271428571428576</v>
      </c>
      <c r="AI53" s="13">
        <f>IF('Données projet'!$A$62&gt;35,AI52+AH53-AQ52,IF(A53&lt;'Données projet'!$A$62,$AF$205^A53,IF(A53='Données projet'!$A$62,'Données projet'!$B$62,AI52+AH53-AQ52)))</f>
        <v>216.31285714285721</v>
      </c>
      <c r="AJ53" s="13">
        <f>AI53*VLOOKUP('Données projet'!$B$10,Paramètres!$A$1:$I$89,3,0)*VLOOKUP('Données projet'!$B$10,Paramètres!$A$1:$I$89,5,0)</f>
        <v>219.34123714285724</v>
      </c>
      <c r="AK53" s="13">
        <f t="shared" si="35"/>
        <v>53.971681888398933</v>
      </c>
      <c r="AL53" s="20">
        <f t="shared" si="4"/>
        <v>476.02000064610456</v>
      </c>
      <c r="AM53" s="59">
        <f t="shared" si="5"/>
        <v>731.14098217557466</v>
      </c>
      <c r="AN53" s="59">
        <f ca="1">AVERAGE(OFFSET($AM$3,0,0,'Données projet'!$E$10+1,1))-AVERAGE(OFFSET($H$3,0,0,'Données projet'!$E$10+1,1))</f>
        <v>626.09203985591455</v>
      </c>
      <c r="AO53" s="59">
        <f t="shared" si="36"/>
        <v>327.65191296575199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72.356122356092129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72.356122356092129</v>
      </c>
      <c r="AY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217</v>
      </c>
      <c r="BB53" s="12">
        <f>VLOOKUP(A53,'Données projet'!$A$87:$I$107,9,0)</f>
        <v>11</v>
      </c>
      <c r="BC53" s="12">
        <f t="array" ref="BC53">INDEX(BB:BB,MIN(IF(ISNUMBER(BB53:BB249),ROW(BB53:BB249),"")))</f>
        <v>11</v>
      </c>
      <c r="BD53" s="12">
        <f>IF('Données projet'!$A$88&gt;35,BD52+BC53-BL52,IF(A53&lt;'Données projet'!$A$88,$BA$205^A53,IF(A53='Données projet'!$A$88,'Données projet'!$B$88,BD52+BC53-BL52)))</f>
        <v>217.00000000000003</v>
      </c>
      <c r="BE53" s="13">
        <f>BD53*VLOOKUP('Données projet'!$B$11,Paramètres!$A$1:$I$89,3,0)*VLOOKUP('Données projet'!$B$11,Paramètres!$A$1:$I$89,5,0)</f>
        <v>186.18600000000004</v>
      </c>
      <c r="BF53" s="13">
        <f t="shared" si="37"/>
        <v>46.69573903947046</v>
      </c>
      <c r="BG53" s="20">
        <f t="shared" si="7"/>
        <v>405.60236216041108</v>
      </c>
      <c r="BH53" s="59">
        <f t="shared" si="8"/>
        <v>660.72334368988118</v>
      </c>
      <c r="BI53" s="59">
        <f ca="1">AVERAGE(OFFSET($BH$3,0,0,'Données projet'!$E$11+1,1))-AVERAGE(OFFSET($H$3,0,0,'Données projet'!$E$11+1,1))</f>
        <v>481.23392184981651</v>
      </c>
      <c r="BJ53" s="59">
        <f t="shared" si="38"/>
        <v>275.88160405468193</v>
      </c>
      <c r="BK53" s="15">
        <f>IF(ISNA(VLOOKUP(A53,'Données projet'!$A$87:$I$107,3,0)),0,VLOOKUP(A53,'Données projet'!$A$87:$I$107,3,0))</f>
        <v>6</v>
      </c>
      <c r="BL53" s="15">
        <f>IF(ISNA(VLOOKUP(A53,'Données projet'!$A$87:$I$107,4,0)),0,VLOOKUP(A53,'Données projet'!$A$87:$I$107,4,0))</f>
        <v>28</v>
      </c>
      <c r="BM53" s="16">
        <f>IF(ISNA(VLOOKUP(A53,'Données projet'!$A$87:$I$107,5,0)),0%,VLOOKUP(A53,'Données projet'!$A$87:$I$107,5,0)*VLOOKUP('Données projet'!$B$11,Paramètres!$A$1:$I$89,7,0))</f>
        <v>0.53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48.829202405305217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48.829202405305217</v>
      </c>
      <c r="BT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375.69</v>
      </c>
      <c r="BW53" s="12">
        <f>VLOOKUP(A53,'Données projet'!$A$113:$I$133,9,0)</f>
        <v>17.080000000000002</v>
      </c>
      <c r="BX53" s="12">
        <f t="array" ref="BX53">INDEX(BW:BW,MIN(IF(ISNUMBER(BW53:BW249),ROW(BW53:BW249),"")))</f>
        <v>17.080000000000002</v>
      </c>
      <c r="BY53" s="12">
        <f>IF('Données projet'!$A$114&gt;35,BY52+BX53-CG52,IF(A53&lt;'Données projet'!$A$114,$BV$205^A53,IF(A53='Données projet'!$A$114,'Données projet'!$B$114,BY52+BX53-CG52)))</f>
        <v>375.68999999999977</v>
      </c>
      <c r="BZ53" s="13">
        <f>BY53*VLOOKUP('Données projet'!$B$12,Paramètres!$A$1:$I$89,3,0)*VLOOKUP('Données projet'!$B$12,Paramètres!$A$1:$I$89,5,0)</f>
        <v>175.8229199999999</v>
      </c>
      <c r="CA53" s="13">
        <f t="shared" si="39"/>
        <v>44.391596716593241</v>
      </c>
      <c r="CB53" s="20">
        <f t="shared" si="10"/>
        <v>383.5402832813997</v>
      </c>
      <c r="CC53" s="59">
        <f t="shared" si="11"/>
        <v>638.66126481086985</v>
      </c>
      <c r="CD53" s="59">
        <f ca="1">AVERAGE(OFFSET($CC$3,0,0,'Données projet'!$E$12+1,1))-AVERAGE(OFFSET($H$3,0,0,'Données projet'!$E$12+1,1))</f>
        <v>331.86732359395467</v>
      </c>
      <c r="CE53" s="59">
        <f t="shared" si="40"/>
        <v>208.64489375183106</v>
      </c>
      <c r="CF53" s="15">
        <f>IF(ISNA(VLOOKUP(A53,'Données projet'!$A$113:$I$133,3,0)),0,VLOOKUP(A53,'Données projet'!$A$113:$I$133,3,0))</f>
        <v>2</v>
      </c>
      <c r="CG53" s="15">
        <f>IF(ISNA(VLOOKUP(A53,'Données projet'!$A$113:$I$133,4,0)),0,VLOOKUP(A53,'Données projet'!$A$113:$I$133,4,0))</f>
        <v>106.51</v>
      </c>
      <c r="CH53" s="16">
        <f>IF(ISNA(VLOOKUP(A53,'Données projet'!$A$113:$I$133,5,0)),0%,VLOOKUP(A53,'Données projet'!$A$113:$I$133,5,0)*VLOOKUP('Données projet'!$B$12,Paramètres!$A$1:$I$89,7,0))</f>
        <v>0.55000000000000004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67.087996915417122</v>
      </c>
      <c r="CL53" s="21">
        <f>EXP(-LN(2)/25)*CL52+(1-EXP(-LN(2)/25))/(LN(2)/25)*Calculateur!CG53*Calculateur!CI53*VLOOKUP('Données projet'!$B$12,Paramètres!$A$1:$I$89,3,0)*0.475*44/12</f>
        <v>0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67.087996915417122</v>
      </c>
      <c r="CO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261</v>
      </c>
      <c r="CR53" s="12">
        <f>VLOOKUP(A53,'Données projet'!$A$139:$I$159,9,0)</f>
        <v>8.6</v>
      </c>
      <c r="CS53" s="12">
        <f t="array" ref="CS53">INDEX(CR:CR,MIN(IF(ISNUMBER(CR53:CR249),ROW(CR53:CR249),"")))</f>
        <v>8.6</v>
      </c>
      <c r="CT53" s="12">
        <f>IF('Données projet'!$A$140&gt;35,CT52+CS53-DB52,IF(A53&lt;'Données projet'!$A$140,$CQ$205^A53,IF(A53='Données projet'!$A$140,'Données projet'!$B$140,CT52+CS53-DB52)))</f>
        <v>261.00000000000006</v>
      </c>
      <c r="CU53" s="17">
        <f>CT53*VLOOKUP('Données projet'!$B$13,Paramètres!$A$1:$I$89,3,0)*VLOOKUP('Données projet'!$B$13,Paramètres!$A$1:$I$89,5,0)</f>
        <v>191.36520000000004</v>
      </c>
      <c r="CV53" s="13">
        <f t="shared" si="41"/>
        <v>47.841653305605021</v>
      </c>
      <c r="CW53" s="20">
        <f t="shared" si="13"/>
        <v>416.61860284059549</v>
      </c>
      <c r="CX53" s="59">
        <f t="shared" si="14"/>
        <v>671.73958437006559</v>
      </c>
      <c r="CY53" s="59">
        <f ca="1">AVERAGE(OFFSET($CX$3,0,0,'Données projet'!$E$13+1,1))-AVERAGE(OFFSET($H$3,0,0,'Données projet'!$E$13+1,1))</f>
        <v>352.45777291109863</v>
      </c>
      <c r="CZ53" s="59">
        <f t="shared" si="42"/>
        <v>340.92165104349181</v>
      </c>
      <c r="DA53" s="15">
        <f>IF(ISNA(VLOOKUP(A53,'Données projet'!$A$139:$I$159,3,0)),0,VLOOKUP(A53,'Données projet'!$A$139:$I$159,3,0))</f>
        <v>8</v>
      </c>
      <c r="DB53" s="15">
        <f>IF(ISNA(VLOOKUP(A53,'Données projet'!$A$139:$I$159,4,0)),0,VLOOKUP(A53,'Données projet'!$A$139:$I$159,4,0))</f>
        <v>19</v>
      </c>
      <c r="DC53" s="16">
        <f>IF(ISNA(VLOOKUP(A53,'Données projet'!$A$139:$I$159,5,0)),0%,VLOOKUP(A53,'Données projet'!$A$139:$I$159,5,0)*VLOOKUP('Données projet'!$B$13,Paramètres!$A$1:$I$89,7,0))</f>
        <v>0.43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33.268420283547229</v>
      </c>
      <c r="DG53" s="21">
        <f>EXP(-LN(2)/25)*DG52+(1-EXP(-LN(2)/25))/(LN(2)/25)*Calculateur!DB53*Calculateur!DD53*VLOOKUP('Données projet'!$B$13,Paramètres!$A$1:$I$89,3,0)*0.475*44/12</f>
        <v>0</v>
      </c>
      <c r="DH53" s="21">
        <f>EXP(-LN(2)/2)*DH52+(1-EXP(-LN(2)/2))/(LN(2)/2)*DB53*DE53*VLOOKUP('Données projet'!$B$13,Paramètres!$A$1:$I$89,3,0)*0.475*44/12</f>
        <v>0</v>
      </c>
      <c r="DI53" s="22">
        <f t="shared" si="15"/>
        <v>33.268420283547229</v>
      </c>
      <c r="DJ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12.271428571428576</v>
      </c>
      <c r="DO53" s="12">
        <f>IF('Données projet'!$A$166&gt;35,DO52+DN53-DW52,IF(A53&lt;'Données projet'!$A$166,$DL$205^A53,IF(A53='Données projet'!$A$166,'Données projet'!$B$166,DO52+DN53-DW52)))</f>
        <v>216.31285714285721</v>
      </c>
      <c r="DP53" s="17">
        <f>DO53*VLOOKUP('Données projet'!$B$14,Paramètres!$A$1:$I$89,3,0)*VLOOKUP('Données projet'!$B$14,Paramètres!$A$1:$I$89,5,0)</f>
        <v>145.10266457142862</v>
      </c>
      <c r="DQ53" s="13">
        <f t="shared" si="43"/>
        <v>37.463507659036516</v>
      </c>
      <c r="DR53" s="20">
        <f t="shared" si="16"/>
        <v>317.96941663472677</v>
      </c>
      <c r="DS53" s="59">
        <f t="shared" si="17"/>
        <v>573.09039816419681</v>
      </c>
      <c r="DT53" s="59">
        <f ca="1">AVERAGE(OFFSET($DS$3,0,0,'Données projet'!$E$14+1,1))-AVERAGE(OFFSET($H$3,0,0,'Données projet'!$E$14+1,1))</f>
        <v>441.20130048888439</v>
      </c>
      <c r="DU53" s="59">
        <f t="shared" si="44"/>
        <v>237.47732532183946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58.998068998044353</v>
      </c>
      <c r="EB53" s="21">
        <f>EXP(-LN(2)/25)*EB52+(1-EXP(-LN(2)/25))/(LN(2)/25)*Calculateur!DW53*Calculateur!DY53*VLOOKUP('Données projet'!$B$14,Paramètres!$A$1:$I$89,3,0)*0.475*44/12</f>
        <v>0</v>
      </c>
      <c r="EC53" s="21">
        <f>EXP(-LN(2)/2)*EC52+(1-EXP(-LN(2)/2))/(LN(2)/2)*DW53*DZ53*VLOOKUP('Données projet'!$B$14,Paramètres!$A$1:$I$89,3,0)*0.475*44/12</f>
        <v>0</v>
      </c>
      <c r="ED53" s="22">
        <f t="shared" si="18"/>
        <v>58.998068998044353</v>
      </c>
      <c r="EE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>
        <f>VLOOKUP(A53,'Données projet'!$A$191:$I$211,2,0)</f>
        <v>261</v>
      </c>
      <c r="EH53" s="12">
        <f>VLOOKUP(A53,'Données projet'!$A$191:$I$211,9,0)</f>
        <v>8.6</v>
      </c>
      <c r="EI53" s="12">
        <f t="array" ref="EI53">INDEX(EH:EH,MIN(IF(ISNUMBER(EH53:EH249),ROW(EH53:EH249),"")))</f>
        <v>8.6</v>
      </c>
      <c r="EJ53" s="12">
        <f>IF('Données projet'!$A$192&gt;35,EJ52+EI53-ER52,IF(A53&lt;'Données projet'!$A$192,$EG$205^A53,IF(A53='Données projet'!$A$192,'Données projet'!$B$192,EJ52+EI53-ER52)))</f>
        <v>261.00000000000006</v>
      </c>
      <c r="EK53" s="17">
        <f>EJ53*VLOOKUP('Données projet'!$B$15,Paramètres!$A$1:$I$89,3,0)*VLOOKUP('Données projet'!$B$15,Paramètres!$A$1:$I$89,5,0)</f>
        <v>207.65160000000006</v>
      </c>
      <c r="EL53" s="13">
        <f t="shared" si="45"/>
        <v>51.422065813018108</v>
      </c>
      <c r="EM53" s="20">
        <f t="shared" si="19"/>
        <v>451.2199679576733</v>
      </c>
      <c r="EN53" s="59">
        <f t="shared" si="20"/>
        <v>706.34094948714346</v>
      </c>
      <c r="EO53" s="59">
        <f ca="1">AVERAGE(OFFSET($EN$3,0,0,'Données projet'!$E$15+1,1))-AVERAGE(OFFSET($H$3,0,0,'Données projet'!$E$15+1,1))</f>
        <v>377.27600411578322</v>
      </c>
      <c r="EP53" s="59">
        <f t="shared" si="46"/>
        <v>364.58250627635425</v>
      </c>
      <c r="EQ53" s="15">
        <f>IF(ISNA(VLOOKUP(A53,'Données projet'!$A$191:$I$211,3,0)),0,VLOOKUP(A53,'Données projet'!$A$191:$I$211,3,0))</f>
        <v>8</v>
      </c>
      <c r="ER53" s="15">
        <f>IF(ISNA(VLOOKUP(A53,'Données projet'!$A$191:$I$211,4,0)),0,VLOOKUP(A53,'Données projet'!$A$191:$I$211,4,0))</f>
        <v>19</v>
      </c>
      <c r="ES53" s="16">
        <f>IF(ISNA(VLOOKUP(A53,'Données projet'!$A$191:$I$211,5,0)),0%,VLOOKUP(A53,'Données projet'!$A$191:$I$211,5,0)*VLOOKUP('Données projet'!$B$15,Paramètres!$A$1:$I$89,7,0))</f>
        <v>0.53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>
        <f>EXP(-LN(2)/35)*EV52+(1-EXP(-LN(2)/35))/(LN(2)/35)*ER53*ES53*VLOOKUP('Données projet'!$B$15,Paramètres!$A$1:$I$89,3,0)*0.475*44/12</f>
        <v>44.495071759736859</v>
      </c>
      <c r="EW53" s="21">
        <f>EXP(-LN(2)/25)*EW52+(1-EXP(-LN(2)/25))/(LN(2)/25)*Calculateur!ER53*Calculateur!ET53*VLOOKUP('Données projet'!$B$15,Paramètres!$A$1:$I$89,3,0)*0.475*44/12</f>
        <v>0</v>
      </c>
      <c r="EX53" s="21">
        <f>EXP(-LN(2)/2)*EX52+(1-EXP(-LN(2)/2))/(LN(2)/2)*ER53*EU53*VLOOKUP('Données projet'!$B$15,Paramètres!$A$1:$I$89,3,0)*0.475*44/12</f>
        <v>0</v>
      </c>
      <c r="EY53" s="22">
        <f t="shared" si="21"/>
        <v>44.495071759736859</v>
      </c>
      <c r="EZ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>
        <f>VLOOKUP(A53,'Données projet'!$A$217:$I$237,2,0)</f>
        <v>261</v>
      </c>
      <c r="FC53" s="12">
        <f>VLOOKUP(A53,'Données projet'!$A$217:$I$237,9,0)</f>
        <v>8.6</v>
      </c>
      <c r="FD53" s="12">
        <f t="array" ref="FD53">INDEX(FC:FC,MIN(IF(ISNUMBER(FC53:FC249),ROW(FC53:FC249),"")))</f>
        <v>8.6</v>
      </c>
      <c r="FE53" s="12">
        <f>IF('Données projet'!$A$218&gt;35,FE52+FD53-FM52,IF(A53&lt;'Données projet'!$A$218,$FB$205^A53,IF(A53='Données projet'!$A$218,'Données projet'!$B$218,FE52+FD53-FM52)))</f>
        <v>261.00000000000006</v>
      </c>
      <c r="FF53" s="17">
        <f>FE53*VLOOKUP('Données projet'!$B$16,Paramètres!$A$1:$I$89,3,0)*VLOOKUP('Données projet'!$B$16,Paramètres!$A$1:$I$89,5,0)</f>
        <v>211.72320000000005</v>
      </c>
      <c r="FG53" s="13">
        <f t="shared" si="47"/>
        <v>52.311968964212078</v>
      </c>
      <c r="FH53" s="20">
        <f t="shared" si="22"/>
        <v>459.86125261266943</v>
      </c>
      <c r="FI53" s="59">
        <f t="shared" si="23"/>
        <v>714.98223414213953</v>
      </c>
      <c r="FJ53" s="59">
        <f ca="1">AVERAGE(OFFSET($FI$3,0,0,'Données projet'!$E$16+1,1))-AVERAGE(OFFSET($H$3,0,0,'Données projet'!$E$16+1,1))</f>
        <v>383.47399633251354</v>
      </c>
      <c r="FK53" s="59">
        <f t="shared" si="48"/>
        <v>370.49129421395628</v>
      </c>
      <c r="FL53" s="15">
        <f>IF(ISNA(VLOOKUP(A53,'Données projet'!$A$217:$I$237,3,0)),0,VLOOKUP(A53,'Données projet'!$A$217:$I$237,3,0))</f>
        <v>8</v>
      </c>
      <c r="FM53" s="15">
        <f>IF(ISNA(VLOOKUP(A53,'Données projet'!$A$217:$I$237,4,0)),0,VLOOKUP(A53,'Données projet'!$A$217:$I$237,4,0))</f>
        <v>19</v>
      </c>
      <c r="FN53" s="16">
        <f>IF(ISNA(VLOOKUP(A53,'Données projet'!$A$217:$I$237,5,0)),0%,VLOOKUP(A53,'Données projet'!$A$217:$I$237,5,0)*VLOOKUP('Données projet'!$B$16,Paramètres!$A$1:$I$89,7,0))</f>
        <v>0.53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>
        <f>EXP(-LN(2)/35)*FQ52+(1-EXP(-LN(2)/35))/(LN(2)/35)*FM53*FN53*VLOOKUP('Données projet'!$B$16,Paramètres!$A$1:$I$89,3,0)*0.475*44/12</f>
        <v>45.367524147182692</v>
      </c>
      <c r="FR53" s="21">
        <f>EXP(-LN(2)/25)*FR52+(1-EXP(-LN(2)/25))/(LN(2)/25)*Calculateur!FM53*Calculateur!FO53*VLOOKUP('Données projet'!$B$16,Paramètres!$A$1:$I$89,3,0)*0.475*44/12</f>
        <v>0</v>
      </c>
      <c r="FS53" s="21">
        <f>EXP(-LN(2)/2)*FS52+(1-EXP(-LN(2)/2))/(LN(2)/2)*FM53*FP53*VLOOKUP('Données projet'!$B$16,Paramètres!$A$1:$I$89,3,0)*0.475*44/12</f>
        <v>0</v>
      </c>
      <c r="FT53" s="22">
        <f t="shared" si="24"/>
        <v>45.367524147182692</v>
      </c>
      <c r="FU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12.271428571428576</v>
      </c>
      <c r="FZ53" s="12">
        <f>IF('Données projet'!$A$244&gt;35,FZ52+FY53-GH52,IF(A53&lt;'Données projet'!$A$244,$FW$205^A53,IF(A53='Données projet'!$A$244,'Données projet'!$B$244,FZ52+FY53-GH52)))</f>
        <v>216.31285714285721</v>
      </c>
      <c r="GA53" s="17">
        <f>FZ53*VLOOKUP('Données projet'!$B$17,Paramètres!$A$1:$I$89,3,0)*VLOOKUP('Données projet'!$B$17,Paramètres!$A$1:$I$89,5,0)</f>
        <v>205.84331485714293</v>
      </c>
      <c r="GB53" s="13">
        <f t="shared" si="49"/>
        <v>51.026191220455026</v>
      </c>
      <c r="GC53" s="20">
        <f t="shared" si="25"/>
        <v>447.38105641848318</v>
      </c>
      <c r="GD53" s="59">
        <f t="shared" si="26"/>
        <v>702.50203794795334</v>
      </c>
      <c r="GE53" s="59">
        <f ca="1">AVERAGE(OFFSET($GD$3,0,0,'Données projet'!$E$17+1,1))-AVERAGE(OFFSET($H$3,0,0,'Données projet'!$E$17+1,1))</f>
        <v>592.58528889137358</v>
      </c>
      <c r="GF53" s="59">
        <f t="shared" si="50"/>
        <v>311.31528020403709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>
        <f>EXP(-LN(2)/35)*GL52+(1-EXP(-LN(2)/35))/(LN(2)/35)*GH53*GI53*VLOOKUP('Données projet'!$B$17,Paramètres!$A$1:$I$89,3,0)*0.475*44/12</f>
        <v>67.903437903409539</v>
      </c>
      <c r="GM53" s="21">
        <f>EXP(-LN(2)/25)*GM52+(1-EXP(-LN(2)/25))/(LN(2)/25)*Calculateur!GH53*Calculateur!GJ53*VLOOKUP('Données projet'!$B$17,Paramètres!$A$1:$I$89,3,0)*0.475*44/12</f>
        <v>0</v>
      </c>
      <c r="GN53" s="21">
        <f>EXP(-LN(2)/2)*GN52+(1-EXP(-LN(2)/2))/(LN(2)/2)*GH53*GK53*VLOOKUP('Données projet'!$B$17,Paramètres!$A$1:$I$89,3,0)*0.475*44/12</f>
        <v>0</v>
      </c>
      <c r="GO53" s="21">
        <f t="shared" si="27"/>
        <v>67.903437903409539</v>
      </c>
      <c r="GP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10.375</v>
      </c>
      <c r="GU53" s="12">
        <f>IF('Données projet'!$A$270&gt;35,GU52+GT53-HC52,IF(A53&lt;'Données projet'!$A$270,$GR$205^A53,IF(A53='Données projet'!$A$270,'Données projet'!$B$270,GU52+GT53-HC52)))</f>
        <v>249.24999999999991</v>
      </c>
      <c r="GV53" s="17">
        <f>GU53*VLOOKUP('Données projet'!$B$18,Paramètres!$A$1:$I$89,3,0)*VLOOKUP('Données projet'!$B$18,Paramètres!$A$1:$I$89,5,0)</f>
        <v>194.41499999999994</v>
      </c>
      <c r="GW53" s="13">
        <f t="shared" si="51"/>
        <v>48.514737888684927</v>
      </c>
      <c r="GX53" s="20">
        <f t="shared" si="28"/>
        <v>423.10262682279273</v>
      </c>
      <c r="GY53" s="59">
        <f t="shared" si="29"/>
        <v>678.22360835226277</v>
      </c>
      <c r="GZ53" s="59">
        <f ca="1">AVERAGE(OFFSET($GY$3,0,0,'Données projet'!$E$18+1,1))-AVERAGE(OFFSET($H$3,0,0,'Données projet'!$E$18+1,1))</f>
        <v>308.85018589589453</v>
      </c>
      <c r="HA53" s="59">
        <f t="shared" si="52"/>
        <v>302.59481222418219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>
        <f>EXP(-LN(2)/35)*HG52+(1-EXP(-LN(2)/35))/(LN(2)/35)*HC53*HD53*VLOOKUP('Données projet'!$B$18,Paramètres!$A$1:$I$89,3,0)*0.475*44/12</f>
        <v>33.637344666109001</v>
      </c>
      <c r="HH53" s="21">
        <f>EXP(-LN(2)/25)*HH52+(1-EXP(-LN(2)/25))/(LN(2)/25)*Calculateur!HC53*Calculateur!HE53*VLOOKUP('Données projet'!$B$18,Paramètres!$A$1:$I$89,3,0)*0.475*44/12</f>
        <v>0</v>
      </c>
      <c r="HI53" s="21">
        <f>EXP(-LN(2)/2)*HI52+(1-EXP(-LN(2)/2))/(LN(2)/2)*HC53*HF53*VLOOKUP('Données projet'!$B$18,Paramètres!$A$1:$I$89,3,0)*0.475*44/12</f>
        <v>0</v>
      </c>
      <c r="HJ53" s="22">
        <f t="shared" si="30"/>
        <v>33.637344666109001</v>
      </c>
    </row>
    <row r="54" spans="1:218" x14ac:dyDescent="0.35">
      <c r="A54" s="10">
        <f t="shared" si="31"/>
        <v>51</v>
      </c>
      <c r="B54" s="72">
        <f>'Scénario référence'!$B$16*5+'Scénario référence'!$B$17*0+'Scénario référence'!$B$18*5</f>
        <v>5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66">
        <f t="shared" si="1"/>
        <v>183.33333333333334</v>
      </c>
      <c r="I54" s="6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12.271428571428576</v>
      </c>
      <c r="N54" s="13">
        <f>IF('Données projet'!$A$36&gt;35,N53+M54-V53,IF(A54&lt;'Données projet'!$A$36,$K$205^A54,IF(A54='Données projet'!$A$36,'Données projet'!$B$36,N53+M54-V53)))</f>
        <v>228.58428571428578</v>
      </c>
      <c r="O54" s="13">
        <f>N54*VLOOKUP('Données projet'!$B$9,Paramètres!$A$1:$I$89,3,0)*VLOOKUP('Données projet'!$B$9,Paramètres!$A$1:$I$89,5,0)</f>
        <v>206.82306171428579</v>
      </c>
      <c r="P54" s="13">
        <f t="shared" si="33"/>
        <v>51.240730027878335</v>
      </c>
      <c r="Q54" s="20">
        <f t="shared" si="53"/>
        <v>449.46110395093586</v>
      </c>
      <c r="R54" s="59">
        <f t="shared" si="0"/>
        <v>705.24498435418263</v>
      </c>
      <c r="S54" s="59">
        <f ca="1">AVERAGE(OFFSET($R$3,0,0,'Données projet'!$E$9+1,1))-AVERAGE(OFFSET($H$3,0,0,'Données projet'!$E$9+1,1))</f>
        <v>567.42635821507474</v>
      </c>
      <c r="T54" s="59">
        <f t="shared" si="34"/>
        <v>299.04735309930152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63.297865383305073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0</v>
      </c>
      <c r="AC54" s="22">
        <f t="shared" si="3"/>
        <v>63.297865383305073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12.271428571428576</v>
      </c>
      <c r="AI54" s="13">
        <f>IF('Données projet'!$A$62&gt;35,AI53+AH54-AQ53,IF(A54&lt;'Données projet'!$A$62,$AF$205^A54,IF(A54='Données projet'!$A$62,'Données projet'!$B$62,AI53+AH54-AQ53)))</f>
        <v>228.58428571428578</v>
      </c>
      <c r="AJ54" s="13">
        <f>AI54*VLOOKUP('Données projet'!$B$10,Paramètres!$A$1:$I$89,3,0)*VLOOKUP('Données projet'!$B$10,Paramètres!$A$1:$I$89,5,0)</f>
        <v>231.78446571428583</v>
      </c>
      <c r="AK54" s="13">
        <f t="shared" si="35"/>
        <v>56.668351013857453</v>
      </c>
      <c r="AL54" s="20">
        <f t="shared" si="4"/>
        <v>502.38865580151611</v>
      </c>
      <c r="AM54" s="59">
        <f t="shared" si="5"/>
        <v>758.17253620476299</v>
      </c>
      <c r="AN54" s="59">
        <f ca="1">AVERAGE(OFFSET($AM$3,0,0,'Données projet'!$E$10+1,1))-AVERAGE(OFFSET($H$3,0,0,'Données projet'!$E$10+1,1))</f>
        <v>626.09203985591455</v>
      </c>
      <c r="AO54" s="59">
        <f t="shared" si="36"/>
        <v>327.65191296575199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70.937262929566046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70.937262929566046</v>
      </c>
      <c r="AY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11</v>
      </c>
      <c r="BD54" s="12">
        <f>IF('Données projet'!$A$88&gt;35,BD53+BC54-BL53,IF(A54&lt;'Données projet'!$A$88,$BA$205^A54,IF(A54='Données projet'!$A$88,'Données projet'!$B$88,BD53+BC54-BL53)))</f>
        <v>200.00000000000003</v>
      </c>
      <c r="BE54" s="13">
        <f>BD54*VLOOKUP('Données projet'!$B$11,Paramètres!$A$1:$I$89,3,0)*VLOOKUP('Données projet'!$B$11,Paramètres!$A$1:$I$89,5,0)</f>
        <v>171.60000000000005</v>
      </c>
      <c r="BF54" s="13">
        <f t="shared" si="37"/>
        <v>43.44817475464852</v>
      </c>
      <c r="BG54" s="20">
        <f t="shared" si="7"/>
        <v>374.54223769767958</v>
      </c>
      <c r="BH54" s="59">
        <f t="shared" si="8"/>
        <v>630.32611810092635</v>
      </c>
      <c r="BI54" s="59">
        <f ca="1">AVERAGE(OFFSET($BH$3,0,0,'Données projet'!$E$11+1,1))-AVERAGE(OFFSET($H$3,0,0,'Données projet'!$E$11+1,1))</f>
        <v>481.23392184981651</v>
      </c>
      <c r="BJ54" s="59">
        <f t="shared" si="38"/>
        <v>275.88160405468193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47.871691529009837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47.871691529009837</v>
      </c>
      <c r="BT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16.366250000000001</v>
      </c>
      <c r="BY54" s="12">
        <f>IF('Données projet'!$A$114&gt;35,BY53+BX54-CG53,IF(A54&lt;'Données projet'!$A$114,$BV$205^A54,IF(A54='Données projet'!$A$114,'Données projet'!$B$114,BY53+BX54-CG53)))</f>
        <v>285.54624999999976</v>
      </c>
      <c r="BZ54" s="13">
        <f>BY54*VLOOKUP('Données projet'!$B$12,Paramètres!$A$1:$I$89,3,0)*VLOOKUP('Données projet'!$B$12,Paramètres!$A$1:$I$89,5,0)</f>
        <v>133.6356449999999</v>
      </c>
      <c r="CA54" s="13">
        <f t="shared" si="39"/>
        <v>34.835096796276105</v>
      </c>
      <c r="CB54" s="20">
        <f t="shared" si="10"/>
        <v>293.4198752951807</v>
      </c>
      <c r="CC54" s="59">
        <f t="shared" si="11"/>
        <v>549.20375569842759</v>
      </c>
      <c r="CD54" s="59">
        <f ca="1">AVERAGE(OFFSET($CC$3,0,0,'Données projet'!$E$12+1,1))-AVERAGE(OFFSET($H$3,0,0,'Données projet'!$E$12+1,1))</f>
        <v>331.86732359395467</v>
      </c>
      <c r="CE54" s="59">
        <f t="shared" si="40"/>
        <v>208.64489375183106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65.772442215543435</v>
      </c>
      <c r="CL54" s="21">
        <f>EXP(-LN(2)/25)*CL53+(1-EXP(-LN(2)/25))/(LN(2)/25)*Calculateur!CG54*Calculateur!CI54*VLOOKUP('Données projet'!$B$12,Paramètres!$A$1:$I$89,3,0)*0.475*44/12</f>
        <v>0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65.772442215543435</v>
      </c>
      <c r="CO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7.4</v>
      </c>
      <c r="CT54" s="12">
        <f>IF('Données projet'!$A$140&gt;35,CT53+CS54-DB53,IF(A54&lt;'Données projet'!$A$140,$CQ$205^A54,IF(A54='Données projet'!$A$140,'Données projet'!$B$140,CT53+CS54-DB53)))</f>
        <v>249.40000000000003</v>
      </c>
      <c r="CU54" s="17">
        <f>CT54*VLOOKUP('Données projet'!$B$13,Paramètres!$A$1:$I$89,3,0)*VLOOKUP('Données projet'!$B$13,Paramètres!$A$1:$I$89,5,0)</f>
        <v>182.86008000000001</v>
      </c>
      <c r="CV54" s="13">
        <f t="shared" si="41"/>
        <v>45.957916284909473</v>
      </c>
      <c r="CW54" s="20">
        <f t="shared" si="13"/>
        <v>398.52467686288401</v>
      </c>
      <c r="CX54" s="59">
        <f t="shared" si="14"/>
        <v>654.30855726613083</v>
      </c>
      <c r="CY54" s="59">
        <f ca="1">AVERAGE(OFFSET($CX$3,0,0,'Données projet'!$E$13+1,1))-AVERAGE(OFFSET($H$3,0,0,'Données projet'!$E$13+1,1))</f>
        <v>352.45777291109863</v>
      </c>
      <c r="CZ54" s="59">
        <f t="shared" si="42"/>
        <v>340.92165104349181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32.616046853519599</v>
      </c>
      <c r="DG54" s="21">
        <f>EXP(-LN(2)/25)*DG53+(1-EXP(-LN(2)/25))/(LN(2)/25)*Calculateur!DB54*Calculateur!DD54*VLOOKUP('Données projet'!$B$13,Paramètres!$A$1:$I$89,3,0)*0.475*44/12</f>
        <v>0</v>
      </c>
      <c r="DH54" s="21">
        <f>EXP(-LN(2)/2)*DH53+(1-EXP(-LN(2)/2))/(LN(2)/2)*DB54*DE54*VLOOKUP('Données projet'!$B$13,Paramètres!$A$1:$I$89,3,0)*0.475*44/12</f>
        <v>0</v>
      </c>
      <c r="DI54" s="22">
        <f t="shared" si="15"/>
        <v>32.616046853519599</v>
      </c>
      <c r="DJ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12.271428571428576</v>
      </c>
      <c r="DO54" s="12">
        <f>IF('Données projet'!$A$166&gt;35,DO53+DN54-DW53,IF(A54&lt;'Données projet'!$A$166,$DL$205^A54,IF(A54='Données projet'!$A$166,'Données projet'!$B$166,DO53+DN54-DW53)))</f>
        <v>228.58428571428578</v>
      </c>
      <c r="DP54" s="17">
        <f>DO54*VLOOKUP('Données projet'!$B$14,Paramètres!$A$1:$I$89,3,0)*VLOOKUP('Données projet'!$B$14,Paramètres!$A$1:$I$89,5,0)</f>
        <v>153.33433885714291</v>
      </c>
      <c r="DQ54" s="13">
        <f t="shared" si="43"/>
        <v>39.335353799469985</v>
      </c>
      <c r="DR54" s="20">
        <f t="shared" si="16"/>
        <v>335.56638137693409</v>
      </c>
      <c r="DS54" s="59">
        <f t="shared" si="17"/>
        <v>591.35026178018097</v>
      </c>
      <c r="DT54" s="59">
        <f ca="1">AVERAGE(OFFSET($DS$3,0,0,'Données projet'!$E$14+1,1))-AVERAGE(OFFSET($H$3,0,0,'Données projet'!$E$14+1,1))</f>
        <v>441.20130048888439</v>
      </c>
      <c r="DU54" s="59">
        <f t="shared" si="44"/>
        <v>237.47732532183946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57.841152850261544</v>
      </c>
      <c r="EB54" s="21">
        <f>EXP(-LN(2)/25)*EB53+(1-EXP(-LN(2)/25))/(LN(2)/25)*Calculateur!DW54*Calculateur!DY54*VLOOKUP('Données projet'!$B$14,Paramètres!$A$1:$I$89,3,0)*0.475*44/12</f>
        <v>0</v>
      </c>
      <c r="EC54" s="21">
        <f>EXP(-LN(2)/2)*EC53+(1-EXP(-LN(2)/2))/(LN(2)/2)*DW54*DZ54*VLOOKUP('Données projet'!$B$14,Paramètres!$A$1:$I$89,3,0)*0.475*44/12</f>
        <v>0</v>
      </c>
      <c r="ED54" s="22">
        <f t="shared" si="18"/>
        <v>57.841152850261544</v>
      </c>
      <c r="EE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7.4</v>
      </c>
      <c r="EJ54" s="12">
        <f>IF('Données projet'!$A$192&gt;35,EJ53+EI54-ER53,IF(A54&lt;'Données projet'!$A$192,$EG$205^A54,IF(A54='Données projet'!$A$192,'Données projet'!$B$192,EJ53+EI54-ER53)))</f>
        <v>249.40000000000003</v>
      </c>
      <c r="EK54" s="17">
        <f>EJ54*VLOOKUP('Données projet'!$B$15,Paramètres!$A$1:$I$89,3,0)*VLOOKUP('Données projet'!$B$15,Paramètres!$A$1:$I$89,5,0)</f>
        <v>198.42264000000003</v>
      </c>
      <c r="EL54" s="13">
        <f t="shared" si="45"/>
        <v>49.397352151183256</v>
      </c>
      <c r="EM54" s="20">
        <f t="shared" si="19"/>
        <v>431.61981966331086</v>
      </c>
      <c r="EN54" s="59">
        <f t="shared" si="20"/>
        <v>687.40370006655769</v>
      </c>
      <c r="EO54" s="59">
        <f ca="1">AVERAGE(OFFSET($EN$3,0,0,'Données projet'!$E$15+1,1))-AVERAGE(OFFSET($H$3,0,0,'Données projet'!$E$15+1,1))</f>
        <v>377.27600411578322</v>
      </c>
      <c r="EP54" s="59">
        <f t="shared" si="46"/>
        <v>364.58250627635425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>
        <f>EXP(-LN(2)/35)*EV53+(1-EXP(-LN(2)/35))/(LN(2)/35)*ER54*ES54*VLOOKUP('Données projet'!$B$15,Paramètres!$A$1:$I$89,3,0)*0.475*44/12</f>
        <v>43.622550541842408</v>
      </c>
      <c r="EW54" s="21">
        <f>EXP(-LN(2)/25)*EW53+(1-EXP(-LN(2)/25))/(LN(2)/25)*Calculateur!ER54*Calculateur!ET54*VLOOKUP('Données projet'!$B$15,Paramètres!$A$1:$I$89,3,0)*0.475*44/12</f>
        <v>0</v>
      </c>
      <c r="EX54" s="21">
        <f>EXP(-LN(2)/2)*EX53+(1-EXP(-LN(2)/2))/(LN(2)/2)*ER54*EU54*VLOOKUP('Données projet'!$B$15,Paramètres!$A$1:$I$89,3,0)*0.475*44/12</f>
        <v>0</v>
      </c>
      <c r="EY54" s="22">
        <f t="shared" si="21"/>
        <v>43.622550541842408</v>
      </c>
      <c r="EZ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7.4</v>
      </c>
      <c r="FE54" s="12">
        <f>IF('Données projet'!$A$218&gt;35,FE53+FD54-FM53,IF(A54&lt;'Données projet'!$A$218,$FB$205^A54,IF(A54='Données projet'!$A$218,'Données projet'!$B$218,FE53+FD54-FM53)))</f>
        <v>249.40000000000003</v>
      </c>
      <c r="FF54" s="17">
        <f>FE54*VLOOKUP('Données projet'!$B$16,Paramètres!$A$1:$I$89,3,0)*VLOOKUP('Données projet'!$B$16,Paramètres!$A$1:$I$89,5,0)</f>
        <v>202.31328000000002</v>
      </c>
      <c r="FG54" s="13">
        <f t="shared" si="47"/>
        <v>50.25221588808207</v>
      </c>
      <c r="FH54" s="20">
        <f t="shared" si="22"/>
        <v>439.88490533840962</v>
      </c>
      <c r="FI54" s="59">
        <f t="shared" si="23"/>
        <v>695.66878574165639</v>
      </c>
      <c r="FJ54" s="59">
        <f ca="1">AVERAGE(OFFSET($FI$3,0,0,'Données projet'!$E$16+1,1))-AVERAGE(OFFSET($H$3,0,0,'Données projet'!$E$16+1,1))</f>
        <v>383.47399633251354</v>
      </c>
      <c r="FK54" s="59">
        <f t="shared" si="48"/>
        <v>370.49129421395628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>
        <f>EXP(-LN(2)/35)*FQ53+(1-EXP(-LN(2)/35))/(LN(2)/35)*FM54*FN54*VLOOKUP('Données projet'!$B$16,Paramètres!$A$1:$I$89,3,0)*0.475*44/12</f>
        <v>44.477894670113841</v>
      </c>
      <c r="FR54" s="21">
        <f>EXP(-LN(2)/25)*FR53+(1-EXP(-LN(2)/25))/(LN(2)/25)*Calculateur!FM54*Calculateur!FO54*VLOOKUP('Données projet'!$B$16,Paramètres!$A$1:$I$89,3,0)*0.475*44/12</f>
        <v>0</v>
      </c>
      <c r="FS54" s="21">
        <f>EXP(-LN(2)/2)*FS53+(1-EXP(-LN(2)/2))/(LN(2)/2)*FM54*FP54*VLOOKUP('Données projet'!$B$16,Paramètres!$A$1:$I$89,3,0)*0.475*44/12</f>
        <v>0</v>
      </c>
      <c r="FT54" s="22">
        <f t="shared" si="24"/>
        <v>44.477894670113841</v>
      </c>
      <c r="FU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12.271428571428576</v>
      </c>
      <c r="FZ54" s="12">
        <f>IF('Données projet'!$A$244&gt;35,FZ53+FY54-GH53,IF(A54&lt;'Données projet'!$A$244,$FW$205^A54,IF(A54='Données projet'!$A$244,'Données projet'!$B$244,FZ53+FY54-GH53)))</f>
        <v>228.58428571428578</v>
      </c>
      <c r="GA54" s="17">
        <f>FZ54*VLOOKUP('Données projet'!$B$17,Paramètres!$A$1:$I$89,3,0)*VLOOKUP('Données projet'!$B$17,Paramètres!$A$1:$I$89,5,0)</f>
        <v>217.52080628571437</v>
      </c>
      <c r="GB54" s="13">
        <f t="shared" si="49"/>
        <v>53.575690321455255</v>
      </c>
      <c r="GC54" s="20">
        <f t="shared" si="25"/>
        <v>472.15973159082046</v>
      </c>
      <c r="GD54" s="59">
        <f t="shared" si="26"/>
        <v>727.94361199406728</v>
      </c>
      <c r="GE54" s="59">
        <f ca="1">AVERAGE(OFFSET($GD$3,0,0,'Données projet'!$E$17+1,1))-AVERAGE(OFFSET($H$3,0,0,'Données projet'!$E$17+1,1))</f>
        <v>592.58528889137358</v>
      </c>
      <c r="GF54" s="59">
        <f t="shared" si="50"/>
        <v>311.31528020403709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>
        <f>EXP(-LN(2)/35)*GL53+(1-EXP(-LN(2)/35))/(LN(2)/35)*GH54*GI54*VLOOKUP('Données projet'!$B$17,Paramètres!$A$1:$I$89,3,0)*0.475*44/12</f>
        <v>66.571892903131214</v>
      </c>
      <c r="GM54" s="21">
        <f>EXP(-LN(2)/25)*GM53+(1-EXP(-LN(2)/25))/(LN(2)/25)*Calculateur!GH54*Calculateur!GJ54*VLOOKUP('Données projet'!$B$17,Paramètres!$A$1:$I$89,3,0)*0.475*44/12</f>
        <v>0</v>
      </c>
      <c r="GN54" s="21">
        <f>EXP(-LN(2)/2)*GN53+(1-EXP(-LN(2)/2))/(LN(2)/2)*GH54*GK54*VLOOKUP('Données projet'!$B$17,Paramètres!$A$1:$I$89,3,0)*0.475*44/12</f>
        <v>0</v>
      </c>
      <c r="GO54" s="21">
        <f t="shared" si="27"/>
        <v>66.571892903131214</v>
      </c>
      <c r="GP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10.375</v>
      </c>
      <c r="GU54" s="12">
        <f>IF('Données projet'!$A$270&gt;35,GU53+GT54-HC53,IF(A54&lt;'Données projet'!$A$270,$GR$205^A54,IF(A54='Données projet'!$A$270,'Données projet'!$B$270,GU53+GT54-HC53)))</f>
        <v>259.62499999999989</v>
      </c>
      <c r="GV54" s="17">
        <f>GU54*VLOOKUP('Données projet'!$B$18,Paramètres!$A$1:$I$89,3,0)*VLOOKUP('Données projet'!$B$18,Paramètres!$A$1:$I$89,5,0)</f>
        <v>202.50749999999991</v>
      </c>
      <c r="GW54" s="13">
        <f t="shared" si="51"/>
        <v>50.294840086606349</v>
      </c>
      <c r="GX54" s="20">
        <f t="shared" si="28"/>
        <v>440.29740898417253</v>
      </c>
      <c r="GY54" s="59">
        <f t="shared" si="29"/>
        <v>696.08128938741936</v>
      </c>
      <c r="GZ54" s="59">
        <f ca="1">AVERAGE(OFFSET($GY$3,0,0,'Données projet'!$E$18+1,1))-AVERAGE(OFFSET($H$3,0,0,'Données projet'!$E$18+1,1))</f>
        <v>308.85018589589453</v>
      </c>
      <c r="HA54" s="59">
        <f t="shared" si="52"/>
        <v>302.59481222418219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>
        <f>EXP(-LN(2)/35)*HG53+(1-EXP(-LN(2)/35))/(LN(2)/35)*HC54*HD54*VLOOKUP('Données projet'!$B$18,Paramètres!$A$1:$I$89,3,0)*0.475*44/12</f>
        <v>32.977736853960991</v>
      </c>
      <c r="HH54" s="21">
        <f>EXP(-LN(2)/25)*HH53+(1-EXP(-LN(2)/25))/(LN(2)/25)*Calculateur!HC54*Calculateur!HE54*VLOOKUP('Données projet'!$B$18,Paramètres!$A$1:$I$89,3,0)*0.475*44/12</f>
        <v>0</v>
      </c>
      <c r="HI54" s="21">
        <f>EXP(-LN(2)/2)*HI53+(1-EXP(-LN(2)/2))/(LN(2)/2)*HC54*HF54*VLOOKUP('Données projet'!$B$18,Paramètres!$A$1:$I$89,3,0)*0.475*44/12</f>
        <v>0</v>
      </c>
      <c r="HJ54" s="22">
        <f t="shared" si="30"/>
        <v>32.977736853960991</v>
      </c>
    </row>
    <row r="55" spans="1:218" x14ac:dyDescent="0.35">
      <c r="A55" s="10">
        <f t="shared" si="31"/>
        <v>52</v>
      </c>
      <c r="B55" s="72">
        <f>'Scénario référence'!$B$16*5+'Scénario référence'!$B$17*0+'Scénario référence'!$B$18*5</f>
        <v>5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66">
        <f t="shared" si="1"/>
        <v>183.33333333333334</v>
      </c>
      <c r="I55" s="6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12.271428571428576</v>
      </c>
      <c r="N55" s="13">
        <f>IF('Données projet'!$A$36&gt;35,N54+M55-V54,IF(A55&lt;'Données projet'!$A$36,$K$205^A55,IF(A55='Données projet'!$A$36,'Données projet'!$B$36,N54+M55-V54)))</f>
        <v>240.85571428571436</v>
      </c>
      <c r="O55" s="13">
        <f>N55*VLOOKUP('Données projet'!$B$9,Paramètres!$A$1:$I$89,3,0)*VLOOKUP('Données projet'!$B$9,Paramètres!$A$1:$I$89,5,0)</f>
        <v>217.92625028571436</v>
      </c>
      <c r="P55" s="13">
        <f t="shared" si="33"/>
        <v>53.663918329427027</v>
      </c>
      <c r="Q55" s="20">
        <f t="shared" si="53"/>
        <v>473.01954367137131</v>
      </c>
      <c r="R55" s="59">
        <f t="shared" si="0"/>
        <v>729.45482313495472</v>
      </c>
      <c r="S55" s="59">
        <f ca="1">AVERAGE(OFFSET($R$3,0,0,'Données projet'!$E$9+1,1))-AVERAGE(OFFSET($H$3,0,0,'Données projet'!$E$9+1,1))</f>
        <v>567.42635821507474</v>
      </c>
      <c r="T55" s="59">
        <f t="shared" si="34"/>
        <v>299.04735309930152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62.056632851024133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0</v>
      </c>
      <c r="AC55" s="22">
        <f t="shared" si="3"/>
        <v>62.056632851024133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12.271428571428576</v>
      </c>
      <c r="AI55" s="13">
        <f>IF('Données projet'!$A$62&gt;35,AI54+AH55-AQ54,IF(A55&lt;'Données projet'!$A$62,$AF$205^A55,IF(A55='Données projet'!$A$62,'Données projet'!$B$62,AI54+AH55-AQ54)))</f>
        <v>240.85571428571436</v>
      </c>
      <c r="AJ55" s="13">
        <f>AI55*VLOOKUP('Données projet'!$B$10,Paramètres!$A$1:$I$89,3,0)*VLOOKUP('Données projet'!$B$10,Paramètres!$A$1:$I$89,5,0)</f>
        <v>244.22769428571436</v>
      </c>
      <c r="AK55" s="13">
        <f t="shared" si="35"/>
        <v>59.348213013679157</v>
      </c>
      <c r="AL55" s="20">
        <f t="shared" si="4"/>
        <v>528.72803854644371</v>
      </c>
      <c r="AM55" s="59">
        <f t="shared" si="5"/>
        <v>785.16331801002707</v>
      </c>
      <c r="AN55" s="59">
        <f ca="1">AVERAGE(OFFSET($AM$3,0,0,'Données projet'!$E$10+1,1))-AVERAGE(OFFSET($H$3,0,0,'Données projet'!$E$10+1,1))</f>
        <v>626.09203985591455</v>
      </c>
      <c r="AO55" s="59">
        <f t="shared" si="36"/>
        <v>327.65191296575199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69.546226470975341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69.546226470975341</v>
      </c>
      <c r="AY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11</v>
      </c>
      <c r="BD55" s="12">
        <f>IF('Données projet'!$A$88&gt;35,BD54+BC55-BL54,IF(A55&lt;'Données projet'!$A$88,$BA$205^A55,IF(A55='Données projet'!$A$88,'Données projet'!$B$88,BD54+BC55-BL54)))</f>
        <v>211.00000000000003</v>
      </c>
      <c r="BE55" s="13">
        <f>BD55*VLOOKUP('Données projet'!$B$11,Paramètres!$A$1:$I$89,3,0)*VLOOKUP('Données projet'!$B$11,Paramètres!$A$1:$I$89,5,0)</f>
        <v>181.03800000000004</v>
      </c>
      <c r="BF55" s="13">
        <f t="shared" si="37"/>
        <v>45.553044701671382</v>
      </c>
      <c r="BG55" s="20">
        <f t="shared" si="7"/>
        <v>394.64606952207765</v>
      </c>
      <c r="BH55" s="59">
        <f t="shared" si="8"/>
        <v>651.08134898566095</v>
      </c>
      <c r="BI55" s="59">
        <f ca="1">AVERAGE(OFFSET($BH$3,0,0,'Données projet'!$E$11+1,1))-AVERAGE(OFFSET($H$3,0,0,'Données projet'!$E$11+1,1))</f>
        <v>481.23392184981651</v>
      </c>
      <c r="BJ55" s="59">
        <f t="shared" si="38"/>
        <v>275.88160405468193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46.932956856974641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46.932956856974641</v>
      </c>
      <c r="BT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16.366250000000001</v>
      </c>
      <c r="BY55" s="12">
        <f>IF('Données projet'!$A$114&gt;35,BY54+BX55-CG54,IF(A55&lt;'Données projet'!$A$114,$BV$205^A55,IF(A55='Données projet'!$A$114,'Données projet'!$B$114,BY54+BX55-CG54)))</f>
        <v>301.91249999999974</v>
      </c>
      <c r="BZ55" s="13">
        <f>BY55*VLOOKUP('Données projet'!$B$12,Paramètres!$A$1:$I$89,3,0)*VLOOKUP('Données projet'!$B$12,Paramètres!$A$1:$I$89,5,0)</f>
        <v>141.29504999999989</v>
      </c>
      <c r="CA55" s="13">
        <f t="shared" si="39"/>
        <v>36.593524088822633</v>
      </c>
      <c r="CB55" s="20">
        <f t="shared" si="10"/>
        <v>309.82259987136587</v>
      </c>
      <c r="CC55" s="59">
        <f t="shared" si="11"/>
        <v>566.25787933494917</v>
      </c>
      <c r="CD55" s="59">
        <f ca="1">AVERAGE(OFFSET($CC$3,0,0,'Données projet'!$E$12+1,1))-AVERAGE(OFFSET($H$3,0,0,'Données projet'!$E$12+1,1))</f>
        <v>331.86732359395467</v>
      </c>
      <c r="CE55" s="59">
        <f t="shared" si="40"/>
        <v>208.64489375183106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64.482684740925137</v>
      </c>
      <c r="CL55" s="21">
        <f>EXP(-LN(2)/25)*CL54+(1-EXP(-LN(2)/25))/(LN(2)/25)*Calculateur!CG55*Calculateur!CI55*VLOOKUP('Données projet'!$B$12,Paramètres!$A$1:$I$89,3,0)*0.475*44/12</f>
        <v>0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64.482684740925137</v>
      </c>
      <c r="CO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7.4</v>
      </c>
      <c r="CT55" s="12">
        <f>IF('Données projet'!$A$140&gt;35,CT54+CS55-DB54,IF(A55&lt;'Données projet'!$A$140,$CQ$205^A55,IF(A55='Données projet'!$A$140,'Données projet'!$B$140,CT54+CS55-DB54)))</f>
        <v>256.8</v>
      </c>
      <c r="CU55" s="17">
        <f>CT55*VLOOKUP('Données projet'!$B$13,Paramètres!$A$1:$I$89,3,0)*VLOOKUP('Données projet'!$B$13,Paramètres!$A$1:$I$89,5,0)</f>
        <v>188.28576000000001</v>
      </c>
      <c r="CV55" s="13">
        <f t="shared" si="41"/>
        <v>47.160759045639651</v>
      </c>
      <c r="CW55" s="20">
        <f t="shared" si="13"/>
        <v>410.06935400448907</v>
      </c>
      <c r="CX55" s="59">
        <f t="shared" si="14"/>
        <v>666.50463346807237</v>
      </c>
      <c r="CY55" s="59">
        <f ca="1">AVERAGE(OFFSET($CX$3,0,0,'Données projet'!$E$13+1,1))-AVERAGE(OFFSET($H$3,0,0,'Données projet'!$E$13+1,1))</f>
        <v>352.45777291109863</v>
      </c>
      <c r="CZ55" s="59">
        <f t="shared" si="42"/>
        <v>340.92165104349181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31.976466068546308</v>
      </c>
      <c r="DG55" s="21">
        <f>EXP(-LN(2)/25)*DG54+(1-EXP(-LN(2)/25))/(LN(2)/25)*Calculateur!DB55*Calculateur!DD55*VLOOKUP('Données projet'!$B$13,Paramètres!$A$1:$I$89,3,0)*0.475*44/12</f>
        <v>0</v>
      </c>
      <c r="DH55" s="21">
        <f>EXP(-LN(2)/2)*DH54+(1-EXP(-LN(2)/2))/(LN(2)/2)*DB55*DE55*VLOOKUP('Données projet'!$B$13,Paramètres!$A$1:$I$89,3,0)*0.475*44/12</f>
        <v>0</v>
      </c>
      <c r="DI55" s="22">
        <f t="shared" si="15"/>
        <v>31.976466068546308</v>
      </c>
      <c r="DJ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12.271428571428576</v>
      </c>
      <c r="DO55" s="12">
        <f>IF('Données projet'!$A$166&gt;35,DO54+DN55-DW54,IF(A55&lt;'Données projet'!$A$166,$DL$205^A55,IF(A55='Données projet'!$A$166,'Données projet'!$B$166,DO54+DN55-DW54)))</f>
        <v>240.85571428571436</v>
      </c>
      <c r="DP55" s="17">
        <f>DO55*VLOOKUP('Données projet'!$B$14,Paramètres!$A$1:$I$89,3,0)*VLOOKUP('Données projet'!$B$14,Paramètres!$A$1:$I$89,5,0)</f>
        <v>161.56601314285717</v>
      </c>
      <c r="DQ55" s="13">
        <f t="shared" si="43"/>
        <v>41.195533564908452</v>
      </c>
      <c r="DR55" s="20">
        <f t="shared" si="16"/>
        <v>353.14302718269181</v>
      </c>
      <c r="DS55" s="59">
        <f t="shared" si="17"/>
        <v>609.57830664627522</v>
      </c>
      <c r="DT55" s="59">
        <f ca="1">AVERAGE(OFFSET($DS$3,0,0,'Données projet'!$E$14+1,1))-AVERAGE(OFFSET($H$3,0,0,'Données projet'!$E$14+1,1))</f>
        <v>441.20130048888439</v>
      </c>
      <c r="DU55" s="59">
        <f t="shared" si="44"/>
        <v>237.47732532183946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56.706923122487581</v>
      </c>
      <c r="EB55" s="21">
        <f>EXP(-LN(2)/25)*EB54+(1-EXP(-LN(2)/25))/(LN(2)/25)*Calculateur!DW55*Calculateur!DY55*VLOOKUP('Données projet'!$B$14,Paramètres!$A$1:$I$89,3,0)*0.475*44/12</f>
        <v>0</v>
      </c>
      <c r="EC55" s="21">
        <f>EXP(-LN(2)/2)*EC54+(1-EXP(-LN(2)/2))/(LN(2)/2)*DW55*DZ55*VLOOKUP('Données projet'!$B$14,Paramètres!$A$1:$I$89,3,0)*0.475*44/12</f>
        <v>0</v>
      </c>
      <c r="ED55" s="22">
        <f t="shared" si="18"/>
        <v>56.706923122487581</v>
      </c>
      <c r="EE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7.4</v>
      </c>
      <c r="EJ55" s="12">
        <f>IF('Données projet'!$A$192&gt;35,EJ54+EI55-ER54,IF(A55&lt;'Données projet'!$A$192,$EG$205^A55,IF(A55='Données projet'!$A$192,'Données projet'!$B$192,EJ54+EI55-ER54)))</f>
        <v>256.8</v>
      </c>
      <c r="EK55" s="17">
        <f>EJ55*VLOOKUP('Données projet'!$B$15,Paramètres!$A$1:$I$89,3,0)*VLOOKUP('Données projet'!$B$15,Paramètres!$A$1:$I$89,5,0)</f>
        <v>204.31008000000003</v>
      </c>
      <c r="EL55" s="13">
        <f t="shared" si="45"/>
        <v>50.690214235398379</v>
      </c>
      <c r="EM55" s="20">
        <f t="shared" si="19"/>
        <v>444.12551245998549</v>
      </c>
      <c r="EN55" s="59">
        <f t="shared" si="20"/>
        <v>700.56079192356879</v>
      </c>
      <c r="EO55" s="59">
        <f ca="1">AVERAGE(OFFSET($EN$3,0,0,'Données projet'!$E$15+1,1))-AVERAGE(OFFSET($H$3,0,0,'Données projet'!$E$15+1,1))</f>
        <v>377.27600411578322</v>
      </c>
      <c r="EP55" s="59">
        <f t="shared" si="46"/>
        <v>364.58250627635425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>
        <f>EXP(-LN(2)/35)*EV54+(1-EXP(-LN(2)/35))/(LN(2)/35)*ER55*ES55*VLOOKUP('Données projet'!$B$15,Paramètres!$A$1:$I$89,3,0)*0.475*44/12</f>
        <v>42.767138932845469</v>
      </c>
      <c r="EW55" s="21">
        <f>EXP(-LN(2)/25)*EW54+(1-EXP(-LN(2)/25))/(LN(2)/25)*Calculateur!ER55*Calculateur!ET55*VLOOKUP('Données projet'!$B$15,Paramètres!$A$1:$I$89,3,0)*0.475*44/12</f>
        <v>0</v>
      </c>
      <c r="EX55" s="21">
        <f>EXP(-LN(2)/2)*EX54+(1-EXP(-LN(2)/2))/(LN(2)/2)*ER55*EU55*VLOOKUP('Données projet'!$B$15,Paramètres!$A$1:$I$89,3,0)*0.475*44/12</f>
        <v>0</v>
      </c>
      <c r="EY55" s="22">
        <f t="shared" si="21"/>
        <v>42.767138932845469</v>
      </c>
      <c r="EZ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7.4</v>
      </c>
      <c r="FE55" s="12">
        <f>IF('Données projet'!$A$218&gt;35,FE54+FD55-FM54,IF(A55&lt;'Données projet'!$A$218,$FB$205^A55,IF(A55='Données projet'!$A$218,'Données projet'!$B$218,FE54+FD55-FM54)))</f>
        <v>256.8</v>
      </c>
      <c r="FF55" s="17">
        <f>FE55*VLOOKUP('Données projet'!$B$16,Paramètres!$A$1:$I$89,3,0)*VLOOKUP('Données projet'!$B$16,Paramètres!$A$1:$I$89,5,0)</f>
        <v>208.31616</v>
      </c>
      <c r="FG55" s="13">
        <f t="shared" si="47"/>
        <v>51.567452064520282</v>
      </c>
      <c r="FH55" s="20">
        <f t="shared" si="22"/>
        <v>452.63062434570611</v>
      </c>
      <c r="FI55" s="59">
        <f t="shared" si="23"/>
        <v>709.06590380928947</v>
      </c>
      <c r="FJ55" s="59">
        <f ca="1">AVERAGE(OFFSET($FI$3,0,0,'Données projet'!$E$16+1,1))-AVERAGE(OFFSET($H$3,0,0,'Données projet'!$E$16+1,1))</f>
        <v>383.47399633251354</v>
      </c>
      <c r="FK55" s="59">
        <f t="shared" si="48"/>
        <v>370.49129421395628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>
        <f>EXP(-LN(2)/35)*FQ54+(1-EXP(-LN(2)/35))/(LN(2)/35)*FM55*FN55*VLOOKUP('Données projet'!$B$16,Paramètres!$A$1:$I$89,3,0)*0.475*44/12</f>
        <v>43.605710284469907</v>
      </c>
      <c r="FR55" s="21">
        <f>EXP(-LN(2)/25)*FR54+(1-EXP(-LN(2)/25))/(LN(2)/25)*Calculateur!FM55*Calculateur!FO55*VLOOKUP('Données projet'!$B$16,Paramètres!$A$1:$I$89,3,0)*0.475*44/12</f>
        <v>0</v>
      </c>
      <c r="FS55" s="21">
        <f>EXP(-LN(2)/2)*FS54+(1-EXP(-LN(2)/2))/(LN(2)/2)*FM55*FP55*VLOOKUP('Données projet'!$B$16,Paramètres!$A$1:$I$89,3,0)*0.475*44/12</f>
        <v>0</v>
      </c>
      <c r="FT55" s="22">
        <f t="shared" si="24"/>
        <v>43.605710284469907</v>
      </c>
      <c r="FU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12.271428571428576</v>
      </c>
      <c r="FZ55" s="12">
        <f>IF('Données projet'!$A$244&gt;35,FZ54+FY55-GH54,IF(A55&lt;'Données projet'!$A$244,$FW$205^A55,IF(A55='Données projet'!$A$244,'Données projet'!$B$244,FZ54+FY55-GH54)))</f>
        <v>240.85571428571436</v>
      </c>
      <c r="GA55" s="17">
        <f>FZ55*VLOOKUP('Données projet'!$B$17,Paramètres!$A$1:$I$89,3,0)*VLOOKUP('Données projet'!$B$17,Paramètres!$A$1:$I$89,5,0)</f>
        <v>229.19829771428581</v>
      </c>
      <c r="GB55" s="13">
        <f t="shared" si="49"/>
        <v>56.1092995413808</v>
      </c>
      <c r="GC55" s="20">
        <f t="shared" si="25"/>
        <v>496.91073188695265</v>
      </c>
      <c r="GD55" s="59">
        <f t="shared" si="26"/>
        <v>753.34601135053595</v>
      </c>
      <c r="GE55" s="59">
        <f ca="1">AVERAGE(OFFSET($GD$3,0,0,'Données projet'!$E$17+1,1))-AVERAGE(OFFSET($H$3,0,0,'Données projet'!$E$17+1,1))</f>
        <v>592.58528889137358</v>
      </c>
      <c r="GF55" s="59">
        <f t="shared" si="50"/>
        <v>311.31528020403709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>
        <f>EXP(-LN(2)/35)*GL54+(1-EXP(-LN(2)/35))/(LN(2)/35)*GH55*GI55*VLOOKUP('Données projet'!$B$17,Paramètres!$A$1:$I$89,3,0)*0.475*44/12</f>
        <v>65.266458688146088</v>
      </c>
      <c r="GM55" s="21">
        <f>EXP(-LN(2)/25)*GM54+(1-EXP(-LN(2)/25))/(LN(2)/25)*Calculateur!GH55*Calculateur!GJ55*VLOOKUP('Données projet'!$B$17,Paramètres!$A$1:$I$89,3,0)*0.475*44/12</f>
        <v>0</v>
      </c>
      <c r="GN55" s="21">
        <f>EXP(-LN(2)/2)*GN54+(1-EXP(-LN(2)/2))/(LN(2)/2)*GH55*GK55*VLOOKUP('Données projet'!$B$17,Paramètres!$A$1:$I$89,3,0)*0.475*44/12</f>
        <v>0</v>
      </c>
      <c r="GO55" s="21">
        <f t="shared" si="27"/>
        <v>65.266458688146088</v>
      </c>
      <c r="GP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>
        <f>VLOOKUP(A55,'Données projet'!$A$269:$I$289,2,0)</f>
        <v>270</v>
      </c>
      <c r="GS55" s="12">
        <f>VLOOKUP(A55,'Données projet'!$A$269:$I$289,9,0)</f>
        <v>10.375</v>
      </c>
      <c r="GT55" s="12">
        <f t="array" ref="GT55">INDEX(GS:GS,MIN(IF(ISNUMBER(GS55:GS251),ROW(GS55:GS251),"")))</f>
        <v>10.375</v>
      </c>
      <c r="GU55" s="12">
        <f>IF('Données projet'!$A$270&gt;35,GU54+GT55-HC54,IF(A55&lt;'Données projet'!$A$270,$GR$205^A55,IF(A55='Données projet'!$A$270,'Données projet'!$B$270,GU54+GT55-HC54)))</f>
        <v>269.99999999999989</v>
      </c>
      <c r="GV55" s="17">
        <f>GU55*VLOOKUP('Données projet'!$B$18,Paramètres!$A$1:$I$89,3,0)*VLOOKUP('Données projet'!$B$18,Paramètres!$A$1:$I$89,5,0)</f>
        <v>210.59999999999991</v>
      </c>
      <c r="GW55" s="13">
        <f t="shared" si="51"/>
        <v>52.066679014659961</v>
      </c>
      <c r="GX55" s="20">
        <f t="shared" si="28"/>
        <v>457.47779928386586</v>
      </c>
      <c r="GY55" s="59">
        <f t="shared" si="29"/>
        <v>713.91307874744916</v>
      </c>
      <c r="GZ55" s="59">
        <f ca="1">AVERAGE(OFFSET($GY$3,0,0,'Données projet'!$E$18+1,1))-AVERAGE(OFFSET($H$3,0,0,'Données projet'!$E$18+1,1))</f>
        <v>308.85018589589453</v>
      </c>
      <c r="HA55" s="59">
        <f t="shared" si="52"/>
        <v>302.59481222418219</v>
      </c>
      <c r="HB55" s="15">
        <f>IF(ISNA(VLOOKUP(A55,'Données projet'!$A$269:$I$289,3,0)),0,VLOOKUP(A55,'Données projet'!$A$269:$I$289,3,0))</f>
        <v>7</v>
      </c>
      <c r="HC55" s="15">
        <f>IF(ISNA(VLOOKUP(A55,'Données projet'!$A$269:$I$289,4,0)),0,VLOOKUP(A55,'Données projet'!$A$269:$I$289,4,0))</f>
        <v>48</v>
      </c>
      <c r="HD55" s="16">
        <f>IF(ISNA(VLOOKUP(A55,'Données projet'!$A$269:$I$289,5,0)),0%,VLOOKUP(A55,'Données projet'!$A$269:$I$289,5,0)*VLOOKUP('Données projet'!$B$18,Paramètres!$A$1:$I$89,7,0))</f>
        <v>0.43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>
        <f>EXP(-LN(2)/35)*HG54+(1-EXP(-LN(2)/35))/(LN(2)/35)*HC55*HD55*VLOOKUP('Données projet'!$B$18,Paramètres!$A$1:$I$89,3,0)*0.475*44/12</f>
        <v>50.128252282865034</v>
      </c>
      <c r="HH55" s="21">
        <f>EXP(-LN(2)/25)*HH54+(1-EXP(-LN(2)/25))/(LN(2)/25)*Calculateur!HC55*Calculateur!HE55*VLOOKUP('Données projet'!$B$18,Paramètres!$A$1:$I$89,3,0)*0.475*44/12</f>
        <v>0</v>
      </c>
      <c r="HI55" s="21">
        <f>EXP(-LN(2)/2)*HI54+(1-EXP(-LN(2)/2))/(LN(2)/2)*HC55*HF55*VLOOKUP('Données projet'!$B$18,Paramètres!$A$1:$I$89,3,0)*0.475*44/12</f>
        <v>0</v>
      </c>
      <c r="HJ55" s="22">
        <f t="shared" si="30"/>
        <v>50.128252282865034</v>
      </c>
    </row>
    <row r="56" spans="1:218" x14ac:dyDescent="0.35">
      <c r="A56" s="10">
        <f t="shared" si="31"/>
        <v>53</v>
      </c>
      <c r="B56" s="72">
        <f>'Scénario référence'!$B$16*5+'Scénario référence'!$B$17*0+'Scénario référence'!$B$18*5</f>
        <v>5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66">
        <f t="shared" si="1"/>
        <v>183.33333333333334</v>
      </c>
      <c r="I56" s="6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12.271428571428576</v>
      </c>
      <c r="N56" s="13">
        <f>IF('Données projet'!$A$36&gt;35,N55+M56-V55,IF(A56&lt;'Données projet'!$A$36,$K$205^A56,IF(A56='Données projet'!$A$36,'Données projet'!$B$36,N55+M56-V55)))</f>
        <v>253.12714285714293</v>
      </c>
      <c r="O56" s="13">
        <f>N56*VLOOKUP('Données projet'!$B$9,Paramètres!$A$1:$I$89,3,0)*VLOOKUP('Données projet'!$B$9,Paramètres!$A$1:$I$89,5,0)</f>
        <v>229.02943885714294</v>
      </c>
      <c r="P56" s="13">
        <f t="shared" si="33"/>
        <v>56.072771899312158</v>
      </c>
      <c r="Q56" s="20">
        <f t="shared" si="53"/>
        <v>496.55301706749259</v>
      </c>
      <c r="R56" s="59">
        <f t="shared" si="0"/>
        <v>753.62839527402582</v>
      </c>
      <c r="S56" s="59">
        <f ca="1">AVERAGE(OFFSET($R$3,0,0,'Données projet'!$E$9+1,1))-AVERAGE(OFFSET($H$3,0,0,'Données projet'!$E$9+1,1))</f>
        <v>567.42635821507474</v>
      </c>
      <c r="T56" s="59">
        <f t="shared" si="34"/>
        <v>299.04735309930152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60.839740131624133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0</v>
      </c>
      <c r="AC56" s="22">
        <f t="shared" si="3"/>
        <v>60.839740131624133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12.271428571428576</v>
      </c>
      <c r="AI56" s="13">
        <f>IF('Données projet'!$A$62&gt;35,AI55+AH56-AQ55,IF(A56&lt;'Données projet'!$A$62,$AF$205^A56,IF(A56='Données projet'!$A$62,'Données projet'!$B$62,AI55+AH56-AQ55)))</f>
        <v>253.12714285714293</v>
      </c>
      <c r="AJ56" s="13">
        <f>AI56*VLOOKUP('Données projet'!$B$10,Paramètres!$A$1:$I$89,3,0)*VLOOKUP('Données projet'!$B$10,Paramètres!$A$1:$I$89,5,0)</f>
        <v>256.67092285714295</v>
      </c>
      <c r="AK56" s="13">
        <f t="shared" si="35"/>
        <v>62.012221890308474</v>
      </c>
      <c r="AL56" s="20">
        <f t="shared" si="4"/>
        <v>555.03981043514455</v>
      </c>
      <c r="AM56" s="59">
        <f t="shared" si="5"/>
        <v>812.11518864167783</v>
      </c>
      <c r="AN56" s="59">
        <f ca="1">AVERAGE(OFFSET($AM$3,0,0,'Données projet'!$E$10+1,1))-AVERAGE(OFFSET($H$3,0,0,'Données projet'!$E$10+1,1))</f>
        <v>626.09203985591455</v>
      </c>
      <c r="AO56" s="59">
        <f t="shared" si="36"/>
        <v>327.65191296575199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68.182467388889137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68.182467388889137</v>
      </c>
      <c r="AY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11</v>
      </c>
      <c r="BD56" s="12">
        <f>IF('Données projet'!$A$88&gt;35,BD55+BC56-BL55,IF(A56&lt;'Données projet'!$A$88,$BA$205^A56,IF(A56='Données projet'!$A$88,'Données projet'!$B$88,BD55+BC56-BL55)))</f>
        <v>222.00000000000003</v>
      </c>
      <c r="BE56" s="13">
        <f>BD56*VLOOKUP('Données projet'!$B$11,Paramètres!$A$1:$I$89,3,0)*VLOOKUP('Données projet'!$B$11,Paramètres!$A$1:$I$89,5,0)</f>
        <v>190.47600000000006</v>
      </c>
      <c r="BF56" s="13">
        <f t="shared" si="37"/>
        <v>47.645174362968355</v>
      </c>
      <c r="BG56" s="20">
        <f t="shared" si="7"/>
        <v>414.7277120155033</v>
      </c>
      <c r="BH56" s="59">
        <f t="shared" si="8"/>
        <v>671.80309022203653</v>
      </c>
      <c r="BI56" s="59">
        <f ca="1">AVERAGE(OFFSET($BH$3,0,0,'Données projet'!$E$11+1,1))-AVERAGE(OFFSET($H$3,0,0,'Données projet'!$E$11+1,1))</f>
        <v>481.23392184981651</v>
      </c>
      <c r="BJ56" s="59">
        <f t="shared" si="38"/>
        <v>275.88160405468193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46.012630199286441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46.012630199286441</v>
      </c>
      <c r="BT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16.366250000000001</v>
      </c>
      <c r="BY56" s="12">
        <f>IF('Données projet'!$A$114&gt;35,BY55+BX56-CG55,IF(A56&lt;'Données projet'!$A$114,$BV$205^A56,IF(A56='Données projet'!$A$114,'Données projet'!$B$114,BY55+BX56-CG55)))</f>
        <v>318.27874999999972</v>
      </c>
      <c r="BZ56" s="13">
        <f>BY56*VLOOKUP('Données projet'!$B$12,Paramètres!$A$1:$I$89,3,0)*VLOOKUP('Données projet'!$B$12,Paramètres!$A$1:$I$89,5,0)</f>
        <v>148.95445499999988</v>
      </c>
      <c r="CA56" s="13">
        <f t="shared" si="39"/>
        <v>38.340885127757794</v>
      </c>
      <c r="CB56" s="20">
        <f t="shared" si="10"/>
        <v>326.20605072251124</v>
      </c>
      <c r="CC56" s="59">
        <f t="shared" si="11"/>
        <v>583.28142892904452</v>
      </c>
      <c r="CD56" s="59">
        <f ca="1">AVERAGE(OFFSET($CC$3,0,0,'Données projet'!$E$12+1,1))-AVERAGE(OFFSET($H$3,0,0,'Données projet'!$E$12+1,1))</f>
        <v>331.86732359395467</v>
      </c>
      <c r="CE56" s="59">
        <f t="shared" si="40"/>
        <v>208.64489375183106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63.218218623709717</v>
      </c>
      <c r="CL56" s="21">
        <f>EXP(-LN(2)/25)*CL55+(1-EXP(-LN(2)/25))/(LN(2)/25)*Calculateur!CG56*Calculateur!CI56*VLOOKUP('Données projet'!$B$12,Paramètres!$A$1:$I$89,3,0)*0.475*44/12</f>
        <v>0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63.218218623709717</v>
      </c>
      <c r="CO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7.4</v>
      </c>
      <c r="CT56" s="12">
        <f>IF('Données projet'!$A$140&gt;35,CT55+CS56-DB55,IF(A56&lt;'Données projet'!$A$140,$CQ$205^A56,IF(A56='Données projet'!$A$140,'Données projet'!$B$140,CT55+CS56-DB55)))</f>
        <v>264.2</v>
      </c>
      <c r="CU56" s="17">
        <f>CT56*VLOOKUP('Données projet'!$B$13,Paramètres!$A$1:$I$89,3,0)*VLOOKUP('Données projet'!$B$13,Paramètres!$A$1:$I$89,5,0)</f>
        <v>193.71143999999998</v>
      </c>
      <c r="CV56" s="13">
        <f t="shared" si="41"/>
        <v>48.359573394195209</v>
      </c>
      <c r="CW56" s="20">
        <f t="shared" si="13"/>
        <v>421.60701499488988</v>
      </c>
      <c r="CX56" s="59">
        <f t="shared" si="14"/>
        <v>678.68239320142311</v>
      </c>
      <c r="CY56" s="59">
        <f ca="1">AVERAGE(OFFSET($CX$3,0,0,'Données projet'!$E$13+1,1))-AVERAGE(OFFSET($H$3,0,0,'Données projet'!$E$13+1,1))</f>
        <v>352.45777291109863</v>
      </c>
      <c r="CZ56" s="59">
        <f t="shared" si="42"/>
        <v>340.92165104349181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31.349427072660585</v>
      </c>
      <c r="DG56" s="21">
        <f>EXP(-LN(2)/25)*DG55+(1-EXP(-LN(2)/25))/(LN(2)/25)*Calculateur!DB56*Calculateur!DD56*VLOOKUP('Données projet'!$B$13,Paramètres!$A$1:$I$89,3,0)*0.475*44/12</f>
        <v>0</v>
      </c>
      <c r="DH56" s="21">
        <f>EXP(-LN(2)/2)*DH55+(1-EXP(-LN(2)/2))/(LN(2)/2)*DB56*DE56*VLOOKUP('Données projet'!$B$13,Paramètres!$A$1:$I$89,3,0)*0.475*44/12</f>
        <v>0</v>
      </c>
      <c r="DI56" s="22">
        <f t="shared" si="15"/>
        <v>31.349427072660585</v>
      </c>
      <c r="DJ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12.271428571428576</v>
      </c>
      <c r="DO56" s="12">
        <f>IF('Données projet'!$A$166&gt;35,DO55+DN56-DW55,IF(A56&lt;'Données projet'!$A$166,$DL$205^A56,IF(A56='Données projet'!$A$166,'Données projet'!$B$166,DO55+DN56-DW55)))</f>
        <v>253.12714285714293</v>
      </c>
      <c r="DP56" s="17">
        <f>DO56*VLOOKUP('Données projet'!$B$14,Paramètres!$A$1:$I$89,3,0)*VLOOKUP('Données projet'!$B$14,Paramètres!$A$1:$I$89,5,0)</f>
        <v>169.79768742857149</v>
      </c>
      <c r="DQ56" s="13">
        <f t="shared" si="43"/>
        <v>43.044709159615941</v>
      </c>
      <c r="DR56" s="20">
        <f t="shared" si="16"/>
        <v>370.70050739109303</v>
      </c>
      <c r="DS56" s="59">
        <f t="shared" si="17"/>
        <v>627.77588559762626</v>
      </c>
      <c r="DT56" s="59">
        <f ca="1">AVERAGE(OFFSET($DS$3,0,0,'Données projet'!$E$14+1,1))-AVERAGE(OFFSET($H$3,0,0,'Données projet'!$E$14+1,1))</f>
        <v>441.20130048888439</v>
      </c>
      <c r="DU56" s="59">
        <f t="shared" si="44"/>
        <v>237.47732532183946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55.594934947863443</v>
      </c>
      <c r="EB56" s="21">
        <f>EXP(-LN(2)/25)*EB55+(1-EXP(-LN(2)/25))/(LN(2)/25)*Calculateur!DW56*Calculateur!DY56*VLOOKUP('Données projet'!$B$14,Paramètres!$A$1:$I$89,3,0)*0.475*44/12</f>
        <v>0</v>
      </c>
      <c r="EC56" s="21">
        <f>EXP(-LN(2)/2)*EC55+(1-EXP(-LN(2)/2))/(LN(2)/2)*DW56*DZ56*VLOOKUP('Données projet'!$B$14,Paramètres!$A$1:$I$89,3,0)*0.475*44/12</f>
        <v>0</v>
      </c>
      <c r="ED56" s="22">
        <f t="shared" si="18"/>
        <v>55.594934947863443</v>
      </c>
      <c r="EE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7.4</v>
      </c>
      <c r="EJ56" s="12">
        <f>IF('Données projet'!$A$192&gt;35,EJ55+EI56-ER55,IF(A56&lt;'Données projet'!$A$192,$EG$205^A56,IF(A56='Données projet'!$A$192,'Données projet'!$B$192,EJ55+EI56-ER55)))</f>
        <v>264.2</v>
      </c>
      <c r="EK56" s="17">
        <f>EJ56*VLOOKUP('Données projet'!$B$15,Paramètres!$A$1:$I$89,3,0)*VLOOKUP('Données projet'!$B$15,Paramètres!$A$1:$I$89,5,0)</f>
        <v>210.19752</v>
      </c>
      <c r="EL56" s="13">
        <f t="shared" si="45"/>
        <v>51.978746425856599</v>
      </c>
      <c r="EM56" s="20">
        <f t="shared" si="19"/>
        <v>456.62366402503358</v>
      </c>
      <c r="EN56" s="59">
        <f t="shared" si="20"/>
        <v>713.69904223156686</v>
      </c>
      <c r="EO56" s="59">
        <f ca="1">AVERAGE(OFFSET($EN$3,0,0,'Données projet'!$E$15+1,1))-AVERAGE(OFFSET($H$3,0,0,'Données projet'!$E$15+1,1))</f>
        <v>377.27600411578322</v>
      </c>
      <c r="EP56" s="59">
        <f t="shared" si="46"/>
        <v>364.58250627635425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>
        <f>EXP(-LN(2)/35)*EV55+(1-EXP(-LN(2)/35))/(LN(2)/35)*ER56*ES56*VLOOKUP('Données projet'!$B$15,Paramètres!$A$1:$I$89,3,0)*0.475*44/12</f>
        <v>41.928501423751399</v>
      </c>
      <c r="EW56" s="21">
        <f>EXP(-LN(2)/25)*EW55+(1-EXP(-LN(2)/25))/(LN(2)/25)*Calculateur!ER56*Calculateur!ET56*VLOOKUP('Données projet'!$B$15,Paramètres!$A$1:$I$89,3,0)*0.475*44/12</f>
        <v>0</v>
      </c>
      <c r="EX56" s="21">
        <f>EXP(-LN(2)/2)*EX55+(1-EXP(-LN(2)/2))/(LN(2)/2)*ER56*EU56*VLOOKUP('Données projet'!$B$15,Paramètres!$A$1:$I$89,3,0)*0.475*44/12</f>
        <v>0</v>
      </c>
      <c r="EY56" s="22">
        <f t="shared" si="21"/>
        <v>41.928501423751399</v>
      </c>
      <c r="EZ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7.4</v>
      </c>
      <c r="FE56" s="12">
        <f>IF('Données projet'!$A$218&gt;35,FE55+FD56-FM55,IF(A56&lt;'Données projet'!$A$218,$FB$205^A56,IF(A56='Données projet'!$A$218,'Données projet'!$B$218,FE55+FD56-FM55)))</f>
        <v>264.2</v>
      </c>
      <c r="FF56" s="17">
        <f>FE56*VLOOKUP('Données projet'!$B$16,Paramètres!$A$1:$I$89,3,0)*VLOOKUP('Données projet'!$B$16,Paramètres!$A$1:$I$89,5,0)</f>
        <v>214.31903999999997</v>
      </c>
      <c r="FG56" s="13">
        <f t="shared" si="47"/>
        <v>52.878283414659698</v>
      </c>
      <c r="FH56" s="20">
        <f t="shared" si="22"/>
        <v>465.3686716138655</v>
      </c>
      <c r="FI56" s="59">
        <f t="shared" si="23"/>
        <v>722.44404982039873</v>
      </c>
      <c r="FJ56" s="59">
        <f ca="1">AVERAGE(OFFSET($FI$3,0,0,'Données projet'!$E$16+1,1))-AVERAGE(OFFSET($H$3,0,0,'Données projet'!$E$16+1,1))</f>
        <v>383.47399633251354</v>
      </c>
      <c r="FK56" s="59">
        <f t="shared" si="48"/>
        <v>370.49129421395628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>
        <f>EXP(-LN(2)/35)*FQ55+(1-EXP(-LN(2)/35))/(LN(2)/35)*FM56*FN56*VLOOKUP('Données projet'!$B$16,Paramètres!$A$1:$I$89,3,0)*0.475*44/12</f>
        <v>42.750628902648508</v>
      </c>
      <c r="FR56" s="21">
        <f>EXP(-LN(2)/25)*FR55+(1-EXP(-LN(2)/25))/(LN(2)/25)*Calculateur!FM56*Calculateur!FO56*VLOOKUP('Données projet'!$B$16,Paramètres!$A$1:$I$89,3,0)*0.475*44/12</f>
        <v>0</v>
      </c>
      <c r="FS56" s="21">
        <f>EXP(-LN(2)/2)*FS55+(1-EXP(-LN(2)/2))/(LN(2)/2)*FM56*FP56*VLOOKUP('Données projet'!$B$16,Paramètres!$A$1:$I$89,3,0)*0.475*44/12</f>
        <v>0</v>
      </c>
      <c r="FT56" s="22">
        <f t="shared" si="24"/>
        <v>42.750628902648508</v>
      </c>
      <c r="FU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12.271428571428576</v>
      </c>
      <c r="FZ56" s="12">
        <f>IF('Données projet'!$A$244&gt;35,FZ55+FY56-GH55,IF(A56&lt;'Données projet'!$A$244,$FW$205^A56,IF(A56='Données projet'!$A$244,'Données projet'!$B$244,FZ55+FY56-GH55)))</f>
        <v>253.12714285714293</v>
      </c>
      <c r="GA56" s="17">
        <f>FZ56*VLOOKUP('Données projet'!$B$17,Paramètres!$A$1:$I$89,3,0)*VLOOKUP('Données projet'!$B$17,Paramètres!$A$1:$I$89,5,0)</f>
        <v>240.8757891428572</v>
      </c>
      <c r="GB56" s="13">
        <f t="shared" si="49"/>
        <v>58.627920818237712</v>
      </c>
      <c r="GC56" s="20">
        <f t="shared" si="25"/>
        <v>521.63562818224023</v>
      </c>
      <c r="GD56" s="59">
        <f t="shared" si="26"/>
        <v>778.71100638877351</v>
      </c>
      <c r="GE56" s="59">
        <f ca="1">AVERAGE(OFFSET($GD$3,0,0,'Données projet'!$E$17+1,1))-AVERAGE(OFFSET($H$3,0,0,'Données projet'!$E$17+1,1))</f>
        <v>592.58528889137358</v>
      </c>
      <c r="GF56" s="59">
        <f t="shared" si="50"/>
        <v>311.31528020403709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>
        <f>EXP(-LN(2)/35)*GL55+(1-EXP(-LN(2)/35))/(LN(2)/35)*GH56*GI56*VLOOKUP('Données projet'!$B$17,Paramètres!$A$1:$I$89,3,0)*0.475*44/12</f>
        <v>63.986623241880572</v>
      </c>
      <c r="GM56" s="21">
        <f>EXP(-LN(2)/25)*GM55+(1-EXP(-LN(2)/25))/(LN(2)/25)*Calculateur!GH56*Calculateur!GJ56*VLOOKUP('Données projet'!$B$17,Paramètres!$A$1:$I$89,3,0)*0.475*44/12</f>
        <v>0</v>
      </c>
      <c r="GN56" s="21">
        <f>EXP(-LN(2)/2)*GN55+(1-EXP(-LN(2)/2))/(LN(2)/2)*GH56*GK56*VLOOKUP('Données projet'!$B$17,Paramètres!$A$1:$I$89,3,0)*0.475*44/12</f>
        <v>0</v>
      </c>
      <c r="GO56" s="21">
        <f t="shared" si="27"/>
        <v>63.986623241880572</v>
      </c>
      <c r="GP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9.375</v>
      </c>
      <c r="GU56" s="12">
        <f>IF('Données projet'!$A$270&gt;35,GU55+GT56-HC55,IF(A56&lt;'Données projet'!$A$270,$GR$205^A56,IF(A56='Données projet'!$A$270,'Données projet'!$B$270,GU55+GT56-HC55)))</f>
        <v>231.37499999999989</v>
      </c>
      <c r="GV56" s="17">
        <f>GU56*VLOOKUP('Données projet'!$B$18,Paramètres!$A$1:$I$89,3,0)*VLOOKUP('Données projet'!$B$18,Paramètres!$A$1:$I$89,5,0)</f>
        <v>180.47249999999991</v>
      </c>
      <c r="GW56" s="13">
        <f t="shared" si="51"/>
        <v>45.427292666837829</v>
      </c>
      <c r="GX56" s="20">
        <f t="shared" si="28"/>
        <v>393.44213889474241</v>
      </c>
      <c r="GY56" s="59">
        <f t="shared" si="29"/>
        <v>650.51751710127564</v>
      </c>
      <c r="GZ56" s="59">
        <f ca="1">AVERAGE(OFFSET($GY$3,0,0,'Données projet'!$E$18+1,1))-AVERAGE(OFFSET($H$3,0,0,'Données projet'!$E$18+1,1))</f>
        <v>308.85018589589453</v>
      </c>
      <c r="HA56" s="59">
        <f t="shared" si="52"/>
        <v>302.59481222418219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>
        <f>EXP(-LN(2)/35)*HG55+(1-EXP(-LN(2)/35))/(LN(2)/35)*HC56*HD56*VLOOKUP('Données projet'!$B$18,Paramètres!$A$1:$I$89,3,0)*0.475*44/12</f>
        <v>49.145267830812891</v>
      </c>
      <c r="HH56" s="21">
        <f>EXP(-LN(2)/25)*HH55+(1-EXP(-LN(2)/25))/(LN(2)/25)*Calculateur!HC56*Calculateur!HE56*VLOOKUP('Données projet'!$B$18,Paramètres!$A$1:$I$89,3,0)*0.475*44/12</f>
        <v>0</v>
      </c>
      <c r="HI56" s="21">
        <f>EXP(-LN(2)/2)*HI55+(1-EXP(-LN(2)/2))/(LN(2)/2)*HC56*HF56*VLOOKUP('Données projet'!$B$18,Paramètres!$A$1:$I$89,3,0)*0.475*44/12</f>
        <v>0</v>
      </c>
      <c r="HJ56" s="22">
        <f t="shared" si="30"/>
        <v>49.145267830812891</v>
      </c>
    </row>
    <row r="57" spans="1:218" x14ac:dyDescent="0.35">
      <c r="A57" s="10">
        <f t="shared" si="31"/>
        <v>54</v>
      </c>
      <c r="B57" s="72">
        <f>'Scénario référence'!$B$16*5+'Scénario référence'!$B$17*0+'Scénario référence'!$B$18*5</f>
        <v>5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66">
        <f t="shared" si="1"/>
        <v>183.33333333333334</v>
      </c>
      <c r="I57" s="6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12.271428571428576</v>
      </c>
      <c r="N57" s="13">
        <f>IF('Données projet'!$A$36&gt;35,N56+M57-V56,IF(A57&lt;'Données projet'!$A$36,$K$205^A57,IF(A57='Données projet'!$A$36,'Données projet'!$B$36,N56+M57-V56)))</f>
        <v>265.39857142857153</v>
      </c>
      <c r="O57" s="13">
        <f>N57*VLOOKUP('Données projet'!$B$9,Paramètres!$A$1:$I$89,3,0)*VLOOKUP('Données projet'!$B$9,Paramètres!$A$1:$I$89,5,0)</f>
        <v>240.13262742857151</v>
      </c>
      <c r="P57" s="13">
        <f t="shared" si="33"/>
        <v>58.468065001979483</v>
      </c>
      <c r="Q57" s="20">
        <f t="shared" si="53"/>
        <v>520.06287264987634</v>
      </c>
      <c r="R57" s="59">
        <f t="shared" si="0"/>
        <v>777.76724531721561</v>
      </c>
      <c r="S57" s="59">
        <f ca="1">AVERAGE(OFFSET($R$3,0,0,'Données projet'!$E$9+1,1))-AVERAGE(OFFSET($H$3,0,0,'Données projet'!$E$9+1,1))</f>
        <v>567.42635821507474</v>
      </c>
      <c r="T57" s="59">
        <f t="shared" si="34"/>
        <v>299.04735309930152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59.646709936220297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0</v>
      </c>
      <c r="AC57" s="22">
        <f t="shared" si="3"/>
        <v>59.646709936220297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12.271428571428576</v>
      </c>
      <c r="AI57" s="13">
        <f>IF('Données projet'!$A$62&gt;35,AI56+AH57-AQ56,IF(A57&lt;'Données projet'!$A$62,$AF$205^A57,IF(A57='Données projet'!$A$62,'Données projet'!$B$62,AI56+AH57-AQ56)))</f>
        <v>265.39857142857153</v>
      </c>
      <c r="AJ57" s="13">
        <f>AI57*VLOOKUP('Données projet'!$B$10,Paramètres!$A$1:$I$89,3,0)*VLOOKUP('Données projet'!$B$10,Paramètres!$A$1:$I$89,5,0)</f>
        <v>269.11415142857157</v>
      </c>
      <c r="AK57" s="13">
        <f t="shared" si="35"/>
        <v>64.661233921346607</v>
      </c>
      <c r="AL57" s="20">
        <f t="shared" si="4"/>
        <v>581.32546281777411</v>
      </c>
      <c r="AM57" s="59">
        <f t="shared" si="5"/>
        <v>839.02983548511338</v>
      </c>
      <c r="AN57" s="59">
        <f ca="1">AVERAGE(OFFSET($AM$3,0,0,'Données projet'!$E$10+1,1))-AVERAGE(OFFSET($H$3,0,0,'Données projet'!$E$10+1,1))</f>
        <v>626.09203985591455</v>
      </c>
      <c r="AO57" s="59">
        <f t="shared" si="36"/>
        <v>327.65191296575199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66.845450790591727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66.845450790591727</v>
      </c>
      <c r="AY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11</v>
      </c>
      <c r="BD57" s="12">
        <f>IF('Données projet'!$A$88&gt;35,BD56+BC57-BL56,IF(A57&lt;'Données projet'!$A$88,$BA$205^A57,IF(A57='Données projet'!$A$88,'Données projet'!$B$88,BD56+BC57-BL56)))</f>
        <v>233.00000000000003</v>
      </c>
      <c r="BE57" s="13">
        <f>BD57*VLOOKUP('Données projet'!$B$11,Paramètres!$A$1:$I$89,3,0)*VLOOKUP('Données projet'!$B$11,Paramètres!$A$1:$I$89,5,0)</f>
        <v>199.91400000000007</v>
      </c>
      <c r="BF57" s="13">
        <f t="shared" si="37"/>
        <v>49.725267055272241</v>
      </c>
      <c r="BG57" s="20">
        <f t="shared" si="7"/>
        <v>434.78839012126599</v>
      </c>
      <c r="BH57" s="59">
        <f t="shared" si="8"/>
        <v>692.49276278860532</v>
      </c>
      <c r="BI57" s="59">
        <f ca="1">AVERAGE(OFFSET($BH$3,0,0,'Données projet'!$E$11+1,1))-AVERAGE(OFFSET($H$3,0,0,'Données projet'!$E$11+1,1))</f>
        <v>481.23392184981651</v>
      </c>
      <c r="BJ57" s="59">
        <f t="shared" si="38"/>
        <v>275.88160405468193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45.110350586011677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45.110350586011677</v>
      </c>
      <c r="BT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16.366250000000001</v>
      </c>
      <c r="BY57" s="12">
        <f>IF('Données projet'!$A$114&gt;35,BY56+BX57-CG56,IF(A57&lt;'Données projet'!$A$114,$BV$205^A57,IF(A57='Données projet'!$A$114,'Données projet'!$B$114,BY56+BX57-CG56)))</f>
        <v>334.6449999999997</v>
      </c>
      <c r="BZ57" s="13">
        <f>BY57*VLOOKUP('Données projet'!$B$12,Paramètres!$A$1:$I$89,3,0)*VLOOKUP('Données projet'!$B$12,Paramètres!$A$1:$I$89,5,0)</f>
        <v>156.61385999999985</v>
      </c>
      <c r="CA57" s="13">
        <f t="shared" si="39"/>
        <v>40.077813863626993</v>
      </c>
      <c r="CB57" s="20">
        <f t="shared" si="10"/>
        <v>342.5713319791501</v>
      </c>
      <c r="CC57" s="59">
        <f t="shared" si="11"/>
        <v>600.27570464648943</v>
      </c>
      <c r="CD57" s="59">
        <f ca="1">AVERAGE(OFFSET($CC$3,0,0,'Données projet'!$E$12+1,1))-AVERAGE(OFFSET($H$3,0,0,'Données projet'!$E$12+1,1))</f>
        <v>331.86732359395467</v>
      </c>
      <c r="CE57" s="59">
        <f t="shared" si="40"/>
        <v>208.64489375183106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61.978547915804718</v>
      </c>
      <c r="CL57" s="21">
        <f>EXP(-LN(2)/25)*CL56+(1-EXP(-LN(2)/25))/(LN(2)/25)*Calculateur!CG57*Calculateur!CI57*VLOOKUP('Données projet'!$B$12,Paramètres!$A$1:$I$89,3,0)*0.475*44/12</f>
        <v>0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61.978547915804718</v>
      </c>
      <c r="CO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7.4</v>
      </c>
      <c r="CT57" s="12">
        <f>IF('Données projet'!$A$140&gt;35,CT56+CS57-DB56,IF(A57&lt;'Données projet'!$A$140,$CQ$205^A57,IF(A57='Données projet'!$A$140,'Données projet'!$B$140,CT56+CS57-DB56)))</f>
        <v>271.59999999999997</v>
      </c>
      <c r="CU57" s="17">
        <f>CT57*VLOOKUP('Données projet'!$B$13,Paramètres!$A$1:$I$89,3,0)*VLOOKUP('Données projet'!$B$13,Paramètres!$A$1:$I$89,5,0)</f>
        <v>199.13711999999995</v>
      </c>
      <c r="CV57" s="13">
        <f t="shared" si="41"/>
        <v>49.554485124576232</v>
      </c>
      <c r="CW57" s="20">
        <f t="shared" si="13"/>
        <v>433.13787892530354</v>
      </c>
      <c r="CX57" s="59">
        <f t="shared" si="14"/>
        <v>690.84225159264292</v>
      </c>
      <c r="CY57" s="59">
        <f ca="1">AVERAGE(OFFSET($CX$3,0,0,'Données projet'!$E$13+1,1))-AVERAGE(OFFSET($H$3,0,0,'Données projet'!$E$13+1,1))</f>
        <v>352.45777291109863</v>
      </c>
      <c r="CZ57" s="59">
        <f t="shared" si="42"/>
        <v>340.92165104349181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30.734683929028158</v>
      </c>
      <c r="DG57" s="21">
        <f>EXP(-LN(2)/25)*DG56+(1-EXP(-LN(2)/25))/(LN(2)/25)*Calculateur!DB57*Calculateur!DD57*VLOOKUP('Données projet'!$B$13,Paramètres!$A$1:$I$89,3,0)*0.475*44/12</f>
        <v>0</v>
      </c>
      <c r="DH57" s="21">
        <f>EXP(-LN(2)/2)*DH56+(1-EXP(-LN(2)/2))/(LN(2)/2)*DB57*DE57*VLOOKUP('Données projet'!$B$13,Paramètres!$A$1:$I$89,3,0)*0.475*44/12</f>
        <v>0</v>
      </c>
      <c r="DI57" s="22">
        <f t="shared" si="15"/>
        <v>30.734683929028158</v>
      </c>
      <c r="DJ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12.271428571428576</v>
      </c>
      <c r="DO57" s="12">
        <f>IF('Données projet'!$A$166&gt;35,DO56+DN57-DW56,IF(A57&lt;'Données projet'!$A$166,$DL$205^A57,IF(A57='Données projet'!$A$166,'Données projet'!$B$166,DO56+DN57-DW56)))</f>
        <v>265.39857142857153</v>
      </c>
      <c r="DP57" s="17">
        <f>DO57*VLOOKUP('Données projet'!$B$14,Paramètres!$A$1:$I$89,3,0)*VLOOKUP('Données projet'!$B$14,Paramètres!$A$1:$I$89,5,0)</f>
        <v>178.02936171428578</v>
      </c>
      <c r="DQ57" s="13">
        <f t="shared" si="43"/>
        <v>44.883474953850168</v>
      </c>
      <c r="DR57" s="20">
        <f t="shared" si="16"/>
        <v>388.2398571970034</v>
      </c>
      <c r="DS57" s="59">
        <f t="shared" si="17"/>
        <v>645.94422986434279</v>
      </c>
      <c r="DT57" s="59">
        <f ca="1">AVERAGE(OFFSET($DS$3,0,0,'Données projet'!$E$14+1,1))-AVERAGE(OFFSET($H$3,0,0,'Données projet'!$E$14+1,1))</f>
        <v>441.20130048888439</v>
      </c>
      <c r="DU57" s="59">
        <f t="shared" si="44"/>
        <v>237.47732532183946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54.504752183097871</v>
      </c>
      <c r="EB57" s="21">
        <f>EXP(-LN(2)/25)*EB56+(1-EXP(-LN(2)/25))/(LN(2)/25)*Calculateur!DW57*Calculateur!DY57*VLOOKUP('Données projet'!$B$14,Paramètres!$A$1:$I$89,3,0)*0.475*44/12</f>
        <v>0</v>
      </c>
      <c r="EC57" s="21">
        <f>EXP(-LN(2)/2)*EC56+(1-EXP(-LN(2)/2))/(LN(2)/2)*DW57*DZ57*VLOOKUP('Données projet'!$B$14,Paramètres!$A$1:$I$89,3,0)*0.475*44/12</f>
        <v>0</v>
      </c>
      <c r="ED57" s="22">
        <f t="shared" si="18"/>
        <v>54.504752183097871</v>
      </c>
      <c r="EE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7.4</v>
      </c>
      <c r="EJ57" s="12">
        <f>IF('Données projet'!$A$192&gt;35,EJ56+EI57-ER56,IF(A57&lt;'Données projet'!$A$192,$EG$205^A57,IF(A57='Données projet'!$A$192,'Données projet'!$B$192,EJ56+EI57-ER56)))</f>
        <v>271.59999999999997</v>
      </c>
      <c r="EK57" s="17">
        <f>EJ57*VLOOKUP('Données projet'!$B$15,Paramètres!$A$1:$I$89,3,0)*VLOOKUP('Données projet'!$B$15,Paramètres!$A$1:$I$89,5,0)</f>
        <v>216.08496</v>
      </c>
      <c r="EL57" s="13">
        <f t="shared" si="45"/>
        <v>53.26308393083157</v>
      </c>
      <c r="EM57" s="20">
        <f t="shared" si="19"/>
        <v>469.11450984619825</v>
      </c>
      <c r="EN57" s="59">
        <f t="shared" si="20"/>
        <v>726.81888251353757</v>
      </c>
      <c r="EO57" s="59">
        <f ca="1">AVERAGE(OFFSET($EN$3,0,0,'Données projet'!$E$15+1,1))-AVERAGE(OFFSET($H$3,0,0,'Données projet'!$E$15+1,1))</f>
        <v>377.27600411578322</v>
      </c>
      <c r="EP57" s="59">
        <f t="shared" si="46"/>
        <v>364.58250627635425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>
        <f>EXP(-LN(2)/35)*EV56+(1-EXP(-LN(2)/35))/(LN(2)/35)*ER57*ES57*VLOOKUP('Données projet'!$B$15,Paramètres!$A$1:$I$89,3,0)*0.475*44/12</f>
        <v>41.106309084692292</v>
      </c>
      <c r="EW57" s="21">
        <f>EXP(-LN(2)/25)*EW56+(1-EXP(-LN(2)/25))/(LN(2)/25)*Calculateur!ER57*Calculateur!ET57*VLOOKUP('Données projet'!$B$15,Paramètres!$A$1:$I$89,3,0)*0.475*44/12</f>
        <v>0</v>
      </c>
      <c r="EX57" s="21">
        <f>EXP(-LN(2)/2)*EX56+(1-EXP(-LN(2)/2))/(LN(2)/2)*ER57*EU57*VLOOKUP('Données projet'!$B$15,Paramètres!$A$1:$I$89,3,0)*0.475*44/12</f>
        <v>0</v>
      </c>
      <c r="EY57" s="22">
        <f t="shared" si="21"/>
        <v>41.106309084692292</v>
      </c>
      <c r="EZ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7.4</v>
      </c>
      <c r="FE57" s="12">
        <f>IF('Données projet'!$A$218&gt;35,FE56+FD57-FM56,IF(A57&lt;'Données projet'!$A$218,$FB$205^A57,IF(A57='Données projet'!$A$218,'Données projet'!$B$218,FE56+FD57-FM56)))</f>
        <v>271.59999999999997</v>
      </c>
      <c r="FF57" s="17">
        <f>FE57*VLOOKUP('Données projet'!$B$16,Paramètres!$A$1:$I$89,3,0)*VLOOKUP('Données projet'!$B$16,Paramètres!$A$1:$I$89,5,0)</f>
        <v>220.32192000000001</v>
      </c>
      <c r="FG57" s="13">
        <f t="shared" si="47"/>
        <v>54.18484748666976</v>
      </c>
      <c r="FH57" s="20">
        <f t="shared" si="22"/>
        <v>478.09928670594991</v>
      </c>
      <c r="FI57" s="59">
        <f t="shared" si="23"/>
        <v>735.80365937328929</v>
      </c>
      <c r="FJ57" s="59">
        <f ca="1">AVERAGE(OFFSET($FI$3,0,0,'Données projet'!$E$16+1,1))-AVERAGE(OFFSET($H$3,0,0,'Données projet'!$E$16+1,1))</f>
        <v>383.47399633251354</v>
      </c>
      <c r="FK57" s="59">
        <f t="shared" si="48"/>
        <v>370.49129421395628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>
        <f>EXP(-LN(2)/35)*FQ56+(1-EXP(-LN(2)/35))/(LN(2)/35)*FM57*FN57*VLOOKUP('Données projet'!$B$16,Paramètres!$A$1:$I$89,3,0)*0.475*44/12</f>
        <v>41.912315145176478</v>
      </c>
      <c r="FR57" s="21">
        <f>EXP(-LN(2)/25)*FR56+(1-EXP(-LN(2)/25))/(LN(2)/25)*Calculateur!FM57*Calculateur!FO57*VLOOKUP('Données projet'!$B$16,Paramètres!$A$1:$I$89,3,0)*0.475*44/12</f>
        <v>0</v>
      </c>
      <c r="FS57" s="21">
        <f>EXP(-LN(2)/2)*FS56+(1-EXP(-LN(2)/2))/(LN(2)/2)*FM57*FP57*VLOOKUP('Données projet'!$B$16,Paramètres!$A$1:$I$89,3,0)*0.475*44/12</f>
        <v>0</v>
      </c>
      <c r="FT57" s="22">
        <f t="shared" si="24"/>
        <v>41.912315145176478</v>
      </c>
      <c r="FU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12.271428571428576</v>
      </c>
      <c r="FZ57" s="12">
        <f>IF('Données projet'!$A$244&gt;35,FZ56+FY57-GH56,IF(A57&lt;'Données projet'!$A$244,$FW$205^A57,IF(A57='Données projet'!$A$244,'Données projet'!$B$244,FZ56+FY57-GH56)))</f>
        <v>265.39857142857153</v>
      </c>
      <c r="GA57" s="17">
        <f>FZ57*VLOOKUP('Données projet'!$B$17,Paramètres!$A$1:$I$89,3,0)*VLOOKUP('Données projet'!$B$17,Paramètres!$A$1:$I$89,5,0)</f>
        <v>252.55328057142867</v>
      </c>
      <c r="GB57" s="13">
        <f t="shared" si="49"/>
        <v>61.132363698497379</v>
      </c>
      <c r="GC57" s="20">
        <f t="shared" si="25"/>
        <v>546.33583043678789</v>
      </c>
      <c r="GD57" s="59">
        <f t="shared" si="26"/>
        <v>804.04020310412716</v>
      </c>
      <c r="GE57" s="59">
        <f ca="1">AVERAGE(OFFSET($GD$3,0,0,'Données projet'!$E$17+1,1))-AVERAGE(OFFSET($H$3,0,0,'Données projet'!$E$17+1,1))</f>
        <v>592.58528889137358</v>
      </c>
      <c r="GF57" s="59">
        <f t="shared" si="50"/>
        <v>311.31528020403709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>
        <f>EXP(-LN(2)/35)*GL56+(1-EXP(-LN(2)/35))/(LN(2)/35)*GH57*GI57*VLOOKUP('Données projet'!$B$17,Paramètres!$A$1:$I$89,3,0)*0.475*44/12</f>
        <v>62.731884588093777</v>
      </c>
      <c r="GM57" s="21">
        <f>EXP(-LN(2)/25)*GM56+(1-EXP(-LN(2)/25))/(LN(2)/25)*Calculateur!GH57*Calculateur!GJ57*VLOOKUP('Données projet'!$B$17,Paramètres!$A$1:$I$89,3,0)*0.475*44/12</f>
        <v>0</v>
      </c>
      <c r="GN57" s="21">
        <f>EXP(-LN(2)/2)*GN56+(1-EXP(-LN(2)/2))/(LN(2)/2)*GH57*GK57*VLOOKUP('Données projet'!$B$17,Paramètres!$A$1:$I$89,3,0)*0.475*44/12</f>
        <v>0</v>
      </c>
      <c r="GO57" s="21">
        <f t="shared" si="27"/>
        <v>62.731884588093777</v>
      </c>
      <c r="GP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9.375</v>
      </c>
      <c r="GU57" s="12">
        <f>IF('Données projet'!$A$270&gt;35,GU56+GT57-HC56,IF(A57&lt;'Données projet'!$A$270,$GR$205^A57,IF(A57='Données projet'!$A$270,'Données projet'!$B$270,GU56+GT57-HC56)))</f>
        <v>240.74999999999989</v>
      </c>
      <c r="GV57" s="17">
        <f>GU57*VLOOKUP('Données projet'!$B$18,Paramètres!$A$1:$I$89,3,0)*VLOOKUP('Données projet'!$B$18,Paramètres!$A$1:$I$89,5,0)</f>
        <v>187.78499999999991</v>
      </c>
      <c r="GW57" s="13">
        <f t="shared" si="51"/>
        <v>47.049914090154054</v>
      </c>
      <c r="GX57" s="20">
        <f t="shared" si="28"/>
        <v>409.0041420403515</v>
      </c>
      <c r="GY57" s="59">
        <f t="shared" si="29"/>
        <v>666.70851470769082</v>
      </c>
      <c r="GZ57" s="59">
        <f ca="1">AVERAGE(OFFSET($GY$3,0,0,'Données projet'!$E$18+1,1))-AVERAGE(OFFSET($H$3,0,0,'Données projet'!$E$18+1,1))</f>
        <v>308.85018589589453</v>
      </c>
      <c r="HA57" s="59">
        <f t="shared" si="52"/>
        <v>302.59481222418219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>
        <f>EXP(-LN(2)/35)*HG56+(1-EXP(-LN(2)/35))/(LN(2)/35)*HC57*HD57*VLOOKUP('Données projet'!$B$18,Paramètres!$A$1:$I$89,3,0)*0.475*44/12</f>
        <v>48.181559104304178</v>
      </c>
      <c r="HH57" s="21">
        <f>EXP(-LN(2)/25)*HH56+(1-EXP(-LN(2)/25))/(LN(2)/25)*Calculateur!HC57*Calculateur!HE57*VLOOKUP('Données projet'!$B$18,Paramètres!$A$1:$I$89,3,0)*0.475*44/12</f>
        <v>0</v>
      </c>
      <c r="HI57" s="21">
        <f>EXP(-LN(2)/2)*HI56+(1-EXP(-LN(2)/2))/(LN(2)/2)*HC57*HF57*VLOOKUP('Données projet'!$B$18,Paramètres!$A$1:$I$89,3,0)*0.475*44/12</f>
        <v>0</v>
      </c>
      <c r="HJ57" s="22">
        <f t="shared" si="30"/>
        <v>48.181559104304178</v>
      </c>
    </row>
    <row r="58" spans="1:218" x14ac:dyDescent="0.35">
      <c r="A58" s="10">
        <f t="shared" si="31"/>
        <v>55</v>
      </c>
      <c r="B58" s="72">
        <f>'Scénario référence'!$B$16*5+'Scénario référence'!$B$17*0+'Scénario référence'!$B$18*5</f>
        <v>5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66">
        <f t="shared" si="1"/>
        <v>183.33333333333334</v>
      </c>
      <c r="I58" s="6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>
        <f>VLOOKUP(A58,'Données projet'!$A$35:$I$55,2,0)</f>
        <v>277.67</v>
      </c>
      <c r="L58" s="12">
        <f>VLOOKUP(A58,'Données projet'!$A$35:$I$55,9,0)</f>
        <v>12.271428571428576</v>
      </c>
      <c r="M58" s="12">
        <f t="array" ref="M58">INDEX(L:L,MIN(IF(ISNUMBER(L58:L254),ROW(L58:L254),"")))</f>
        <v>12.271428571428576</v>
      </c>
      <c r="N58" s="13">
        <f>IF('Données projet'!$A$36&gt;35,N57+M58-V57,IF(A58&lt;'Données projet'!$A$36,$K$205^A58,IF(A58='Données projet'!$A$36,'Données projet'!$B$36,N57+M58-V57)))</f>
        <v>277.67000000000013</v>
      </c>
      <c r="O58" s="13">
        <f>N58*VLOOKUP('Données projet'!$B$9,Paramètres!$A$1:$I$89,3,0)*VLOOKUP('Données projet'!$B$9,Paramètres!$A$1:$I$89,5,0)</f>
        <v>251.23581600000009</v>
      </c>
      <c r="P58" s="13">
        <f t="shared" si="33"/>
        <v>60.850496254681879</v>
      </c>
      <c r="Q58" s="20">
        <f t="shared" si="53"/>
        <v>543.55032717690437</v>
      </c>
      <c r="R58" s="59">
        <f t="shared" si="0"/>
        <v>801.87278265737575</v>
      </c>
      <c r="S58" s="59">
        <f ca="1">AVERAGE(OFFSET($R$3,0,0,'Données projet'!$E$9+1,1))-AVERAGE(OFFSET($H$3,0,0,'Données projet'!$E$9+1,1))</f>
        <v>567.42635821507474</v>
      </c>
      <c r="T58" s="59">
        <f t="shared" si="34"/>
        <v>299.04735309930152</v>
      </c>
      <c r="U58" s="15">
        <f>IF(ISNA(VLOOKUP(A58,'Données projet'!$A$35:$I$55,3,0)),0,VLOOKUP(A58,'Données projet'!$A$35:$I$55,3,0))</f>
        <v>4</v>
      </c>
      <c r="V58" s="15">
        <f>IF(ISNA(VLOOKUP(A58,'Données projet'!$A$35:$I$55,4,0)),0,VLOOKUP(A58,'Données projet'!$A$35:$I$55,4,0))</f>
        <v>58.24</v>
      </c>
      <c r="W58" s="16">
        <f>IF(ISNA(VLOOKUP(A58,'Données projet'!$A$35:$I$55,5,0)),0%,VLOOKUP(A58,'Données projet'!$A$35:$I$55,5,0)*VLOOKUP('Données projet'!$B$9,Paramètres!$A$1:$I$89,7,0))</f>
        <v>0.43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83.526024239001245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0</v>
      </c>
      <c r="AC58" s="22">
        <f t="shared" si="3"/>
        <v>83.526024239001245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277.67</v>
      </c>
      <c r="AG58" s="12">
        <f>VLOOKUP(A58,'Données projet'!$A$61:$I$81,9,0)</f>
        <v>12.271428571428576</v>
      </c>
      <c r="AH58" s="12">
        <f t="array" ref="AH58">INDEX(AG:AG,MIN(IF(ISNUMBER(AG58:AG254),ROW(AG58:AG254),"")))</f>
        <v>12.271428571428576</v>
      </c>
      <c r="AI58" s="13">
        <f>IF('Données projet'!$A$62&gt;35,AI57+AH58-AQ57,IF(A58&lt;'Données projet'!$A$62,$AF$205^A58,IF(A58='Données projet'!$A$62,'Données projet'!$B$62,AI57+AH58-AQ57)))</f>
        <v>277.67000000000013</v>
      </c>
      <c r="AJ58" s="13">
        <f>AI58*VLOOKUP('Données projet'!$B$10,Paramètres!$A$1:$I$89,3,0)*VLOOKUP('Données projet'!$B$10,Paramètres!$A$1:$I$89,5,0)</f>
        <v>281.55738000000014</v>
      </c>
      <c r="AK58" s="13">
        <f t="shared" si="35"/>
        <v>67.296021724351561</v>
      </c>
      <c r="AL58" s="20">
        <f t="shared" si="4"/>
        <v>607.58634133657904</v>
      </c>
      <c r="AM58" s="59">
        <f t="shared" si="5"/>
        <v>865.90879681705042</v>
      </c>
      <c r="AN58" s="59">
        <f ca="1">AVERAGE(OFFSET($AM$3,0,0,'Données projet'!$E$10+1,1))-AVERAGE(OFFSET($H$3,0,0,'Données projet'!$E$10+1,1))</f>
        <v>626.09203985591455</v>
      </c>
      <c r="AO58" s="59">
        <f t="shared" si="36"/>
        <v>327.65191296575199</v>
      </c>
      <c r="AP58" s="15">
        <f>IF(ISNA(VLOOKUP(A58,'Données projet'!$A$61:$I$81,3,0)),0,VLOOKUP(A58,'Données projet'!$A$61:$I$81,3,0))</f>
        <v>4</v>
      </c>
      <c r="AQ58" s="15">
        <f>IF(ISNA(VLOOKUP(A58,'Données projet'!$A$61:$I$81,4,0)),0,VLOOKUP(A58,'Données projet'!$A$61:$I$81,4,0))</f>
        <v>58.24</v>
      </c>
      <c r="AR58" s="16">
        <f>IF(ISNA(VLOOKUP(A58,'Données projet'!$A$61:$I$81,5,0)),0%,VLOOKUP(A58,'Données projet'!$A$61:$I$81,5,0)*VLOOKUP('Données projet'!$B$10,Paramètres!$A$1:$I$89,7,0))</f>
        <v>0.43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93.606751302328988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93.606751302328988</v>
      </c>
      <c r="AY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>
        <f>VLOOKUP(A58,'Données projet'!$A$87:$I$107,2,0)</f>
        <v>244</v>
      </c>
      <c r="BB58" s="12">
        <f>VLOOKUP(A58,'Données projet'!$A$87:$I$107,9,0)</f>
        <v>11</v>
      </c>
      <c r="BC58" s="12">
        <f t="array" ref="BC58">INDEX(BB:BB,MIN(IF(ISNUMBER(BB58:BB254),ROW(BB58:BB254),"")))</f>
        <v>11</v>
      </c>
      <c r="BD58" s="12">
        <f>IF('Données projet'!$A$88&gt;35,BD57+BC58-BL57,IF(A58&lt;'Données projet'!$A$88,$BA$205^A58,IF(A58='Données projet'!$A$88,'Données projet'!$B$88,BD57+BC58-BL57)))</f>
        <v>244.00000000000003</v>
      </c>
      <c r="BE58" s="13">
        <f>BD58*VLOOKUP('Données projet'!$B$11,Paramètres!$A$1:$I$89,3,0)*VLOOKUP('Données projet'!$B$11,Paramètres!$A$1:$I$89,5,0)</f>
        <v>209.35200000000003</v>
      </c>
      <c r="BF58" s="13">
        <f t="shared" si="37"/>
        <v>51.79395593509436</v>
      </c>
      <c r="BG58" s="20">
        <f t="shared" si="7"/>
        <v>454.82920658695599</v>
      </c>
      <c r="BH58" s="59">
        <f t="shared" si="8"/>
        <v>713.15166206742742</v>
      </c>
      <c r="BI58" s="59">
        <f ca="1">AVERAGE(OFFSET($BH$3,0,0,'Données projet'!$E$11+1,1))-AVERAGE(OFFSET($H$3,0,0,'Données projet'!$E$11+1,1))</f>
        <v>481.23392184981651</v>
      </c>
      <c r="BJ58" s="59">
        <f t="shared" si="38"/>
        <v>275.88160405468193</v>
      </c>
      <c r="BK58" s="15">
        <f>IF(ISNA(VLOOKUP(A58,'Données projet'!$A$87:$I$107,3,0)),0,VLOOKUP(A58,'Données projet'!$A$87:$I$107,3,0))</f>
        <v>7</v>
      </c>
      <c r="BL58" s="15">
        <f>IF(ISNA(VLOOKUP(A58,'Données projet'!$A$87:$I$107,4,0)),0,VLOOKUP(A58,'Données projet'!$A$87:$I$107,4,0))</f>
        <v>28</v>
      </c>
      <c r="BM58" s="16">
        <f>IF(ISNA(VLOOKUP(A58,'Données projet'!$A$87:$I$107,5,0)),0%,VLOOKUP(A58,'Données projet'!$A$87:$I$107,5,0)*VLOOKUP('Données projet'!$B$11,Paramètres!$A$1:$I$89,7,0))</f>
        <v>0.53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58.30140893650379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58.30140893650379</v>
      </c>
      <c r="BT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16.366250000000001</v>
      </c>
      <c r="BY58" s="12">
        <f>IF('Données projet'!$A$114&gt;35,BY57+BX58-CG57,IF(A58&lt;'Données projet'!$A$114,$BV$205^A58,IF(A58='Données projet'!$A$114,'Données projet'!$B$114,BY57+BX58-CG57)))</f>
        <v>351.01124999999968</v>
      </c>
      <c r="BZ58" s="13">
        <f>BY58*VLOOKUP('Données projet'!$B$12,Paramètres!$A$1:$I$89,3,0)*VLOOKUP('Données projet'!$B$12,Paramètres!$A$1:$I$89,5,0)</f>
        <v>164.27326499999984</v>
      </c>
      <c r="CA58" s="13">
        <f t="shared" si="39"/>
        <v>41.804878735392727</v>
      </c>
      <c r="CB58" s="20">
        <f t="shared" si="10"/>
        <v>358.91943367247535</v>
      </c>
      <c r="CC58" s="59">
        <f t="shared" si="11"/>
        <v>617.24188915294667</v>
      </c>
      <c r="CD58" s="59">
        <f ca="1">AVERAGE(OFFSET($CC$3,0,0,'Données projet'!$E$12+1,1))-AVERAGE(OFFSET($H$3,0,0,'Données projet'!$E$12+1,1))</f>
        <v>331.86732359395467</v>
      </c>
      <c r="CE58" s="59">
        <f t="shared" si="40"/>
        <v>208.64489375183106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60.763186394357263</v>
      </c>
      <c r="CL58" s="21">
        <f>EXP(-LN(2)/25)*CL57+(1-EXP(-LN(2)/25))/(LN(2)/25)*Calculateur!CG58*Calculateur!CI58*VLOOKUP('Données projet'!$B$12,Paramètres!$A$1:$I$89,3,0)*0.475*44/12</f>
        <v>0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60.763186394357263</v>
      </c>
      <c r="CO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>
        <f>VLOOKUP(A58,'Données projet'!$A$139:$I$159,2,0)</f>
        <v>279</v>
      </c>
      <c r="CR58" s="12">
        <f>VLOOKUP(A58,'Données projet'!$A$139:$I$159,9,0)</f>
        <v>7.4</v>
      </c>
      <c r="CS58" s="12">
        <f t="array" ref="CS58">INDEX(CR:CR,MIN(IF(ISNUMBER(CR58:CR254),ROW(CR58:CR254),"")))</f>
        <v>7.4</v>
      </c>
      <c r="CT58" s="12">
        <f>IF('Données projet'!$A$140&gt;35,CT57+CS58-DB57,IF(A58&lt;'Données projet'!$A$140,$CQ$205^A58,IF(A58='Données projet'!$A$140,'Données projet'!$B$140,CT57+CS58-DB57)))</f>
        <v>278.99999999999994</v>
      </c>
      <c r="CU58" s="17">
        <f>CT58*VLOOKUP('Données projet'!$B$13,Paramètres!$A$1:$I$89,3,0)*VLOOKUP('Données projet'!$B$13,Paramètres!$A$1:$I$89,5,0)</f>
        <v>204.56279999999995</v>
      </c>
      <c r="CV58" s="13">
        <f t="shared" si="41"/>
        <v>50.74561278586372</v>
      </c>
      <c r="CW58" s="20">
        <f t="shared" si="13"/>
        <v>444.66215226871259</v>
      </c>
      <c r="CX58" s="59">
        <f t="shared" si="14"/>
        <v>702.98460774918397</v>
      </c>
      <c r="CY58" s="59">
        <f ca="1">AVERAGE(OFFSET($CX$3,0,0,'Données projet'!$E$13+1,1))-AVERAGE(OFFSET($H$3,0,0,'Données projet'!$E$13+1,1))</f>
        <v>352.45777291109863</v>
      </c>
      <c r="CZ58" s="59">
        <f t="shared" si="42"/>
        <v>340.92165104349181</v>
      </c>
      <c r="DA58" s="15">
        <f>IF(ISNA(VLOOKUP(A58,'Données projet'!$A$139:$I$159,3,0)),0,VLOOKUP(A58,'Données projet'!$A$139:$I$159,3,0))</f>
        <v>9</v>
      </c>
      <c r="DB58" s="15">
        <f>IF(ISNA(VLOOKUP(A58,'Données projet'!$A$139:$I$159,4,0)),0,VLOOKUP(A58,'Données projet'!$A$139:$I$159,4,0))</f>
        <v>16</v>
      </c>
      <c r="DC58" s="16">
        <f>IF(ISNA(VLOOKUP(A58,'Données projet'!$A$139:$I$159,5,0)),0%,VLOOKUP(A58,'Données projet'!$A$139:$I$159,5,0)*VLOOKUP('Données projet'!$B$13,Paramètres!$A$1:$I$89,7,0))</f>
        <v>0.43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35.708447993528154</v>
      </c>
      <c r="DG58" s="21">
        <f>EXP(-LN(2)/25)*DG57+(1-EXP(-LN(2)/25))/(LN(2)/25)*Calculateur!DB58*Calculateur!DD58*VLOOKUP('Données projet'!$B$13,Paramètres!$A$1:$I$89,3,0)*0.475*44/12</f>
        <v>0</v>
      </c>
      <c r="DH58" s="21">
        <f>EXP(-LN(2)/2)*DH57+(1-EXP(-LN(2)/2))/(LN(2)/2)*DB58*DE58*VLOOKUP('Données projet'!$B$13,Paramètres!$A$1:$I$89,3,0)*0.475*44/12</f>
        <v>0</v>
      </c>
      <c r="DI58" s="22">
        <f t="shared" si="15"/>
        <v>35.708447993528154</v>
      </c>
      <c r="DJ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>
        <f>VLOOKUP(A58,'Données projet'!$A$165:$I$185,2,0)</f>
        <v>277.67</v>
      </c>
      <c r="DM58" s="12">
        <f>VLOOKUP(A58,'Données projet'!$A$165:$I$185,9,0)</f>
        <v>12.271428571428576</v>
      </c>
      <c r="DN58" s="12">
        <f t="array" ref="DN58">INDEX(DM:DM,MIN(IF(ISNUMBER(DM58:DM254),ROW(DM58:DM254),"")))</f>
        <v>12.271428571428576</v>
      </c>
      <c r="DO58" s="12">
        <f>IF('Données projet'!$A$166&gt;35,DO57+DN58-DW57,IF(A58&lt;'Données projet'!$A$166,$DL$205^A58,IF(A58='Données projet'!$A$166,'Données projet'!$B$166,DO57+DN58-DW57)))</f>
        <v>277.67000000000013</v>
      </c>
      <c r="DP58" s="17">
        <f>DO58*VLOOKUP('Données projet'!$B$14,Paramètres!$A$1:$I$89,3,0)*VLOOKUP('Données projet'!$B$14,Paramètres!$A$1:$I$89,5,0)</f>
        <v>186.2610360000001</v>
      </c>
      <c r="DQ58" s="13">
        <f t="shared" si="43"/>
        <v>46.712367246699529</v>
      </c>
      <c r="DR58" s="20">
        <f t="shared" si="16"/>
        <v>405.76201065466853</v>
      </c>
      <c r="DS58" s="59">
        <f t="shared" si="17"/>
        <v>664.08446613513991</v>
      </c>
      <c r="DT58" s="59">
        <f ca="1">AVERAGE(OFFSET($DS$3,0,0,'Données projet'!$E$14+1,1))-AVERAGE(OFFSET($H$3,0,0,'Données projet'!$E$14+1,1))</f>
        <v>441.20130048888439</v>
      </c>
      <c r="DU58" s="59">
        <f t="shared" si="44"/>
        <v>237.47732532183946</v>
      </c>
      <c r="DV58" s="15">
        <f>IF(ISNA(VLOOKUP(A58,'Données projet'!$A$165:$I$185,3,0)),0,VLOOKUP(A58,'Données projet'!$A$165:$I$185,3,0))</f>
        <v>4</v>
      </c>
      <c r="DW58" s="15">
        <f>IF(ISNA(VLOOKUP(A58,'Données projet'!$A$165:$I$185,4,0)),0,VLOOKUP(A58,'Données projet'!$A$165:$I$185,4,0))</f>
        <v>58.24</v>
      </c>
      <c r="DX58" s="16">
        <f>IF(ISNA(VLOOKUP(A58,'Données projet'!$A$165:$I$185,5,0)),0%,VLOOKUP(A58,'Données projet'!$A$165:$I$185,5,0)*VLOOKUP('Données projet'!$B$14,Paramètres!$A$1:$I$89,7,0))</f>
        <v>0.53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76.325504908052864</v>
      </c>
      <c r="EB58" s="21">
        <f>EXP(-LN(2)/25)*EB57+(1-EXP(-LN(2)/25))/(LN(2)/25)*Calculateur!DW58*Calculateur!DY58*VLOOKUP('Données projet'!$B$14,Paramètres!$A$1:$I$89,3,0)*0.475*44/12</f>
        <v>0</v>
      </c>
      <c r="EC58" s="21">
        <f>EXP(-LN(2)/2)*EC57+(1-EXP(-LN(2)/2))/(LN(2)/2)*DW58*DZ58*VLOOKUP('Données projet'!$B$14,Paramètres!$A$1:$I$89,3,0)*0.475*44/12</f>
        <v>0</v>
      </c>
      <c r="ED58" s="22">
        <f t="shared" si="18"/>
        <v>76.325504908052864</v>
      </c>
      <c r="EE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>
        <f>VLOOKUP(A58,'Données projet'!$A$191:$I$211,2,0)</f>
        <v>279</v>
      </c>
      <c r="EH58" s="12">
        <f>VLOOKUP(A58,'Données projet'!$A$191:$I$211,9,0)</f>
        <v>7.4</v>
      </c>
      <c r="EI58" s="12">
        <f t="array" ref="EI58">INDEX(EH:EH,MIN(IF(ISNUMBER(EH58:EH254),ROW(EH58:EH254),"")))</f>
        <v>7.4</v>
      </c>
      <c r="EJ58" s="12">
        <f>IF('Données projet'!$A$192&gt;35,EJ57+EI58-ER57,IF(A58&lt;'Données projet'!$A$192,$EG$205^A58,IF(A58='Données projet'!$A$192,'Données projet'!$B$192,EJ57+EI58-ER57)))</f>
        <v>278.99999999999994</v>
      </c>
      <c r="EK58" s="17">
        <f>EJ58*VLOOKUP('Données projet'!$B$15,Paramètres!$A$1:$I$89,3,0)*VLOOKUP('Données projet'!$B$15,Paramètres!$A$1:$I$89,5,0)</f>
        <v>221.97239999999996</v>
      </c>
      <c r="EL58" s="13">
        <f t="shared" si="45"/>
        <v>54.543354171476821</v>
      </c>
      <c r="EM58" s="20">
        <f t="shared" si="19"/>
        <v>481.59827184865543</v>
      </c>
      <c r="EN58" s="59">
        <f t="shared" si="20"/>
        <v>739.92072732912675</v>
      </c>
      <c r="EO58" s="59">
        <f ca="1">AVERAGE(OFFSET($EN$3,0,0,'Données projet'!$E$15+1,1))-AVERAGE(OFFSET($H$3,0,0,'Données projet'!$E$15+1,1))</f>
        <v>377.27600411578322</v>
      </c>
      <c r="EP58" s="59">
        <f t="shared" si="46"/>
        <v>364.58250627635425</v>
      </c>
      <c r="EQ58" s="15">
        <f>IF(ISNA(VLOOKUP(A58,'Données projet'!$A$191:$I$211,3,0)),0,VLOOKUP(A58,'Données projet'!$A$191:$I$211,3,0))</f>
        <v>9</v>
      </c>
      <c r="ER58" s="15">
        <f>IF(ISNA(VLOOKUP(A58,'Données projet'!$A$191:$I$211,4,0)),0,VLOOKUP(A58,'Données projet'!$A$191:$I$211,4,0))</f>
        <v>16</v>
      </c>
      <c r="ES58" s="16">
        <f>IF(ISNA(VLOOKUP(A58,'Données projet'!$A$191:$I$211,5,0)),0%,VLOOKUP(A58,'Données projet'!$A$191:$I$211,5,0)*VLOOKUP('Données projet'!$B$15,Paramètres!$A$1:$I$89,7,0))</f>
        <v>0.53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>
        <f>EXP(-LN(2)/35)*EV57+(1-EXP(-LN(2)/35))/(LN(2)/35)*ER58*ES58*VLOOKUP('Données projet'!$B$15,Paramètres!$A$1:$I$89,3,0)*0.475*44/12</f>
        <v>47.758503179864732</v>
      </c>
      <c r="EW58" s="21">
        <f>EXP(-LN(2)/25)*EW57+(1-EXP(-LN(2)/25))/(LN(2)/25)*Calculateur!ER58*Calculateur!ET58*VLOOKUP('Données projet'!$B$15,Paramètres!$A$1:$I$89,3,0)*0.475*44/12</f>
        <v>0</v>
      </c>
      <c r="EX58" s="21">
        <f>EXP(-LN(2)/2)*EX57+(1-EXP(-LN(2)/2))/(LN(2)/2)*ER58*EU58*VLOOKUP('Données projet'!$B$15,Paramètres!$A$1:$I$89,3,0)*0.475*44/12</f>
        <v>0</v>
      </c>
      <c r="EY58" s="22">
        <f t="shared" si="21"/>
        <v>47.758503179864732</v>
      </c>
      <c r="EZ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>
        <f>VLOOKUP(A58,'Données projet'!$A$217:$I$237,2,0)</f>
        <v>279</v>
      </c>
      <c r="FC58" s="12">
        <f>VLOOKUP(A58,'Données projet'!$A$217:$I$237,9,0)</f>
        <v>7.4</v>
      </c>
      <c r="FD58" s="12">
        <f t="array" ref="FD58">INDEX(FC:FC,MIN(IF(ISNUMBER(FC58:FC254),ROW(FC58:FC254),"")))</f>
        <v>7.4</v>
      </c>
      <c r="FE58" s="12">
        <f>IF('Données projet'!$A$218&gt;35,FE57+FD58-FM57,IF(A58&lt;'Données projet'!$A$218,$FB$205^A58,IF(A58='Données projet'!$A$218,'Données projet'!$B$218,FE57+FD58-FM57)))</f>
        <v>278.99999999999994</v>
      </c>
      <c r="FF58" s="17">
        <f>FE58*VLOOKUP('Données projet'!$B$16,Paramètres!$A$1:$I$89,3,0)*VLOOKUP('Données projet'!$B$16,Paramètres!$A$1:$I$89,5,0)</f>
        <v>226.32479999999998</v>
      </c>
      <c r="FG58" s="13">
        <f t="shared" si="47"/>
        <v>55.48727390683667</v>
      </c>
      <c r="FH58" s="20">
        <f t="shared" si="22"/>
        <v>490.82269538774045</v>
      </c>
      <c r="FI58" s="59">
        <f t="shared" si="23"/>
        <v>749.14515086821189</v>
      </c>
      <c r="FJ58" s="59">
        <f ca="1">AVERAGE(OFFSET($FI$3,0,0,'Données projet'!$E$16+1,1))-AVERAGE(OFFSET($H$3,0,0,'Données projet'!$E$16+1,1))</f>
        <v>383.47399633251354</v>
      </c>
      <c r="FK58" s="59">
        <f t="shared" si="48"/>
        <v>370.49129421395628</v>
      </c>
      <c r="FL58" s="15">
        <f>IF(ISNA(VLOOKUP(A58,'Données projet'!$A$217:$I$237,3,0)),0,VLOOKUP(A58,'Données projet'!$A$217:$I$237,3,0))</f>
        <v>9</v>
      </c>
      <c r="FM58" s="15">
        <f>IF(ISNA(VLOOKUP(A58,'Données projet'!$A$217:$I$237,4,0)),0,VLOOKUP(A58,'Données projet'!$A$217:$I$237,4,0))</f>
        <v>16</v>
      </c>
      <c r="FN58" s="16">
        <f>IF(ISNA(VLOOKUP(A58,'Données projet'!$A$217:$I$237,5,0)),0%,VLOOKUP(A58,'Données projet'!$A$217:$I$237,5,0)*VLOOKUP('Données projet'!$B$16,Paramètres!$A$1:$I$89,7,0))</f>
        <v>0.53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>
        <f>EXP(-LN(2)/35)*FQ57+(1-EXP(-LN(2)/35))/(LN(2)/35)*FM58*FN58*VLOOKUP('Données projet'!$B$16,Paramètres!$A$1:$I$89,3,0)*0.475*44/12</f>
        <v>48.69494441868563</v>
      </c>
      <c r="FR58" s="21">
        <f>EXP(-LN(2)/25)*FR57+(1-EXP(-LN(2)/25))/(LN(2)/25)*Calculateur!FM58*Calculateur!FO58*VLOOKUP('Données projet'!$B$16,Paramètres!$A$1:$I$89,3,0)*0.475*44/12</f>
        <v>0</v>
      </c>
      <c r="FS58" s="21">
        <f>EXP(-LN(2)/2)*FS57+(1-EXP(-LN(2)/2))/(LN(2)/2)*FM58*FP58*VLOOKUP('Données projet'!$B$16,Paramètres!$A$1:$I$89,3,0)*0.475*44/12</f>
        <v>0</v>
      </c>
      <c r="FT58" s="22">
        <f t="shared" si="24"/>
        <v>48.69494441868563</v>
      </c>
      <c r="FU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>
        <f>VLOOKUP(A58,'Données projet'!$A$243:$I$263,2,0)</f>
        <v>277.67</v>
      </c>
      <c r="FX58" s="12">
        <f>VLOOKUP(A58,'Données projet'!$A$243:$I$263,9,0)</f>
        <v>12.271428571428576</v>
      </c>
      <c r="FY58" s="12">
        <f t="array" ref="FY58">INDEX(FX:FX,MIN(IF(ISNUMBER(FX58:FX254),ROW(FX58:FX254),"")))</f>
        <v>12.271428571428576</v>
      </c>
      <c r="FZ58" s="12">
        <f>IF('Données projet'!$A$244&gt;35,FZ57+FY58-GH57,IF(A58&lt;'Données projet'!$A$244,$FW$205^A58,IF(A58='Données projet'!$A$244,'Données projet'!$B$244,FZ57+FY58-GH57)))</f>
        <v>277.67000000000013</v>
      </c>
      <c r="GA58" s="17">
        <f>FZ58*VLOOKUP('Données projet'!$B$17,Paramètres!$A$1:$I$89,3,0)*VLOOKUP('Données projet'!$B$17,Paramètres!$A$1:$I$89,5,0)</f>
        <v>264.23077200000012</v>
      </c>
      <c r="GB58" s="13">
        <f t="shared" si="49"/>
        <v>63.62335863431295</v>
      </c>
      <c r="GC58" s="20">
        <f t="shared" si="25"/>
        <v>571.01261085476187</v>
      </c>
      <c r="GD58" s="59">
        <f t="shared" si="26"/>
        <v>829.33506633523325</v>
      </c>
      <c r="GE58" s="59">
        <f ca="1">AVERAGE(OFFSET($GD$3,0,0,'Données projet'!$E$17+1,1))-AVERAGE(OFFSET($H$3,0,0,'Données projet'!$E$17+1,1))</f>
        <v>592.58528889137358</v>
      </c>
      <c r="GF58" s="59">
        <f t="shared" si="50"/>
        <v>311.31528020403709</v>
      </c>
      <c r="GG58" s="15">
        <f>IF(ISNA(VLOOKUP(A58,'Données projet'!$A$243:$I$263,3,0)),0,VLOOKUP(A58,'Données projet'!$A$243:$I$263,3,0))</f>
        <v>4</v>
      </c>
      <c r="GH58" s="15">
        <f>IF(ISNA(VLOOKUP(A58,'Données projet'!$A$243:$I$263,4,0)),0,VLOOKUP(A58,'Données projet'!$A$243:$I$263,4,0))</f>
        <v>58.24</v>
      </c>
      <c r="GI58" s="16">
        <f>IF(ISNA(VLOOKUP(A58,'Données projet'!$A$243:$I$263,5,0)),0%,VLOOKUP(A58,'Données projet'!$A$243:$I$263,5,0)*VLOOKUP('Données projet'!$B$17,Paramètres!$A$1:$I$89,7,0))</f>
        <v>0.43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>
        <f>EXP(-LN(2)/35)*GL57+(1-EXP(-LN(2)/35))/(LN(2)/35)*GH58*GI58*VLOOKUP('Données projet'!$B$17,Paramètres!$A$1:$I$89,3,0)*0.475*44/12</f>
        <v>87.84633583757028</v>
      </c>
      <c r="GM58" s="21">
        <f>EXP(-LN(2)/25)*GM57+(1-EXP(-LN(2)/25))/(LN(2)/25)*Calculateur!GH58*Calculateur!GJ58*VLOOKUP('Données projet'!$B$17,Paramètres!$A$1:$I$89,3,0)*0.475*44/12</f>
        <v>0</v>
      </c>
      <c r="GN58" s="21">
        <f>EXP(-LN(2)/2)*GN57+(1-EXP(-LN(2)/2))/(LN(2)/2)*GH58*GK58*VLOOKUP('Données projet'!$B$17,Paramètres!$A$1:$I$89,3,0)*0.475*44/12</f>
        <v>0</v>
      </c>
      <c r="GO58" s="21">
        <f t="shared" si="27"/>
        <v>87.84633583757028</v>
      </c>
      <c r="GP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9.375</v>
      </c>
      <c r="GU58" s="12">
        <f>IF('Données projet'!$A$270&gt;35,GU57+GT58-HC57,IF(A58&lt;'Données projet'!$A$270,$GR$205^A58,IF(A58='Données projet'!$A$270,'Données projet'!$B$270,GU57+GT58-HC57)))</f>
        <v>250.12499999999989</v>
      </c>
      <c r="GV58" s="17">
        <f>GU58*VLOOKUP('Données projet'!$B$18,Paramètres!$A$1:$I$89,3,0)*VLOOKUP('Données projet'!$B$18,Paramètres!$A$1:$I$89,5,0)</f>
        <v>195.09749999999991</v>
      </c>
      <c r="GW58" s="13">
        <f t="shared" si="51"/>
        <v>48.66519532492579</v>
      </c>
      <c r="GX58" s="20">
        <f t="shared" si="28"/>
        <v>424.55336102424553</v>
      </c>
      <c r="GY58" s="59">
        <f t="shared" si="29"/>
        <v>682.87581650471691</v>
      </c>
      <c r="GZ58" s="59">
        <f ca="1">AVERAGE(OFFSET($GY$3,0,0,'Données projet'!$E$18+1,1))-AVERAGE(OFFSET($H$3,0,0,'Données projet'!$E$18+1,1))</f>
        <v>308.85018589589453</v>
      </c>
      <c r="HA58" s="59">
        <f t="shared" si="52"/>
        <v>302.59481222418219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>
        <f>EXP(-LN(2)/35)*HG57+(1-EXP(-LN(2)/35))/(LN(2)/35)*HC58*HD58*VLOOKUP('Données projet'!$B$18,Paramètres!$A$1:$I$89,3,0)*0.475*44/12</f>
        <v>47.236748118118015</v>
      </c>
      <c r="HH58" s="21">
        <f>EXP(-LN(2)/25)*HH57+(1-EXP(-LN(2)/25))/(LN(2)/25)*Calculateur!HC58*Calculateur!HE58*VLOOKUP('Données projet'!$B$18,Paramètres!$A$1:$I$89,3,0)*0.475*44/12</f>
        <v>0</v>
      </c>
      <c r="HI58" s="21">
        <f>EXP(-LN(2)/2)*HI57+(1-EXP(-LN(2)/2))/(LN(2)/2)*HC58*HF58*VLOOKUP('Données projet'!$B$18,Paramètres!$A$1:$I$89,3,0)*0.475*44/12</f>
        <v>0</v>
      </c>
      <c r="HJ58" s="22">
        <f t="shared" si="30"/>
        <v>47.236748118118015</v>
      </c>
    </row>
    <row r="59" spans="1:218" x14ac:dyDescent="0.35">
      <c r="A59" s="10">
        <f t="shared" si="31"/>
        <v>56</v>
      </c>
      <c r="B59" s="72">
        <f>'Scénario référence'!$B$16*5+'Scénario référence'!$B$17*0+'Scénario référence'!$B$18*5</f>
        <v>5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66">
        <f t="shared" si="1"/>
        <v>183.33333333333334</v>
      </c>
      <c r="I59" s="6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11.644999999999996</v>
      </c>
      <c r="N59" s="13">
        <f>IF('Données projet'!$A$36&gt;35,N58+M59-V58,IF(A59&lt;'Données projet'!$A$36,$K$205^A59,IF(A59='Données projet'!$A$36,'Données projet'!$B$36,N58+M59-V58)))</f>
        <v>231.0750000000001</v>
      </c>
      <c r="O59" s="13">
        <f>N59*VLOOKUP('Données projet'!$B$9,Paramètres!$A$1:$I$89,3,0)*VLOOKUP('Données projet'!$B$9,Paramètres!$A$1:$I$89,5,0)</f>
        <v>209.07666000000006</v>
      </c>
      <c r="P59" s="13">
        <f t="shared" si="33"/>
        <v>51.733760959596957</v>
      </c>
      <c r="Q59" s="20">
        <f t="shared" si="53"/>
        <v>454.24481650463144</v>
      </c>
      <c r="R59" s="59">
        <f t="shared" si="0"/>
        <v>713.17463244325313</v>
      </c>
      <c r="S59" s="59">
        <f ca="1">AVERAGE(OFFSET($R$3,0,0,'Données projet'!$E$9+1,1))-AVERAGE(OFFSET($H$3,0,0,'Données projet'!$E$9+1,1))</f>
        <v>567.42635821507474</v>
      </c>
      <c r="T59" s="59">
        <f t="shared" si="34"/>
        <v>299.04735309930152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81.888129849518734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0</v>
      </c>
      <c r="AC59" s="22">
        <f t="shared" si="3"/>
        <v>81.888129849518734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11.644999999999996</v>
      </c>
      <c r="AI59" s="13">
        <f>IF('Données projet'!$A$62&gt;35,AI58+AH59-AQ58,IF(A59&lt;'Données projet'!$A$62,$AF$205^A59,IF(A59='Données projet'!$A$62,'Données projet'!$B$62,AI58+AH59-AQ58)))</f>
        <v>231.0750000000001</v>
      </c>
      <c r="AJ59" s="13">
        <f>AI59*VLOOKUP('Données projet'!$B$10,Paramètres!$A$1:$I$89,3,0)*VLOOKUP('Données projet'!$B$10,Paramètres!$A$1:$I$89,5,0)</f>
        <v>234.31005000000013</v>
      </c>
      <c r="AK59" s="13">
        <f t="shared" si="35"/>
        <v>57.21360573376716</v>
      </c>
      <c r="AL59" s="20">
        <f t="shared" si="4"/>
        <v>507.73703373631133</v>
      </c>
      <c r="AM59" s="59">
        <f t="shared" si="5"/>
        <v>766.66684967493302</v>
      </c>
      <c r="AN59" s="59">
        <f ca="1">AVERAGE(OFFSET($AM$3,0,0,'Données projet'!$E$10+1,1))-AVERAGE(OFFSET($H$3,0,0,'Données projet'!$E$10+1,1))</f>
        <v>626.09203985591455</v>
      </c>
      <c r="AO59" s="59">
        <f t="shared" si="36"/>
        <v>327.65191296575199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91.771180003770993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91.771180003770993</v>
      </c>
      <c r="AY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10.8</v>
      </c>
      <c r="BD59" s="12">
        <f>IF('Données projet'!$A$88&gt;35,BD58+BC59-BL58,IF(A59&lt;'Données projet'!$A$88,$BA$205^A59,IF(A59='Données projet'!$A$88,'Données projet'!$B$88,BD58+BC59-BL58)))</f>
        <v>226.80000000000004</v>
      </c>
      <c r="BE59" s="13">
        <f>BD59*VLOOKUP('Données projet'!$B$11,Paramètres!$A$1:$I$89,3,0)*VLOOKUP('Données projet'!$B$11,Paramètres!$A$1:$I$89,5,0)</f>
        <v>194.59440000000006</v>
      </c>
      <c r="BF59" s="13">
        <f t="shared" si="37"/>
        <v>48.554292648263456</v>
      </c>
      <c r="BG59" s="20">
        <f t="shared" si="7"/>
        <v>423.48397302905897</v>
      </c>
      <c r="BH59" s="59">
        <f t="shared" si="8"/>
        <v>682.41378896768072</v>
      </c>
      <c r="BI59" s="59">
        <f ca="1">AVERAGE(OFFSET($BH$3,0,0,'Données projet'!$E$11+1,1))-AVERAGE(OFFSET($H$3,0,0,'Données projet'!$E$11+1,1))</f>
        <v>481.23392184981651</v>
      </c>
      <c r="BJ59" s="59">
        <f t="shared" si="38"/>
        <v>275.88160405468193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57.158153867607112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57.158153867607112</v>
      </c>
      <c r="BT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16.366250000000001</v>
      </c>
      <c r="BY59" s="12">
        <f>IF('Données projet'!$A$114&gt;35,BY58+BX59-CG58,IF(A59&lt;'Données projet'!$A$114,$BV$205^A59,IF(A59='Données projet'!$A$114,'Données projet'!$B$114,BY58+BX59-CG58)))</f>
        <v>367.37749999999966</v>
      </c>
      <c r="BZ59" s="13">
        <f>BY59*VLOOKUP('Données projet'!$B$12,Paramètres!$A$1:$I$89,3,0)*VLOOKUP('Données projet'!$B$12,Paramètres!$A$1:$I$89,5,0)</f>
        <v>171.93266999999986</v>
      </c>
      <c r="CA59" s="13">
        <f t="shared" si="39"/>
        <v>43.522592178230106</v>
      </c>
      <c r="CB59" s="20">
        <f t="shared" si="10"/>
        <v>375.25124829375051</v>
      </c>
      <c r="CC59" s="59">
        <f t="shared" si="11"/>
        <v>634.18106423237225</v>
      </c>
      <c r="CD59" s="59">
        <f ca="1">AVERAGE(OFFSET($CC$3,0,0,'Données projet'!$E$12+1,1))-AVERAGE(OFFSET($H$3,0,0,'Données projet'!$E$12+1,1))</f>
        <v>331.86732359395467</v>
      </c>
      <c r="CE59" s="59">
        <f t="shared" si="40"/>
        <v>208.64489375183106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59.571657371048062</v>
      </c>
      <c r="CL59" s="21">
        <f>EXP(-LN(2)/25)*CL58+(1-EXP(-LN(2)/25))/(LN(2)/25)*Calculateur!CG59*Calculateur!CI59*VLOOKUP('Données projet'!$B$12,Paramètres!$A$1:$I$89,3,0)*0.475*44/12</f>
        <v>0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59.571657371048062</v>
      </c>
      <c r="CO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6.2</v>
      </c>
      <c r="CT59" s="12">
        <f>IF('Données projet'!$A$140&gt;35,CT58+CS59-DB58,IF(A59&lt;'Données projet'!$A$140,$CQ$205^A59,IF(A59='Données projet'!$A$140,'Données projet'!$B$140,CT58+CS59-DB58)))</f>
        <v>269.19999999999993</v>
      </c>
      <c r="CU59" s="17">
        <f>CT59*VLOOKUP('Données projet'!$B$13,Paramètres!$A$1:$I$89,3,0)*VLOOKUP('Données projet'!$B$13,Paramètres!$A$1:$I$89,5,0)</f>
        <v>197.37743999999995</v>
      </c>
      <c r="CV59" s="13">
        <f t="shared" si="41"/>
        <v>49.167366395757924</v>
      </c>
      <c r="CW59" s="20">
        <f t="shared" si="13"/>
        <v>429.39887113927824</v>
      </c>
      <c r="CX59" s="59">
        <f t="shared" si="14"/>
        <v>688.32868707789999</v>
      </c>
      <c r="CY59" s="59">
        <f ca="1">AVERAGE(OFFSET($CX$3,0,0,'Données projet'!$E$13+1,1))-AVERAGE(OFFSET($H$3,0,0,'Données projet'!$E$13+1,1))</f>
        <v>352.45777291109863</v>
      </c>
      <c r="CZ59" s="59">
        <f t="shared" si="42"/>
        <v>340.92165104349181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35.008227108377746</v>
      </c>
      <c r="DG59" s="21">
        <f>EXP(-LN(2)/25)*DG58+(1-EXP(-LN(2)/25))/(LN(2)/25)*Calculateur!DB59*Calculateur!DD59*VLOOKUP('Données projet'!$B$13,Paramètres!$A$1:$I$89,3,0)*0.475*44/12</f>
        <v>0</v>
      </c>
      <c r="DH59" s="21">
        <f>EXP(-LN(2)/2)*DH58+(1-EXP(-LN(2)/2))/(LN(2)/2)*DB59*DE59*VLOOKUP('Données projet'!$B$13,Paramètres!$A$1:$I$89,3,0)*0.475*44/12</f>
        <v>0</v>
      </c>
      <c r="DI59" s="22">
        <f t="shared" si="15"/>
        <v>35.008227108377746</v>
      </c>
      <c r="DJ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11.644999999999996</v>
      </c>
      <c r="DO59" s="12">
        <f>IF('Données projet'!$A$166&gt;35,DO58+DN59-DW58,IF(A59&lt;'Données projet'!$A$166,$DL$205^A59,IF(A59='Données projet'!$A$166,'Données projet'!$B$166,DO58+DN59-DW58)))</f>
        <v>231.0750000000001</v>
      </c>
      <c r="DP59" s="17">
        <f>DO59*VLOOKUP('Données projet'!$B$14,Paramètres!$A$1:$I$89,3,0)*VLOOKUP('Données projet'!$B$14,Paramètres!$A$1:$I$89,5,0)</f>
        <v>155.00511000000009</v>
      </c>
      <c r="DQ59" s="13">
        <f t="shared" si="43"/>
        <v>39.71383291408609</v>
      </c>
      <c r="DR59" s="20">
        <f t="shared" si="16"/>
        <v>339.13549224203337</v>
      </c>
      <c r="DS59" s="59">
        <f t="shared" si="17"/>
        <v>598.06530818065517</v>
      </c>
      <c r="DT59" s="59">
        <f ca="1">AVERAGE(OFFSET($DS$3,0,0,'Données projet'!$E$14+1,1))-AVERAGE(OFFSET($H$3,0,0,'Données projet'!$E$14+1,1))</f>
        <v>441.20130048888439</v>
      </c>
      <c r="DU59" s="59">
        <f t="shared" si="44"/>
        <v>237.47732532183946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74.828808310767116</v>
      </c>
      <c r="EB59" s="21">
        <f>EXP(-LN(2)/25)*EB58+(1-EXP(-LN(2)/25))/(LN(2)/25)*Calculateur!DW59*Calculateur!DY59*VLOOKUP('Données projet'!$B$14,Paramètres!$A$1:$I$89,3,0)*0.475*44/12</f>
        <v>0</v>
      </c>
      <c r="EC59" s="21">
        <f>EXP(-LN(2)/2)*EC58+(1-EXP(-LN(2)/2))/(LN(2)/2)*DW59*DZ59*VLOOKUP('Données projet'!$B$14,Paramètres!$A$1:$I$89,3,0)*0.475*44/12</f>
        <v>0</v>
      </c>
      <c r="ED59" s="22">
        <f t="shared" si="18"/>
        <v>74.828808310767116</v>
      </c>
      <c r="EE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6.2</v>
      </c>
      <c r="EJ59" s="12">
        <f>IF('Données projet'!$A$192&gt;35,EJ58+EI59-ER58,IF(A59&lt;'Données projet'!$A$192,$EG$205^A59,IF(A59='Données projet'!$A$192,'Données projet'!$B$192,EJ58+EI59-ER58)))</f>
        <v>269.19999999999993</v>
      </c>
      <c r="EK59" s="17">
        <f>EJ59*VLOOKUP('Données projet'!$B$15,Paramètres!$A$1:$I$89,3,0)*VLOOKUP('Données projet'!$B$15,Paramètres!$A$1:$I$89,5,0)</f>
        <v>214.17551999999998</v>
      </c>
      <c r="EL59" s="13">
        <f t="shared" si="45"/>
        <v>52.846993696165399</v>
      </c>
      <c r="EM59" s="20">
        <f t="shared" si="19"/>
        <v>465.06421135415468</v>
      </c>
      <c r="EN59" s="59">
        <f t="shared" si="20"/>
        <v>723.99402729277642</v>
      </c>
      <c r="EO59" s="59">
        <f ca="1">AVERAGE(OFFSET($EN$3,0,0,'Données projet'!$E$15+1,1))-AVERAGE(OFFSET($H$3,0,0,'Données projet'!$E$15+1,1))</f>
        <v>377.27600411578322</v>
      </c>
      <c r="EP59" s="59">
        <f t="shared" si="46"/>
        <v>364.58250627635425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>
        <f>EXP(-LN(2)/35)*EV58+(1-EXP(-LN(2)/35))/(LN(2)/35)*ER59*ES59*VLOOKUP('Données projet'!$B$15,Paramètres!$A$1:$I$89,3,0)*0.475*44/12</f>
        <v>46.821988062318198</v>
      </c>
      <c r="EW59" s="21">
        <f>EXP(-LN(2)/25)*EW58+(1-EXP(-LN(2)/25))/(LN(2)/25)*Calculateur!ER59*Calculateur!ET59*VLOOKUP('Données projet'!$B$15,Paramètres!$A$1:$I$89,3,0)*0.475*44/12</f>
        <v>0</v>
      </c>
      <c r="EX59" s="21">
        <f>EXP(-LN(2)/2)*EX58+(1-EXP(-LN(2)/2))/(LN(2)/2)*ER59*EU59*VLOOKUP('Données projet'!$B$15,Paramètres!$A$1:$I$89,3,0)*0.475*44/12</f>
        <v>0</v>
      </c>
      <c r="EY59" s="22">
        <f t="shared" si="21"/>
        <v>46.821988062318198</v>
      </c>
      <c r="EZ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6.2</v>
      </c>
      <c r="FE59" s="12">
        <f>IF('Données projet'!$A$218&gt;35,FE58+FD59-FM58,IF(A59&lt;'Données projet'!$A$218,$FB$205^A59,IF(A59='Données projet'!$A$218,'Données projet'!$B$218,FE58+FD59-FM58)))</f>
        <v>269.19999999999993</v>
      </c>
      <c r="FF59" s="17">
        <f>FE59*VLOOKUP('Données projet'!$B$16,Paramètres!$A$1:$I$89,3,0)*VLOOKUP('Données projet'!$B$16,Paramètres!$A$1:$I$89,5,0)</f>
        <v>218.37503999999998</v>
      </c>
      <c r="FG59" s="13">
        <f t="shared" si="47"/>
        <v>53.761556452013281</v>
      </c>
      <c r="FH59" s="20">
        <f t="shared" si="22"/>
        <v>473.97123882058969</v>
      </c>
      <c r="FI59" s="59">
        <f t="shared" si="23"/>
        <v>732.90105475921143</v>
      </c>
      <c r="FJ59" s="59">
        <f ca="1">AVERAGE(OFFSET($FI$3,0,0,'Données projet'!$E$16+1,1))-AVERAGE(OFFSET($H$3,0,0,'Données projet'!$E$16+1,1))</f>
        <v>383.47399633251354</v>
      </c>
      <c r="FK59" s="59">
        <f t="shared" si="48"/>
        <v>370.49129421395628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>
        <f>EXP(-LN(2)/35)*FQ58+(1-EXP(-LN(2)/35))/(LN(2)/35)*FM59*FN59*VLOOKUP('Données projet'!$B$16,Paramètres!$A$1:$I$89,3,0)*0.475*44/12</f>
        <v>47.740066259618573</v>
      </c>
      <c r="FR59" s="21">
        <f>EXP(-LN(2)/25)*FR58+(1-EXP(-LN(2)/25))/(LN(2)/25)*Calculateur!FM59*Calculateur!FO59*VLOOKUP('Données projet'!$B$16,Paramètres!$A$1:$I$89,3,0)*0.475*44/12</f>
        <v>0</v>
      </c>
      <c r="FS59" s="21">
        <f>EXP(-LN(2)/2)*FS58+(1-EXP(-LN(2)/2))/(LN(2)/2)*FM59*FP59*VLOOKUP('Données projet'!$B$16,Paramètres!$A$1:$I$89,3,0)*0.475*44/12</f>
        <v>0</v>
      </c>
      <c r="FT59" s="22">
        <f t="shared" si="24"/>
        <v>47.740066259618573</v>
      </c>
      <c r="FU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11.644999999999996</v>
      </c>
      <c r="FZ59" s="12">
        <f>IF('Données projet'!$A$244&gt;35,FZ58+FY59-GH58,IF(A59&lt;'Données projet'!$A$244,$FW$205^A59,IF(A59='Données projet'!$A$244,'Données projet'!$B$244,FZ58+FY59-GH58)))</f>
        <v>231.0750000000001</v>
      </c>
      <c r="GA59" s="17">
        <f>FZ59*VLOOKUP('Données projet'!$B$17,Paramètres!$A$1:$I$89,3,0)*VLOOKUP('Données projet'!$B$17,Paramètres!$A$1:$I$89,5,0)</f>
        <v>219.8909700000001</v>
      </c>
      <c r="GB59" s="13">
        <f t="shared" si="49"/>
        <v>54.091187905160375</v>
      </c>
      <c r="GC59" s="20">
        <f t="shared" si="25"/>
        <v>477.18559168482119</v>
      </c>
      <c r="GD59" s="59">
        <f t="shared" si="26"/>
        <v>736.11540762344293</v>
      </c>
      <c r="GE59" s="59">
        <f ca="1">AVERAGE(OFFSET($GD$3,0,0,'Données projet'!$E$17+1,1))-AVERAGE(OFFSET($H$3,0,0,'Données projet'!$E$17+1,1))</f>
        <v>592.58528889137358</v>
      </c>
      <c r="GF59" s="59">
        <f t="shared" si="50"/>
        <v>311.31528020403709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>
        <f>EXP(-LN(2)/35)*GL58+(1-EXP(-LN(2)/35))/(LN(2)/35)*GH59*GI59*VLOOKUP('Données projet'!$B$17,Paramètres!$A$1:$I$89,3,0)*0.475*44/12</f>
        <v>86.12372277276971</v>
      </c>
      <c r="GM59" s="21">
        <f>EXP(-LN(2)/25)*GM58+(1-EXP(-LN(2)/25))/(LN(2)/25)*Calculateur!GH59*Calculateur!GJ59*VLOOKUP('Données projet'!$B$17,Paramètres!$A$1:$I$89,3,0)*0.475*44/12</f>
        <v>0</v>
      </c>
      <c r="GN59" s="21">
        <f>EXP(-LN(2)/2)*GN58+(1-EXP(-LN(2)/2))/(LN(2)/2)*GH59*GK59*VLOOKUP('Données projet'!$B$17,Paramètres!$A$1:$I$89,3,0)*0.475*44/12</f>
        <v>0</v>
      </c>
      <c r="GO59" s="21">
        <f t="shared" si="27"/>
        <v>86.12372277276971</v>
      </c>
      <c r="GP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9.375</v>
      </c>
      <c r="GU59" s="12">
        <f>IF('Données projet'!$A$270&gt;35,GU58+GT59-HC58,IF(A59&lt;'Données projet'!$A$270,$GR$205^A59,IF(A59='Données projet'!$A$270,'Données projet'!$B$270,GU58+GT59-HC58)))</f>
        <v>259.49999999999989</v>
      </c>
      <c r="GV59" s="17">
        <f>GU59*VLOOKUP('Données projet'!$B$18,Paramètres!$A$1:$I$89,3,0)*VLOOKUP('Données projet'!$B$18,Paramètres!$A$1:$I$89,5,0)</f>
        <v>202.40999999999991</v>
      </c>
      <c r="GW59" s="13">
        <f t="shared" si="51"/>
        <v>50.273442991661817</v>
      </c>
      <c r="GX59" s="20">
        <f t="shared" si="28"/>
        <v>440.09032987714414</v>
      </c>
      <c r="GY59" s="59">
        <f t="shared" si="29"/>
        <v>699.02014581576589</v>
      </c>
      <c r="GZ59" s="59">
        <f ca="1">AVERAGE(OFFSET($GY$3,0,0,'Données projet'!$E$18+1,1))-AVERAGE(OFFSET($H$3,0,0,'Données projet'!$E$18+1,1))</f>
        <v>308.85018589589453</v>
      </c>
      <c r="HA59" s="59">
        <f t="shared" si="52"/>
        <v>302.59481222418219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>
        <f>EXP(-LN(2)/35)*HG58+(1-EXP(-LN(2)/35))/(LN(2)/35)*HC59*HD59*VLOOKUP('Données projet'!$B$18,Paramètres!$A$1:$I$89,3,0)*0.475*44/12</f>
        <v>46.310464299093169</v>
      </c>
      <c r="HH59" s="21">
        <f>EXP(-LN(2)/25)*HH58+(1-EXP(-LN(2)/25))/(LN(2)/25)*Calculateur!HC59*Calculateur!HE59*VLOOKUP('Données projet'!$B$18,Paramètres!$A$1:$I$89,3,0)*0.475*44/12</f>
        <v>0</v>
      </c>
      <c r="HI59" s="21">
        <f>EXP(-LN(2)/2)*HI58+(1-EXP(-LN(2)/2))/(LN(2)/2)*HC59*HF59*VLOOKUP('Données projet'!$B$18,Paramètres!$A$1:$I$89,3,0)*0.475*44/12</f>
        <v>0</v>
      </c>
      <c r="HJ59" s="22">
        <f t="shared" si="30"/>
        <v>46.310464299093169</v>
      </c>
    </row>
    <row r="60" spans="1:218" x14ac:dyDescent="0.35">
      <c r="A60" s="10">
        <f t="shared" si="31"/>
        <v>57</v>
      </c>
      <c r="B60" s="72">
        <f>'Scénario référence'!$B$16*5+'Scénario référence'!$B$17*0+'Scénario référence'!$B$18*5</f>
        <v>5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66">
        <f t="shared" si="1"/>
        <v>183.33333333333334</v>
      </c>
      <c r="I60" s="6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11.644999999999996</v>
      </c>
      <c r="N60" s="13">
        <f>IF('Données projet'!$A$36&gt;35,N59+M60-V59,IF(A60&lt;'Données projet'!$A$36,$K$205^A60,IF(A60='Données projet'!$A$36,'Données projet'!$B$36,N59+M60-V59)))</f>
        <v>242.72000000000008</v>
      </c>
      <c r="O60" s="13">
        <f>N60*VLOOKUP('Données projet'!$B$9,Paramètres!$A$1:$I$89,3,0)*VLOOKUP('Données projet'!$B$9,Paramètres!$A$1:$I$89,5,0)</f>
        <v>219.61305600000006</v>
      </c>
      <c r="P60" s="13">
        <f t="shared" si="33"/>
        <v>54.030776739498059</v>
      </c>
      <c r="Q60" s="20">
        <f t="shared" si="53"/>
        <v>476.59634202129263</v>
      </c>
      <c r="R60" s="59">
        <f t="shared" si="0"/>
        <v>736.12298207197034</v>
      </c>
      <c r="S60" s="59">
        <f ca="1">AVERAGE(OFFSET($R$3,0,0,'Données projet'!$E$9+1,1))-AVERAGE(OFFSET($H$3,0,0,'Données projet'!$E$9+1,1))</f>
        <v>567.42635821507474</v>
      </c>
      <c r="T60" s="59">
        <f t="shared" si="34"/>
        <v>299.04735309930152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80.282353569997042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0</v>
      </c>
      <c r="AC60" s="22">
        <f t="shared" si="3"/>
        <v>80.282353569997042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11.644999999999996</v>
      </c>
      <c r="AI60" s="13">
        <f>IF('Données projet'!$A$62&gt;35,AI59+AH60-AQ59,IF(A60&lt;'Données projet'!$A$62,$AF$205^A60,IF(A60='Données projet'!$A$62,'Données projet'!$B$62,AI59+AH60-AQ59)))</f>
        <v>242.72000000000008</v>
      </c>
      <c r="AJ60" s="13">
        <f>AI60*VLOOKUP('Données projet'!$B$10,Paramètres!$A$1:$I$89,3,0)*VLOOKUP('Données projet'!$B$10,Paramètres!$A$1:$I$89,5,0)</f>
        <v>246.11808000000011</v>
      </c>
      <c r="AK60" s="13">
        <f t="shared" si="35"/>
        <v>59.753930518932897</v>
      </c>
      <c r="AL60" s="20">
        <f t="shared" si="4"/>
        <v>532.72708498714167</v>
      </c>
      <c r="AM60" s="59">
        <f t="shared" si="5"/>
        <v>792.25372503781932</v>
      </c>
      <c r="AN60" s="59">
        <f ca="1">AVERAGE(OFFSET($AM$3,0,0,'Données projet'!$E$10+1,1))-AVERAGE(OFFSET($H$3,0,0,'Données projet'!$E$10+1,1))</f>
        <v>626.09203985591455</v>
      </c>
      <c r="AO60" s="59">
        <f t="shared" si="36"/>
        <v>327.65191296575199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89.971603138789789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89.971603138789789</v>
      </c>
      <c r="AY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10.8</v>
      </c>
      <c r="BD60" s="12">
        <f>IF('Données projet'!$A$88&gt;35,BD59+BC60-BL59,IF(A60&lt;'Données projet'!$A$88,$BA$205^A60,IF(A60='Données projet'!$A$88,'Données projet'!$B$88,BD59+BC60-BL59)))</f>
        <v>237.60000000000005</v>
      </c>
      <c r="BE60" s="13">
        <f>BD60*VLOOKUP('Données projet'!$B$11,Paramètres!$A$1:$I$89,3,0)*VLOOKUP('Données projet'!$B$11,Paramètres!$A$1:$I$89,5,0)</f>
        <v>203.86080000000007</v>
      </c>
      <c r="BF60" s="13">
        <f t="shared" si="37"/>
        <v>50.591708220421786</v>
      </c>
      <c r="BG60" s="20">
        <f t="shared" si="7"/>
        <v>443.17145181723475</v>
      </c>
      <c r="BH60" s="59">
        <f t="shared" si="8"/>
        <v>702.69809186791247</v>
      </c>
      <c r="BI60" s="59">
        <f ca="1">AVERAGE(OFFSET($BH$3,0,0,'Données projet'!$E$11+1,1))-AVERAGE(OFFSET($H$3,0,0,'Données projet'!$E$11+1,1))</f>
        <v>481.23392184981651</v>
      </c>
      <c r="BJ60" s="59">
        <f t="shared" si="38"/>
        <v>275.88160405468193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56.037317333294759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56.037317333294759</v>
      </c>
      <c r="BT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16.366250000000001</v>
      </c>
      <c r="BY60" s="12">
        <f>IF('Données projet'!$A$114&gt;35,BY59+BX60-CG59,IF(A60&lt;'Données projet'!$A$114,$BV$205^A60,IF(A60='Données projet'!$A$114,'Données projet'!$B$114,BY59+BX60-CG59)))</f>
        <v>383.74374999999964</v>
      </c>
      <c r="BZ60" s="13">
        <f>BY60*VLOOKUP('Données projet'!$B$12,Paramètres!$A$1:$I$89,3,0)*VLOOKUP('Données projet'!$B$12,Paramètres!$A$1:$I$89,5,0)</f>
        <v>179.59207499999982</v>
      </c>
      <c r="CA60" s="13">
        <f t="shared" si="39"/>
        <v>45.231418389225027</v>
      </c>
      <c r="CB60" s="20">
        <f t="shared" si="10"/>
        <v>391.56758431956655</v>
      </c>
      <c r="CC60" s="59">
        <f t="shared" si="11"/>
        <v>651.09422437024432</v>
      </c>
      <c r="CD60" s="59">
        <f ca="1">AVERAGE(OFFSET($CC$3,0,0,'Données projet'!$E$12+1,1))-AVERAGE(OFFSET($H$3,0,0,'Données projet'!$E$12+1,1))</f>
        <v>331.86732359395467</v>
      </c>
      <c r="CE60" s="59">
        <f t="shared" si="40"/>
        <v>208.64489375183106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58.403493505125013</v>
      </c>
      <c r="CL60" s="21">
        <f>EXP(-LN(2)/25)*CL59+(1-EXP(-LN(2)/25))/(LN(2)/25)*Calculateur!CG60*Calculateur!CI60*VLOOKUP('Données projet'!$B$12,Paramètres!$A$1:$I$89,3,0)*0.475*44/12</f>
        <v>0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58.403493505125013</v>
      </c>
      <c r="CO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6.2</v>
      </c>
      <c r="CT60" s="12">
        <f>IF('Données projet'!$A$140&gt;35,CT59+CS60-DB59,IF(A60&lt;'Données projet'!$A$140,$CQ$205^A60,IF(A60='Données projet'!$A$140,'Données projet'!$B$140,CT59+CS60-DB59)))</f>
        <v>275.39999999999992</v>
      </c>
      <c r="CU60" s="17">
        <f>CT60*VLOOKUP('Données projet'!$B$13,Paramètres!$A$1:$I$89,3,0)*VLOOKUP('Données projet'!$B$13,Paramètres!$A$1:$I$89,5,0)</f>
        <v>201.92327999999995</v>
      </c>
      <c r="CV60" s="13">
        <f t="shared" si="41"/>
        <v>50.166610737265309</v>
      </c>
      <c r="CW60" s="20">
        <f t="shared" si="13"/>
        <v>439.05655970073695</v>
      </c>
      <c r="CX60" s="59">
        <f t="shared" si="14"/>
        <v>698.58319975141467</v>
      </c>
      <c r="CY60" s="59">
        <f ca="1">AVERAGE(OFFSET($CX$3,0,0,'Données projet'!$E$13+1,1))-AVERAGE(OFFSET($H$3,0,0,'Données projet'!$E$13+1,1))</f>
        <v>352.45777291109863</v>
      </c>
      <c r="CZ60" s="59">
        <f t="shared" si="42"/>
        <v>340.92165104349181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34.321737127692572</v>
      </c>
      <c r="DG60" s="21">
        <f>EXP(-LN(2)/25)*DG59+(1-EXP(-LN(2)/25))/(LN(2)/25)*Calculateur!DB60*Calculateur!DD60*VLOOKUP('Données projet'!$B$13,Paramètres!$A$1:$I$89,3,0)*0.475*44/12</f>
        <v>0</v>
      </c>
      <c r="DH60" s="21">
        <f>EXP(-LN(2)/2)*DH59+(1-EXP(-LN(2)/2))/(LN(2)/2)*DB60*DE60*VLOOKUP('Données projet'!$B$13,Paramètres!$A$1:$I$89,3,0)*0.475*44/12</f>
        <v>0</v>
      </c>
      <c r="DI60" s="22">
        <f t="shared" si="15"/>
        <v>34.321737127692572</v>
      </c>
      <c r="DJ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11.644999999999996</v>
      </c>
      <c r="DO60" s="12">
        <f>IF('Données projet'!$A$166&gt;35,DO59+DN60-DW59,IF(A60&lt;'Données projet'!$A$166,$DL$205^A60,IF(A60='Données projet'!$A$166,'Données projet'!$B$166,DO59+DN60-DW59)))</f>
        <v>242.72000000000008</v>
      </c>
      <c r="DP60" s="17">
        <f>DO60*VLOOKUP('Données projet'!$B$14,Paramètres!$A$1:$I$89,3,0)*VLOOKUP('Données projet'!$B$14,Paramètres!$A$1:$I$89,5,0)</f>
        <v>162.81657600000005</v>
      </c>
      <c r="DQ60" s="13">
        <f t="shared" si="43"/>
        <v>41.477155340136981</v>
      </c>
      <c r="DR60" s="20">
        <f t="shared" si="16"/>
        <v>355.81158208407197</v>
      </c>
      <c r="DS60" s="59">
        <f t="shared" si="17"/>
        <v>615.33822213474969</v>
      </c>
      <c r="DT60" s="59">
        <f ca="1">AVERAGE(OFFSET($DS$3,0,0,'Données projet'!$E$14+1,1))-AVERAGE(OFFSET($H$3,0,0,'Données projet'!$E$14+1,1))</f>
        <v>441.20130048888439</v>
      </c>
      <c r="DU60" s="59">
        <f t="shared" si="44"/>
        <v>237.47732532183946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73.361461020859366</v>
      </c>
      <c r="EB60" s="21">
        <f>EXP(-LN(2)/25)*EB59+(1-EXP(-LN(2)/25))/(LN(2)/25)*Calculateur!DW60*Calculateur!DY60*VLOOKUP('Données projet'!$B$14,Paramètres!$A$1:$I$89,3,0)*0.475*44/12</f>
        <v>0</v>
      </c>
      <c r="EC60" s="21">
        <f>EXP(-LN(2)/2)*EC59+(1-EXP(-LN(2)/2))/(LN(2)/2)*DW60*DZ60*VLOOKUP('Données projet'!$B$14,Paramètres!$A$1:$I$89,3,0)*0.475*44/12</f>
        <v>0</v>
      </c>
      <c r="ED60" s="22">
        <f t="shared" si="18"/>
        <v>73.361461020859366</v>
      </c>
      <c r="EE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6.2</v>
      </c>
      <c r="EJ60" s="12">
        <f>IF('Données projet'!$A$192&gt;35,EJ59+EI60-ER59,IF(A60&lt;'Données projet'!$A$192,$EG$205^A60,IF(A60='Données projet'!$A$192,'Données projet'!$B$192,EJ59+EI60-ER59)))</f>
        <v>275.39999999999992</v>
      </c>
      <c r="EK60" s="17">
        <f>EJ60*VLOOKUP('Données projet'!$B$15,Paramètres!$A$1:$I$89,3,0)*VLOOKUP('Données projet'!$B$15,Paramètres!$A$1:$I$89,5,0)</f>
        <v>219.10823999999994</v>
      </c>
      <c r="EL60" s="13">
        <f t="shared" si="45"/>
        <v>53.921020297295854</v>
      </c>
      <c r="EM60" s="20">
        <f t="shared" si="19"/>
        <v>475.52596168445672</v>
      </c>
      <c r="EN60" s="59">
        <f t="shared" si="20"/>
        <v>735.05260173513443</v>
      </c>
      <c r="EO60" s="59">
        <f ca="1">AVERAGE(OFFSET($EN$3,0,0,'Données projet'!$E$15+1,1))-AVERAGE(OFFSET($H$3,0,0,'Données projet'!$E$15+1,1))</f>
        <v>377.27600411578322</v>
      </c>
      <c r="EP60" s="59">
        <f t="shared" si="46"/>
        <v>364.58250627635425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>
        <f>EXP(-LN(2)/35)*EV59+(1-EXP(-LN(2)/35))/(LN(2)/35)*ER60*ES60*VLOOKUP('Données projet'!$B$15,Paramètres!$A$1:$I$89,3,0)*0.475*44/12</f>
        <v>45.903837435008931</v>
      </c>
      <c r="EW60" s="21">
        <f>EXP(-LN(2)/25)*EW59+(1-EXP(-LN(2)/25))/(LN(2)/25)*Calculateur!ER60*Calculateur!ET60*VLOOKUP('Données projet'!$B$15,Paramètres!$A$1:$I$89,3,0)*0.475*44/12</f>
        <v>0</v>
      </c>
      <c r="EX60" s="21">
        <f>EXP(-LN(2)/2)*EX59+(1-EXP(-LN(2)/2))/(LN(2)/2)*ER60*EU60*VLOOKUP('Données projet'!$B$15,Paramètres!$A$1:$I$89,3,0)*0.475*44/12</f>
        <v>0</v>
      </c>
      <c r="EY60" s="22">
        <f t="shared" si="21"/>
        <v>45.903837435008931</v>
      </c>
      <c r="EZ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6.2</v>
      </c>
      <c r="FE60" s="12">
        <f>IF('Données projet'!$A$218&gt;35,FE59+FD60-FM59,IF(A60&lt;'Données projet'!$A$218,$FB$205^A60,IF(A60='Données projet'!$A$218,'Données projet'!$B$218,FE59+FD60-FM59)))</f>
        <v>275.39999999999992</v>
      </c>
      <c r="FF60" s="17">
        <f>FE60*VLOOKUP('Données projet'!$B$16,Paramètres!$A$1:$I$89,3,0)*VLOOKUP('Données projet'!$B$16,Paramètres!$A$1:$I$89,5,0)</f>
        <v>223.40447999999995</v>
      </c>
      <c r="FG60" s="13">
        <f t="shared" si="47"/>
        <v>54.854170008795911</v>
      </c>
      <c r="FH60" s="20">
        <f t="shared" si="22"/>
        <v>484.63381543198619</v>
      </c>
      <c r="FI60" s="59">
        <f t="shared" si="23"/>
        <v>744.16045548266391</v>
      </c>
      <c r="FJ60" s="59">
        <f ca="1">AVERAGE(OFFSET($FI$3,0,0,'Données projet'!$E$16+1,1))-AVERAGE(OFFSET($H$3,0,0,'Données projet'!$E$16+1,1))</f>
        <v>383.47399633251354</v>
      </c>
      <c r="FK60" s="59">
        <f t="shared" si="48"/>
        <v>370.49129421395628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>
        <f>EXP(-LN(2)/35)*FQ59+(1-EXP(-LN(2)/35))/(LN(2)/35)*FM60*FN60*VLOOKUP('Données projet'!$B$16,Paramètres!$A$1:$I$89,3,0)*0.475*44/12</f>
        <v>46.803912678832653</v>
      </c>
      <c r="FR60" s="21">
        <f>EXP(-LN(2)/25)*FR59+(1-EXP(-LN(2)/25))/(LN(2)/25)*Calculateur!FM60*Calculateur!FO60*VLOOKUP('Données projet'!$B$16,Paramètres!$A$1:$I$89,3,0)*0.475*44/12</f>
        <v>0</v>
      </c>
      <c r="FS60" s="21">
        <f>EXP(-LN(2)/2)*FS59+(1-EXP(-LN(2)/2))/(LN(2)/2)*FM60*FP60*VLOOKUP('Données projet'!$B$16,Paramètres!$A$1:$I$89,3,0)*0.475*44/12</f>
        <v>0</v>
      </c>
      <c r="FT60" s="22">
        <f t="shared" si="24"/>
        <v>46.803912678832653</v>
      </c>
      <c r="FU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11.644999999999996</v>
      </c>
      <c r="FZ60" s="12">
        <f>IF('Données projet'!$A$244&gt;35,FZ59+FY60-GH59,IF(A60&lt;'Données projet'!$A$244,$FW$205^A60,IF(A60='Données projet'!$A$244,'Données projet'!$B$244,FZ59+FY60-GH59)))</f>
        <v>242.72000000000008</v>
      </c>
      <c r="GA60" s="17">
        <f>FZ60*VLOOKUP('Données projet'!$B$17,Paramètres!$A$1:$I$89,3,0)*VLOOKUP('Données projet'!$B$17,Paramètres!$A$1:$I$89,5,0)</f>
        <v>230.97235200000011</v>
      </c>
      <c r="GB60" s="13">
        <f t="shared" si="49"/>
        <v>56.492875118057718</v>
      </c>
      <c r="GC60" s="20">
        <f t="shared" si="25"/>
        <v>500.66860389728407</v>
      </c>
      <c r="GD60" s="59">
        <f t="shared" si="26"/>
        <v>760.19524394796179</v>
      </c>
      <c r="GE60" s="59">
        <f ca="1">AVERAGE(OFFSET($GD$3,0,0,'Données projet'!$E$17+1,1))-AVERAGE(OFFSET($H$3,0,0,'Données projet'!$E$17+1,1))</f>
        <v>592.58528889137358</v>
      </c>
      <c r="GF60" s="59">
        <f t="shared" si="50"/>
        <v>311.31528020403709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>
        <f>EXP(-LN(2)/35)*GL59+(1-EXP(-LN(2)/35))/(LN(2)/35)*GH60*GI60*VLOOKUP('Données projet'!$B$17,Paramètres!$A$1:$I$89,3,0)*0.475*44/12</f>
        <v>84.434889099479648</v>
      </c>
      <c r="GM60" s="21">
        <f>EXP(-LN(2)/25)*GM59+(1-EXP(-LN(2)/25))/(LN(2)/25)*Calculateur!GH60*Calculateur!GJ60*VLOOKUP('Données projet'!$B$17,Paramètres!$A$1:$I$89,3,0)*0.475*44/12</f>
        <v>0</v>
      </c>
      <c r="GN60" s="21">
        <f>EXP(-LN(2)/2)*GN59+(1-EXP(-LN(2)/2))/(LN(2)/2)*GH60*GK60*VLOOKUP('Données projet'!$B$17,Paramètres!$A$1:$I$89,3,0)*0.475*44/12</f>
        <v>0</v>
      </c>
      <c r="GO60" s="21">
        <f t="shared" si="27"/>
        <v>84.434889099479648</v>
      </c>
      <c r="GP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9.375</v>
      </c>
      <c r="GU60" s="12">
        <f>IF('Données projet'!$A$270&gt;35,GU59+GT60-HC59,IF(A60&lt;'Données projet'!$A$270,$GR$205^A60,IF(A60='Données projet'!$A$270,'Données projet'!$B$270,GU59+GT60-HC59)))</f>
        <v>268.87499999999989</v>
      </c>
      <c r="GV60" s="17">
        <f>GU60*VLOOKUP('Données projet'!$B$18,Paramètres!$A$1:$I$89,3,0)*VLOOKUP('Données projet'!$B$18,Paramètres!$A$1:$I$89,5,0)</f>
        <v>209.72249999999991</v>
      </c>
      <c r="GW60" s="13">
        <f t="shared" si="51"/>
        <v>51.874940300502246</v>
      </c>
      <c r="GX60" s="20">
        <f t="shared" si="28"/>
        <v>455.61554185670792</v>
      </c>
      <c r="GY60" s="59">
        <f t="shared" si="29"/>
        <v>715.14218190738563</v>
      </c>
      <c r="GZ60" s="59">
        <f ca="1">AVERAGE(OFFSET($GY$3,0,0,'Données projet'!$E$18+1,1))-AVERAGE(OFFSET($H$3,0,0,'Données projet'!$E$18+1,1))</f>
        <v>308.85018589589453</v>
      </c>
      <c r="HA60" s="59">
        <f t="shared" si="52"/>
        <v>302.59481222418219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>
        <f>EXP(-LN(2)/35)*HG59+(1-EXP(-LN(2)/35))/(LN(2)/35)*HC60*HD60*VLOOKUP('Données projet'!$B$18,Paramètres!$A$1:$I$89,3,0)*0.475*44/12</f>
        <v>45.402344340782058</v>
      </c>
      <c r="HH60" s="21">
        <f>EXP(-LN(2)/25)*HH59+(1-EXP(-LN(2)/25))/(LN(2)/25)*Calculateur!HC60*Calculateur!HE60*VLOOKUP('Données projet'!$B$18,Paramètres!$A$1:$I$89,3,0)*0.475*44/12</f>
        <v>0</v>
      </c>
      <c r="HI60" s="21">
        <f>EXP(-LN(2)/2)*HI59+(1-EXP(-LN(2)/2))/(LN(2)/2)*HC60*HF60*VLOOKUP('Données projet'!$B$18,Paramètres!$A$1:$I$89,3,0)*0.475*44/12</f>
        <v>0</v>
      </c>
      <c r="HJ60" s="22">
        <f t="shared" si="30"/>
        <v>45.402344340782058</v>
      </c>
    </row>
    <row r="61" spans="1:218" x14ac:dyDescent="0.35">
      <c r="A61" s="10">
        <f t="shared" si="31"/>
        <v>58</v>
      </c>
      <c r="B61" s="72">
        <f>'Scénario référence'!$B$16*5+'Scénario référence'!$B$17*0+'Scénario référence'!$B$18*5</f>
        <v>5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66">
        <f t="shared" si="1"/>
        <v>183.33333333333334</v>
      </c>
      <c r="I61" s="6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11.644999999999996</v>
      </c>
      <c r="N61" s="13">
        <f>IF('Données projet'!$A$36&gt;35,N60+M61-V60,IF(A61&lt;'Données projet'!$A$36,$K$205^A61,IF(A61='Données projet'!$A$36,'Données projet'!$B$36,N60+M61-V60)))</f>
        <v>254.36500000000007</v>
      </c>
      <c r="O61" s="13">
        <f>N61*VLOOKUP('Données projet'!$B$9,Paramètres!$A$1:$I$89,3,0)*VLOOKUP('Données projet'!$B$9,Paramètres!$A$1:$I$89,5,0)</f>
        <v>230.14945200000005</v>
      </c>
      <c r="P61" s="13">
        <f t="shared" si="33"/>
        <v>56.314995325940238</v>
      </c>
      <c r="Q61" s="20">
        <f t="shared" si="53"/>
        <v>498.9255790926793</v>
      </c>
      <c r="R61" s="59">
        <f t="shared" si="0"/>
        <v>759.03868969136772</v>
      </c>
      <c r="S61" s="59">
        <f ca="1">AVERAGE(OFFSET($R$3,0,0,'Données projet'!$E$9+1,1))-AVERAGE(OFFSET($H$3,0,0,'Données projet'!$E$9+1,1))</f>
        <v>567.42635821507474</v>
      </c>
      <c r="T61" s="59">
        <f t="shared" si="34"/>
        <v>299.04735309930152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78.708065583889947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0</v>
      </c>
      <c r="AC61" s="22">
        <f t="shared" si="3"/>
        <v>78.708065583889947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11.644999999999996</v>
      </c>
      <c r="AI61" s="13">
        <f>IF('Données projet'!$A$62&gt;35,AI60+AH61-AQ60,IF(A61&lt;'Données projet'!$A$62,$AF$205^A61,IF(A61='Données projet'!$A$62,'Données projet'!$B$62,AI60+AH61-AQ60)))</f>
        <v>254.36500000000007</v>
      </c>
      <c r="AJ61" s="13">
        <f>AI61*VLOOKUP('Données projet'!$B$10,Paramètres!$A$1:$I$89,3,0)*VLOOKUP('Données projet'!$B$10,Paramètres!$A$1:$I$89,5,0)</f>
        <v>257.92611000000005</v>
      </c>
      <c r="AK61" s="13">
        <f t="shared" si="35"/>
        <v>62.280102581244591</v>
      </c>
      <c r="AL61" s="20">
        <f t="shared" si="4"/>
        <v>557.6924869123344</v>
      </c>
      <c r="AM61" s="59">
        <f t="shared" si="5"/>
        <v>817.80559751102282</v>
      </c>
      <c r="AN61" s="59">
        <f ca="1">AVERAGE(OFFSET($AM$3,0,0,'Données projet'!$E$10+1,1))-AVERAGE(OFFSET($H$3,0,0,'Données projet'!$E$10+1,1))</f>
        <v>626.09203985591455</v>
      </c>
      <c r="AO61" s="59">
        <f t="shared" si="36"/>
        <v>327.65191296575199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88.207314878497357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88.207314878497357</v>
      </c>
      <c r="AY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10.8</v>
      </c>
      <c r="BD61" s="12">
        <f>IF('Données projet'!$A$88&gt;35,BD60+BC61-BL60,IF(A61&lt;'Données projet'!$A$88,$BA$205^A61,IF(A61='Données projet'!$A$88,'Données projet'!$B$88,BD60+BC61-BL60)))</f>
        <v>248.40000000000006</v>
      </c>
      <c r="BE61" s="13">
        <f>BD61*VLOOKUP('Données projet'!$B$11,Paramètres!$A$1:$I$89,3,0)*VLOOKUP('Données projet'!$B$11,Paramètres!$A$1:$I$89,5,0)</f>
        <v>213.12720000000004</v>
      </c>
      <c r="BF61" s="13">
        <f t="shared" si="37"/>
        <v>52.618368568459893</v>
      </c>
      <c r="BG61" s="20">
        <f t="shared" si="7"/>
        <v>462.8401985900677</v>
      </c>
      <c r="BH61" s="59">
        <f t="shared" si="8"/>
        <v>722.95330918875607</v>
      </c>
      <c r="BI61" s="59">
        <f ca="1">AVERAGE(OFFSET($BH$3,0,0,'Données projet'!$E$11+1,1))-AVERAGE(OFFSET($H$3,0,0,'Données projet'!$E$11+1,1))</f>
        <v>481.23392184981651</v>
      </c>
      <c r="BJ61" s="59">
        <f t="shared" si="38"/>
        <v>275.88160405468193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54.938459719777491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54.938459719777491</v>
      </c>
      <c r="BT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>
        <f>VLOOKUP(A61,'Données projet'!$A$113:$I$133,2,0)</f>
        <v>400.11</v>
      </c>
      <c r="BW61" s="12">
        <f>VLOOKUP(A61,'Données projet'!$A$113:$I$133,9,0)</f>
        <v>16.366250000000001</v>
      </c>
      <c r="BX61" s="12">
        <f t="array" ref="BX61">INDEX(BW:BW,MIN(IF(ISNUMBER(BW61:BW257),ROW(BW61:BW257),"")))</f>
        <v>16.366250000000001</v>
      </c>
      <c r="BY61" s="12">
        <f>IF('Données projet'!$A$114&gt;35,BY60+BX61-CG60,IF(A61&lt;'Données projet'!$A$114,$BV$205^A61,IF(A61='Données projet'!$A$114,'Données projet'!$B$114,BY60+BX61-CG60)))</f>
        <v>400.10999999999962</v>
      </c>
      <c r="BZ61" s="13">
        <f>BY61*VLOOKUP('Données projet'!$B$12,Paramètres!$A$1:$I$89,3,0)*VLOOKUP('Données projet'!$B$12,Paramètres!$A$1:$I$89,5,0)</f>
        <v>187.25147999999984</v>
      </c>
      <c r="CA61" s="13">
        <f t="shared" si="39"/>
        <v>46.931779730921761</v>
      </c>
      <c r="CB61" s="20">
        <f t="shared" si="10"/>
        <v>407.86917736468848</v>
      </c>
      <c r="CC61" s="59">
        <f t="shared" si="11"/>
        <v>667.98228796337685</v>
      </c>
      <c r="CD61" s="59">
        <f ca="1">AVERAGE(OFFSET($CC$3,0,0,'Données projet'!$E$12+1,1))-AVERAGE(OFFSET($H$3,0,0,'Données projet'!$E$12+1,1))</f>
        <v>331.86732359395467</v>
      </c>
      <c r="CE61" s="59">
        <f t="shared" si="40"/>
        <v>208.64489375183106</v>
      </c>
      <c r="CF61" s="15">
        <f>IF(ISNA(VLOOKUP(A61,'Données projet'!$A$113:$I$133,3,0)),0,VLOOKUP(A61,'Données projet'!$A$113:$I$133,3,0))</f>
        <v>3</v>
      </c>
      <c r="CG61" s="15">
        <f>IF(ISNA(VLOOKUP(A61,'Données projet'!$A$113:$I$133,4,0)),0,VLOOKUP(A61,'Données projet'!$A$113:$I$133,4,0))</f>
        <v>87.34</v>
      </c>
      <c r="CH61" s="16">
        <f>IF(ISNA(VLOOKUP(A61,'Données projet'!$A$113:$I$133,5,0)),0%,VLOOKUP(A61,'Données projet'!$A$113:$I$133,5,0)*VLOOKUP('Données projet'!$B$12,Paramètres!$A$1:$I$89,7,0))</f>
        <v>0.55000000000000004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87.081151337207331</v>
      </c>
      <c r="CL61" s="21">
        <f>EXP(-LN(2)/25)*CL60+(1-EXP(-LN(2)/25))/(LN(2)/25)*Calculateur!CG61*Calculateur!CI61*VLOOKUP('Données projet'!$B$12,Paramètres!$A$1:$I$89,3,0)*0.475*44/12</f>
        <v>0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87.081151337207331</v>
      </c>
      <c r="CO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6.2</v>
      </c>
      <c r="CT61" s="12">
        <f>IF('Données projet'!$A$140&gt;35,CT60+CS61-DB60,IF(A61&lt;'Données projet'!$A$140,$CQ$205^A61,IF(A61='Données projet'!$A$140,'Données projet'!$B$140,CT60+CS61-DB60)))</f>
        <v>281.59999999999991</v>
      </c>
      <c r="CU61" s="17">
        <f>CT61*VLOOKUP('Données projet'!$B$13,Paramètres!$A$1:$I$89,3,0)*VLOOKUP('Données projet'!$B$13,Paramètres!$A$1:$I$89,5,0)</f>
        <v>206.46911999999992</v>
      </c>
      <c r="CV61" s="13">
        <f t="shared" si="41"/>
        <v>51.163239774028327</v>
      </c>
      <c r="CW61" s="20">
        <f t="shared" si="13"/>
        <v>448.70969327309916</v>
      </c>
      <c r="CX61" s="59">
        <f t="shared" si="14"/>
        <v>708.82280387178753</v>
      </c>
      <c r="CY61" s="59">
        <f ca="1">AVERAGE(OFFSET($CX$3,0,0,'Données projet'!$E$13+1,1))-AVERAGE(OFFSET($H$3,0,0,'Données projet'!$E$13+1,1))</f>
        <v>352.45777291109863</v>
      </c>
      <c r="CZ61" s="59">
        <f t="shared" si="42"/>
        <v>340.92165104349181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33.648708796811086</v>
      </c>
      <c r="DG61" s="21">
        <f>EXP(-LN(2)/25)*DG60+(1-EXP(-LN(2)/25))/(LN(2)/25)*Calculateur!DB61*Calculateur!DD61*VLOOKUP('Données projet'!$B$13,Paramètres!$A$1:$I$89,3,0)*0.475*44/12</f>
        <v>0</v>
      </c>
      <c r="DH61" s="21">
        <f>EXP(-LN(2)/2)*DH60+(1-EXP(-LN(2)/2))/(LN(2)/2)*DB61*DE61*VLOOKUP('Données projet'!$B$13,Paramètres!$A$1:$I$89,3,0)*0.475*44/12</f>
        <v>0</v>
      </c>
      <c r="DI61" s="22">
        <f t="shared" si="15"/>
        <v>33.648708796811086</v>
      </c>
      <c r="DJ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11.644999999999996</v>
      </c>
      <c r="DO61" s="12">
        <f>IF('Données projet'!$A$166&gt;35,DO60+DN61-DW60,IF(A61&lt;'Données projet'!$A$166,$DL$205^A61,IF(A61='Données projet'!$A$166,'Données projet'!$B$166,DO60+DN61-DW60)))</f>
        <v>254.36500000000007</v>
      </c>
      <c r="DP61" s="17">
        <f>DO61*VLOOKUP('Données projet'!$B$14,Paramètres!$A$1:$I$89,3,0)*VLOOKUP('Données projet'!$B$14,Paramètres!$A$1:$I$89,5,0)</f>
        <v>170.62804200000005</v>
      </c>
      <c r="DQ61" s="13">
        <f t="shared" si="43"/>
        <v>43.230653898883929</v>
      </c>
      <c r="DR61" s="20">
        <f t="shared" si="16"/>
        <v>372.4705620238895</v>
      </c>
      <c r="DS61" s="59">
        <f t="shared" si="17"/>
        <v>632.58367262257798</v>
      </c>
      <c r="DT61" s="59">
        <f ca="1">AVERAGE(OFFSET($DS$3,0,0,'Données projet'!$E$14+1,1))-AVERAGE(OFFSET($H$3,0,0,'Données projet'!$E$14+1,1))</f>
        <v>441.20130048888439</v>
      </c>
      <c r="DU61" s="59">
        <f t="shared" si="44"/>
        <v>237.47732532183946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71.922887516313224</v>
      </c>
      <c r="EB61" s="21">
        <f>EXP(-LN(2)/25)*EB60+(1-EXP(-LN(2)/25))/(LN(2)/25)*Calculateur!DW61*Calculateur!DY61*VLOOKUP('Données projet'!$B$14,Paramètres!$A$1:$I$89,3,0)*0.475*44/12</f>
        <v>0</v>
      </c>
      <c r="EC61" s="21">
        <f>EXP(-LN(2)/2)*EC60+(1-EXP(-LN(2)/2))/(LN(2)/2)*DW61*DZ61*VLOOKUP('Données projet'!$B$14,Paramètres!$A$1:$I$89,3,0)*0.475*44/12</f>
        <v>0</v>
      </c>
      <c r="ED61" s="22">
        <f t="shared" si="18"/>
        <v>71.922887516313224</v>
      </c>
      <c r="EE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6.2</v>
      </c>
      <c r="EJ61" s="12">
        <f>IF('Données projet'!$A$192&gt;35,EJ60+EI61-ER60,IF(A61&lt;'Données projet'!$A$192,$EG$205^A61,IF(A61='Données projet'!$A$192,'Données projet'!$B$192,EJ60+EI61-ER60)))</f>
        <v>281.59999999999991</v>
      </c>
      <c r="EK61" s="17">
        <f>EJ61*VLOOKUP('Données projet'!$B$15,Paramètres!$A$1:$I$89,3,0)*VLOOKUP('Données projet'!$B$15,Paramètres!$A$1:$I$89,5,0)</f>
        <v>224.04095999999993</v>
      </c>
      <c r="EL61" s="13">
        <f t="shared" si="45"/>
        <v>54.992235867381233</v>
      </c>
      <c r="EM61" s="20">
        <f t="shared" si="19"/>
        <v>485.98281613568884</v>
      </c>
      <c r="EN61" s="59">
        <f t="shared" si="20"/>
        <v>746.09592673437726</v>
      </c>
      <c r="EO61" s="59">
        <f ca="1">AVERAGE(OFFSET($EN$3,0,0,'Données projet'!$E$15+1,1))-AVERAGE(OFFSET($H$3,0,0,'Données projet'!$E$15+1,1))</f>
        <v>377.27600411578322</v>
      </c>
      <c r="EP61" s="59">
        <f t="shared" si="46"/>
        <v>364.58250627635425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>
        <f>EXP(-LN(2)/35)*EV60+(1-EXP(-LN(2)/35))/(LN(2)/35)*ER61*ES61*VLOOKUP('Données projet'!$B$15,Paramètres!$A$1:$I$89,3,0)*0.475*44/12</f>
        <v>45.003691181484612</v>
      </c>
      <c r="EW61" s="21">
        <f>EXP(-LN(2)/25)*EW60+(1-EXP(-LN(2)/25))/(LN(2)/25)*Calculateur!ER61*Calculateur!ET61*VLOOKUP('Données projet'!$B$15,Paramètres!$A$1:$I$89,3,0)*0.475*44/12</f>
        <v>0</v>
      </c>
      <c r="EX61" s="21">
        <f>EXP(-LN(2)/2)*EX60+(1-EXP(-LN(2)/2))/(LN(2)/2)*ER61*EU61*VLOOKUP('Données projet'!$B$15,Paramètres!$A$1:$I$89,3,0)*0.475*44/12</f>
        <v>0</v>
      </c>
      <c r="EY61" s="22">
        <f t="shared" si="21"/>
        <v>45.003691181484612</v>
      </c>
      <c r="EZ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6.2</v>
      </c>
      <c r="FE61" s="12">
        <f>IF('Données projet'!$A$218&gt;35,FE60+FD61-FM60,IF(A61&lt;'Données projet'!$A$218,$FB$205^A61,IF(A61='Données projet'!$A$218,'Données projet'!$B$218,FE60+FD61-FM60)))</f>
        <v>281.59999999999991</v>
      </c>
      <c r="FF61" s="17">
        <f>FE61*VLOOKUP('Données projet'!$B$16,Paramètres!$A$1:$I$89,3,0)*VLOOKUP('Données projet'!$B$16,Paramètres!$A$1:$I$89,5,0)</f>
        <v>228.43391999999994</v>
      </c>
      <c r="FG61" s="13">
        <f t="shared" si="47"/>
        <v>55.943923887219448</v>
      </c>
      <c r="FH61" s="20">
        <f t="shared" si="22"/>
        <v>495.29141143690708</v>
      </c>
      <c r="FI61" s="59">
        <f t="shared" si="23"/>
        <v>755.40452203559551</v>
      </c>
      <c r="FJ61" s="59">
        <f ca="1">AVERAGE(OFFSET($FI$3,0,0,'Données projet'!$E$16+1,1))-AVERAGE(OFFSET($H$3,0,0,'Données projet'!$E$16+1,1))</f>
        <v>383.47399633251354</v>
      </c>
      <c r="FK61" s="59">
        <f t="shared" si="48"/>
        <v>370.49129421395628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>
        <f>EXP(-LN(2)/35)*FQ60+(1-EXP(-LN(2)/35))/(LN(2)/35)*FM61*FN61*VLOOKUP('Données projet'!$B$16,Paramètres!$A$1:$I$89,3,0)*0.475*44/12</f>
        <v>45.886116498768644</v>
      </c>
      <c r="FR61" s="21">
        <f>EXP(-LN(2)/25)*FR60+(1-EXP(-LN(2)/25))/(LN(2)/25)*Calculateur!FM61*Calculateur!FO61*VLOOKUP('Données projet'!$B$16,Paramètres!$A$1:$I$89,3,0)*0.475*44/12</f>
        <v>0</v>
      </c>
      <c r="FS61" s="21">
        <f>EXP(-LN(2)/2)*FS60+(1-EXP(-LN(2)/2))/(LN(2)/2)*FM61*FP61*VLOOKUP('Données projet'!$B$16,Paramètres!$A$1:$I$89,3,0)*0.475*44/12</f>
        <v>0</v>
      </c>
      <c r="FT61" s="22">
        <f t="shared" si="24"/>
        <v>45.886116498768644</v>
      </c>
      <c r="FU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11.644999999999996</v>
      </c>
      <c r="FZ61" s="12">
        <f>IF('Données projet'!$A$244&gt;35,FZ60+FY61-GH60,IF(A61&lt;'Données projet'!$A$244,$FW$205^A61,IF(A61='Données projet'!$A$244,'Données projet'!$B$244,FZ60+FY61-GH60)))</f>
        <v>254.36500000000007</v>
      </c>
      <c r="GA61" s="17">
        <f>FZ61*VLOOKUP('Données projet'!$B$17,Paramètres!$A$1:$I$89,3,0)*VLOOKUP('Données projet'!$B$17,Paramètres!$A$1:$I$89,5,0)</f>
        <v>242.05373400000008</v>
      </c>
      <c r="GB61" s="13">
        <f t="shared" si="49"/>
        <v>58.881181989313284</v>
      </c>
      <c r="GC61" s="20">
        <f t="shared" si="25"/>
        <v>524.12831201472079</v>
      </c>
      <c r="GD61" s="59">
        <f t="shared" si="26"/>
        <v>784.24142261340921</v>
      </c>
      <c r="GE61" s="59">
        <f ca="1">AVERAGE(OFFSET($GD$3,0,0,'Données projet'!$E$17+1,1))-AVERAGE(OFFSET($H$3,0,0,'Données projet'!$E$17+1,1))</f>
        <v>592.58528889137358</v>
      </c>
      <c r="GF61" s="59">
        <f t="shared" si="50"/>
        <v>311.31528020403709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>
        <f>EXP(-LN(2)/35)*GL60+(1-EXP(-LN(2)/35))/(LN(2)/35)*GH61*GI61*VLOOKUP('Données projet'!$B$17,Paramètres!$A$1:$I$89,3,0)*0.475*44/12</f>
        <v>82.779172424435984</v>
      </c>
      <c r="GM61" s="21">
        <f>EXP(-LN(2)/25)*GM60+(1-EXP(-LN(2)/25))/(LN(2)/25)*Calculateur!GH61*Calculateur!GJ61*VLOOKUP('Données projet'!$B$17,Paramètres!$A$1:$I$89,3,0)*0.475*44/12</f>
        <v>0</v>
      </c>
      <c r="GN61" s="21">
        <f>EXP(-LN(2)/2)*GN60+(1-EXP(-LN(2)/2))/(LN(2)/2)*GH61*GK61*VLOOKUP('Données projet'!$B$17,Paramètres!$A$1:$I$89,3,0)*0.475*44/12</f>
        <v>0</v>
      </c>
      <c r="GO61" s="21">
        <f t="shared" si="27"/>
        <v>82.779172424435984</v>
      </c>
      <c r="GP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9.375</v>
      </c>
      <c r="GU61" s="12">
        <f>IF('Données projet'!$A$270&gt;35,GU60+GT61-HC60,IF(A61&lt;'Données projet'!$A$270,$GR$205^A61,IF(A61='Données projet'!$A$270,'Données projet'!$B$270,GU60+GT61-HC60)))</f>
        <v>278.24999999999989</v>
      </c>
      <c r="GV61" s="17">
        <f>GU61*VLOOKUP('Données projet'!$B$18,Paramètres!$A$1:$I$89,3,0)*VLOOKUP('Données projet'!$B$18,Paramètres!$A$1:$I$89,5,0)</f>
        <v>217.03499999999991</v>
      </c>
      <c r="GW61" s="13">
        <f t="shared" si="51"/>
        <v>53.469949591969474</v>
      </c>
      <c r="GX61" s="20">
        <f t="shared" si="28"/>
        <v>471.12945387267996</v>
      </c>
      <c r="GY61" s="59">
        <f t="shared" si="29"/>
        <v>731.24256447136838</v>
      </c>
      <c r="GZ61" s="59">
        <f ca="1">AVERAGE(OFFSET($GY$3,0,0,'Données projet'!$E$18+1,1))-AVERAGE(OFFSET($H$3,0,0,'Données projet'!$E$18+1,1))</f>
        <v>308.85018589589453</v>
      </c>
      <c r="HA61" s="59">
        <f t="shared" si="52"/>
        <v>302.59481222418219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>
        <f>EXP(-LN(2)/35)*HG60+(1-EXP(-LN(2)/35))/(LN(2)/35)*HC61*HD61*VLOOKUP('Données projet'!$B$18,Paramètres!$A$1:$I$89,3,0)*0.475*44/12</f>
        <v>44.512032060954944</v>
      </c>
      <c r="HH61" s="21">
        <f>EXP(-LN(2)/25)*HH60+(1-EXP(-LN(2)/25))/(LN(2)/25)*Calculateur!HC61*Calculateur!HE61*VLOOKUP('Données projet'!$B$18,Paramètres!$A$1:$I$89,3,0)*0.475*44/12</f>
        <v>0</v>
      </c>
      <c r="HI61" s="21">
        <f>EXP(-LN(2)/2)*HI60+(1-EXP(-LN(2)/2))/(LN(2)/2)*HC61*HF61*VLOOKUP('Données projet'!$B$18,Paramètres!$A$1:$I$89,3,0)*0.475*44/12</f>
        <v>0</v>
      </c>
      <c r="HJ61" s="22">
        <f t="shared" si="30"/>
        <v>44.512032060954944</v>
      </c>
    </row>
    <row r="62" spans="1:218" x14ac:dyDescent="0.35">
      <c r="A62" s="10">
        <f t="shared" si="31"/>
        <v>59</v>
      </c>
      <c r="B62" s="72">
        <f>'Scénario référence'!$B$16*5+'Scénario référence'!$B$17*0+'Scénario référence'!$B$18*5</f>
        <v>5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66">
        <f t="shared" si="1"/>
        <v>183.33333333333334</v>
      </c>
      <c r="I62" s="6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11.644999999999996</v>
      </c>
      <c r="N62" s="13">
        <f>IF('Données projet'!$A$36&gt;35,N61+M62-V61,IF(A62&lt;'Données projet'!$A$36,$K$205^A62,IF(A62='Données projet'!$A$36,'Données projet'!$B$36,N61+M62-V61)))</f>
        <v>266.01000000000005</v>
      </c>
      <c r="O62" s="13">
        <f>N62*VLOOKUP('Données projet'!$B$9,Paramètres!$A$1:$I$89,3,0)*VLOOKUP('Données projet'!$B$9,Paramètres!$A$1:$I$89,5,0)</f>
        <v>240.68584800000005</v>
      </c>
      <c r="P62" s="13">
        <f t="shared" si="33"/>
        <v>58.587069504016014</v>
      </c>
      <c r="Q62" s="20">
        <f t="shared" si="53"/>
        <v>521.23366465282788</v>
      </c>
      <c r="R62" s="59">
        <f t="shared" si="0"/>
        <v>781.92307184667061</v>
      </c>
      <c r="S62" s="59">
        <f ca="1">AVERAGE(OFFSET($R$3,0,0,'Données projet'!$E$9+1,1))-AVERAGE(OFFSET($H$3,0,0,'Données projet'!$E$9+1,1))</f>
        <v>567.42635821507474</v>
      </c>
      <c r="T62" s="59">
        <f t="shared" si="34"/>
        <v>299.04735309930152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77.164648424969556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0</v>
      </c>
      <c r="AC62" s="22">
        <f t="shared" si="3"/>
        <v>77.164648424969556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11.644999999999996</v>
      </c>
      <c r="AI62" s="13">
        <f>IF('Données projet'!$A$62&gt;35,AI61+AH62-AQ61,IF(A62&lt;'Données projet'!$A$62,$AF$205^A62,IF(A62='Données projet'!$A$62,'Données projet'!$B$62,AI61+AH62-AQ61)))</f>
        <v>266.01000000000005</v>
      </c>
      <c r="AJ62" s="13">
        <f>AI62*VLOOKUP('Données projet'!$B$10,Paramètres!$A$1:$I$89,3,0)*VLOOKUP('Données projet'!$B$10,Paramètres!$A$1:$I$89,5,0)</f>
        <v>269.73414000000008</v>
      </c>
      <c r="AK62" s="13">
        <f t="shared" si="35"/>
        <v>64.792843851376162</v>
      </c>
      <c r="AL62" s="20">
        <f t="shared" si="4"/>
        <v>582.63449687448031</v>
      </c>
      <c r="AM62" s="59">
        <f t="shared" si="5"/>
        <v>843.32390406832315</v>
      </c>
      <c r="AN62" s="59">
        <f ca="1">AVERAGE(OFFSET($AM$3,0,0,'Données projet'!$E$10+1,1))-AVERAGE(OFFSET($H$3,0,0,'Données projet'!$E$10+1,1))</f>
        <v>626.09203985591455</v>
      </c>
      <c r="AO62" s="59">
        <f t="shared" si="36"/>
        <v>327.65191296575199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86.477623234879673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86.477623234879673</v>
      </c>
      <c r="AY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10.8</v>
      </c>
      <c r="BD62" s="12">
        <f>IF('Données projet'!$A$88&gt;35,BD61+BC62-BL61,IF(A62&lt;'Données projet'!$A$88,$BA$205^A62,IF(A62='Données projet'!$A$88,'Données projet'!$B$88,BD61+BC62-BL61)))</f>
        <v>259.20000000000005</v>
      </c>
      <c r="BE62" s="13">
        <f>BD62*VLOOKUP('Données projet'!$B$11,Paramètres!$A$1:$I$89,3,0)*VLOOKUP('Données projet'!$B$11,Paramètres!$A$1:$I$89,5,0)</f>
        <v>222.39360000000005</v>
      </c>
      <c r="BF62" s="13">
        <f t="shared" si="37"/>
        <v>54.634794757949287</v>
      </c>
      <c r="BG62" s="20">
        <f t="shared" si="7"/>
        <v>482.49112087009513</v>
      </c>
      <c r="BH62" s="59">
        <f t="shared" si="8"/>
        <v>743.18052806393791</v>
      </c>
      <c r="BI62" s="59">
        <f ca="1">AVERAGE(OFFSET($BH$3,0,0,'Données projet'!$E$11+1,1))-AVERAGE(OFFSET($H$3,0,0,'Données projet'!$E$11+1,1))</f>
        <v>481.23392184981651</v>
      </c>
      <c r="BJ62" s="59">
        <f t="shared" si="38"/>
        <v>275.88160405468193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53.86115003382433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53.86115003382433</v>
      </c>
      <c r="BT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15.928750000000001</v>
      </c>
      <c r="BY62" s="12">
        <f>IF('Données projet'!$A$114&gt;35,BY61+BX62-CG61,IF(A62&lt;'Données projet'!$A$114,$BV$205^A62,IF(A62='Données projet'!$A$114,'Données projet'!$B$114,BY61+BX62-CG61)))</f>
        <v>328.69874999999956</v>
      </c>
      <c r="BZ62" s="13">
        <f>BY62*VLOOKUP('Données projet'!$B$12,Paramètres!$A$1:$I$89,3,0)*VLOOKUP('Données projet'!$B$12,Paramètres!$A$1:$I$89,5,0)</f>
        <v>153.83101499999978</v>
      </c>
      <c r="CA62" s="13">
        <f t="shared" si="39"/>
        <v>39.447915555701208</v>
      </c>
      <c r="CB62" s="20">
        <f t="shared" si="10"/>
        <v>336.62747071784582</v>
      </c>
      <c r="CC62" s="59">
        <f t="shared" si="11"/>
        <v>597.31687791168861</v>
      </c>
      <c r="CD62" s="59">
        <f ca="1">AVERAGE(OFFSET($CC$3,0,0,'Données projet'!$E$12+1,1))-AVERAGE(OFFSET($H$3,0,0,'Données projet'!$E$12+1,1))</f>
        <v>331.86732359395467</v>
      </c>
      <c r="CE62" s="59">
        <f t="shared" si="40"/>
        <v>208.64489375183106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85.373543073742411</v>
      </c>
      <c r="CL62" s="21">
        <f>EXP(-LN(2)/25)*CL61+(1-EXP(-LN(2)/25))/(LN(2)/25)*Calculateur!CG62*Calculateur!CI62*VLOOKUP('Données projet'!$B$12,Paramètres!$A$1:$I$89,3,0)*0.475*44/12</f>
        <v>0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85.373543073742411</v>
      </c>
      <c r="CO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6.2</v>
      </c>
      <c r="CT62" s="12">
        <f>IF('Données projet'!$A$140&gt;35,CT61+CS62-DB61,IF(A62&lt;'Données projet'!$A$140,$CQ$205^A62,IF(A62='Données projet'!$A$140,'Données projet'!$B$140,CT61+CS62-DB61)))</f>
        <v>287.7999999999999</v>
      </c>
      <c r="CU62" s="17">
        <f>CT62*VLOOKUP('Données projet'!$B$13,Paramètres!$A$1:$I$89,3,0)*VLOOKUP('Données projet'!$B$13,Paramètres!$A$1:$I$89,5,0)</f>
        <v>211.01495999999992</v>
      </c>
      <c r="CV62" s="13">
        <f t="shared" si="41"/>
        <v>52.15731771796959</v>
      </c>
      <c r="CW62" s="20">
        <f t="shared" si="13"/>
        <v>458.35838369213019</v>
      </c>
      <c r="CX62" s="59">
        <f t="shared" si="14"/>
        <v>719.04779088597297</v>
      </c>
      <c r="CY62" s="59">
        <f ca="1">AVERAGE(OFFSET($CX$3,0,0,'Données projet'!$E$13+1,1))-AVERAGE(OFFSET($H$3,0,0,'Données projet'!$E$13+1,1))</f>
        <v>352.45777291109863</v>
      </c>
      <c r="CZ62" s="59">
        <f t="shared" si="42"/>
        <v>340.92165104349181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32.988878140991439</v>
      </c>
      <c r="DG62" s="21">
        <f>EXP(-LN(2)/25)*DG61+(1-EXP(-LN(2)/25))/(LN(2)/25)*Calculateur!DB62*Calculateur!DD62*VLOOKUP('Données projet'!$B$13,Paramètres!$A$1:$I$89,3,0)*0.475*44/12</f>
        <v>0</v>
      </c>
      <c r="DH62" s="21">
        <f>EXP(-LN(2)/2)*DH61+(1-EXP(-LN(2)/2))/(LN(2)/2)*DB62*DE62*VLOOKUP('Données projet'!$B$13,Paramètres!$A$1:$I$89,3,0)*0.475*44/12</f>
        <v>0</v>
      </c>
      <c r="DI62" s="22">
        <f t="shared" si="15"/>
        <v>32.988878140991439</v>
      </c>
      <c r="DJ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11.644999999999996</v>
      </c>
      <c r="DO62" s="12">
        <f>IF('Données projet'!$A$166&gt;35,DO61+DN62-DW61,IF(A62&lt;'Données projet'!$A$166,$DL$205^A62,IF(A62='Données projet'!$A$166,'Données projet'!$B$166,DO61+DN62-DW61)))</f>
        <v>266.01000000000005</v>
      </c>
      <c r="DP62" s="17">
        <f>DO62*VLOOKUP('Données projet'!$B$14,Paramètres!$A$1:$I$89,3,0)*VLOOKUP('Données projet'!$B$14,Paramètres!$A$1:$I$89,5,0)</f>
        <v>178.43950800000005</v>
      </c>
      <c r="DQ62" s="13">
        <f t="shared" si="43"/>
        <v>44.974829705993358</v>
      </c>
      <c r="DR62" s="20">
        <f t="shared" si="16"/>
        <v>389.11330483793853</v>
      </c>
      <c r="DS62" s="59">
        <f t="shared" si="17"/>
        <v>649.80271203178131</v>
      </c>
      <c r="DT62" s="59">
        <f ca="1">AVERAGE(OFFSET($DS$3,0,0,'Données projet'!$E$14+1,1))-AVERAGE(OFFSET($H$3,0,0,'Données projet'!$E$14+1,1))</f>
        <v>441.20130048888439</v>
      </c>
      <c r="DU62" s="59">
        <f t="shared" si="44"/>
        <v>237.47732532183946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70.512523560748036</v>
      </c>
      <c r="EB62" s="21">
        <f>EXP(-LN(2)/25)*EB61+(1-EXP(-LN(2)/25))/(LN(2)/25)*Calculateur!DW62*Calculateur!DY62*VLOOKUP('Données projet'!$B$14,Paramètres!$A$1:$I$89,3,0)*0.475*44/12</f>
        <v>0</v>
      </c>
      <c r="EC62" s="21">
        <f>EXP(-LN(2)/2)*EC61+(1-EXP(-LN(2)/2))/(LN(2)/2)*DW62*DZ62*VLOOKUP('Données projet'!$B$14,Paramètres!$A$1:$I$89,3,0)*0.475*44/12</f>
        <v>0</v>
      </c>
      <c r="ED62" s="22">
        <f t="shared" si="18"/>
        <v>70.512523560748036</v>
      </c>
      <c r="EE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6.2</v>
      </c>
      <c r="EJ62" s="12">
        <f>IF('Données projet'!$A$192&gt;35,EJ61+EI62-ER61,IF(A62&lt;'Données projet'!$A$192,$EG$205^A62,IF(A62='Données projet'!$A$192,'Données projet'!$B$192,EJ61+EI62-ER61)))</f>
        <v>287.7999999999999</v>
      </c>
      <c r="EK62" s="17">
        <f>EJ62*VLOOKUP('Données projet'!$B$15,Paramètres!$A$1:$I$89,3,0)*VLOOKUP('Données projet'!$B$15,Paramètres!$A$1:$I$89,5,0)</f>
        <v>228.97367999999994</v>
      </c>
      <c r="EL62" s="13">
        <f t="shared" si="45"/>
        <v>56.060709423888284</v>
      </c>
      <c r="EM62" s="20">
        <f t="shared" si="19"/>
        <v>496.43489491327199</v>
      </c>
      <c r="EN62" s="59">
        <f t="shared" si="20"/>
        <v>757.12430210711477</v>
      </c>
      <c r="EO62" s="59">
        <f ca="1">AVERAGE(OFFSET($EN$3,0,0,'Données projet'!$E$15+1,1))-AVERAGE(OFFSET($H$3,0,0,'Données projet'!$E$15+1,1))</f>
        <v>377.27600411578322</v>
      </c>
      <c r="EP62" s="59">
        <f t="shared" si="46"/>
        <v>364.58250627635425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>
        <f>EXP(-LN(2)/35)*EV61+(1-EXP(-LN(2)/35))/(LN(2)/35)*ER62*ES62*VLOOKUP('Données projet'!$B$15,Paramètres!$A$1:$I$89,3,0)*0.475*44/12</f>
        <v>44.121196246956906</v>
      </c>
      <c r="EW62" s="21">
        <f>EXP(-LN(2)/25)*EW61+(1-EXP(-LN(2)/25))/(LN(2)/25)*Calculateur!ER62*Calculateur!ET62*VLOOKUP('Données projet'!$B$15,Paramètres!$A$1:$I$89,3,0)*0.475*44/12</f>
        <v>0</v>
      </c>
      <c r="EX62" s="21">
        <f>EXP(-LN(2)/2)*EX61+(1-EXP(-LN(2)/2))/(LN(2)/2)*ER62*EU62*VLOOKUP('Données projet'!$B$15,Paramètres!$A$1:$I$89,3,0)*0.475*44/12</f>
        <v>0</v>
      </c>
      <c r="EY62" s="22">
        <f t="shared" si="21"/>
        <v>44.121196246956906</v>
      </c>
      <c r="EZ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6.2</v>
      </c>
      <c r="FE62" s="12">
        <f>IF('Données projet'!$A$218&gt;35,FE61+FD62-FM61,IF(A62&lt;'Données projet'!$A$218,$FB$205^A62,IF(A62='Données projet'!$A$218,'Données projet'!$B$218,FE61+FD62-FM61)))</f>
        <v>287.7999999999999</v>
      </c>
      <c r="FF62" s="17">
        <f>FE62*VLOOKUP('Données projet'!$B$16,Paramètres!$A$1:$I$89,3,0)*VLOOKUP('Données projet'!$B$16,Paramètres!$A$1:$I$89,5,0)</f>
        <v>233.46335999999994</v>
      </c>
      <c r="FG62" s="13">
        <f t="shared" si="47"/>
        <v>57.030888299157333</v>
      </c>
      <c r="FH62" s="20">
        <f t="shared" si="22"/>
        <v>505.94414912103224</v>
      </c>
      <c r="FI62" s="59">
        <f t="shared" si="23"/>
        <v>766.63355631487502</v>
      </c>
      <c r="FJ62" s="59">
        <f ca="1">AVERAGE(OFFSET($FI$3,0,0,'Données projet'!$E$16+1,1))-AVERAGE(OFFSET($H$3,0,0,'Données projet'!$E$16+1,1))</f>
        <v>383.47399633251354</v>
      </c>
      <c r="FK62" s="59">
        <f t="shared" si="48"/>
        <v>370.49129421395628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>
        <f>EXP(-LN(2)/35)*FQ61+(1-EXP(-LN(2)/35))/(LN(2)/35)*FM62*FN62*VLOOKUP('Données projet'!$B$16,Paramètres!$A$1:$I$89,3,0)*0.475*44/12</f>
        <v>44.986317741995293</v>
      </c>
      <c r="FR62" s="21">
        <f>EXP(-LN(2)/25)*FR61+(1-EXP(-LN(2)/25))/(LN(2)/25)*Calculateur!FM62*Calculateur!FO62*VLOOKUP('Données projet'!$B$16,Paramètres!$A$1:$I$89,3,0)*0.475*44/12</f>
        <v>0</v>
      </c>
      <c r="FS62" s="21">
        <f>EXP(-LN(2)/2)*FS61+(1-EXP(-LN(2)/2))/(LN(2)/2)*FM62*FP62*VLOOKUP('Données projet'!$B$16,Paramètres!$A$1:$I$89,3,0)*0.475*44/12</f>
        <v>0</v>
      </c>
      <c r="FT62" s="22">
        <f t="shared" si="24"/>
        <v>44.986317741995293</v>
      </c>
      <c r="FU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11.644999999999996</v>
      </c>
      <c r="FZ62" s="12">
        <f>IF('Données projet'!$A$244&gt;35,FZ61+FY62-GH61,IF(A62&lt;'Données projet'!$A$244,$FW$205^A62,IF(A62='Données projet'!$A$244,'Données projet'!$B$244,FZ61+FY62-GH61)))</f>
        <v>266.01000000000005</v>
      </c>
      <c r="GA62" s="17">
        <f>FZ62*VLOOKUP('Données projet'!$B$17,Paramètres!$A$1:$I$89,3,0)*VLOOKUP('Données projet'!$B$17,Paramètres!$A$1:$I$89,5,0)</f>
        <v>253.13511600000004</v>
      </c>
      <c r="GB62" s="13">
        <f t="shared" si="49"/>
        <v>61.25679105042024</v>
      </c>
      <c r="GC62" s="20">
        <f t="shared" si="25"/>
        <v>547.56590477948191</v>
      </c>
      <c r="GD62" s="59">
        <f t="shared" si="26"/>
        <v>808.25531197332475</v>
      </c>
      <c r="GE62" s="59">
        <f ca="1">AVERAGE(OFFSET($GD$3,0,0,'Données projet'!$E$17+1,1))-AVERAGE(OFFSET($H$3,0,0,'Données projet'!$E$17+1,1))</f>
        <v>592.58528889137358</v>
      </c>
      <c r="GF62" s="59">
        <f t="shared" si="50"/>
        <v>311.31528020403709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>
        <f>EXP(-LN(2)/35)*GL61+(1-EXP(-LN(2)/35))/(LN(2)/35)*GH62*GI62*VLOOKUP('Données projet'!$B$17,Paramètres!$A$1:$I$89,3,0)*0.475*44/12</f>
        <v>81.155923343502465</v>
      </c>
      <c r="GM62" s="21">
        <f>EXP(-LN(2)/25)*GM61+(1-EXP(-LN(2)/25))/(LN(2)/25)*Calculateur!GH62*Calculateur!GJ62*VLOOKUP('Données projet'!$B$17,Paramètres!$A$1:$I$89,3,0)*0.475*44/12</f>
        <v>0</v>
      </c>
      <c r="GN62" s="21">
        <f>EXP(-LN(2)/2)*GN61+(1-EXP(-LN(2)/2))/(LN(2)/2)*GH62*GK62*VLOOKUP('Données projet'!$B$17,Paramètres!$A$1:$I$89,3,0)*0.475*44/12</f>
        <v>0</v>
      </c>
      <c r="GO62" s="21">
        <f t="shared" si="27"/>
        <v>81.155923343502465</v>
      </c>
      <c r="GP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9.375</v>
      </c>
      <c r="GU62" s="12">
        <f>IF('Données projet'!$A$270&gt;35,GU61+GT62-HC61,IF(A62&lt;'Données projet'!$A$270,$GR$205^A62,IF(A62='Données projet'!$A$270,'Données projet'!$B$270,GU61+GT62-HC61)))</f>
        <v>287.62499999999989</v>
      </c>
      <c r="GV62" s="17">
        <f>GU62*VLOOKUP('Données projet'!$B$18,Paramètres!$A$1:$I$89,3,0)*VLOOKUP('Données projet'!$B$18,Paramètres!$A$1:$I$89,5,0)</f>
        <v>224.34749999999991</v>
      </c>
      <c r="GW62" s="13">
        <f t="shared" si="51"/>
        <v>55.058714525680429</v>
      </c>
      <c r="GX62" s="20">
        <f t="shared" si="28"/>
        <v>486.63249029889329</v>
      </c>
      <c r="GY62" s="59">
        <f t="shared" si="29"/>
        <v>747.32189749273607</v>
      </c>
      <c r="GZ62" s="59">
        <f ca="1">AVERAGE(OFFSET($GY$3,0,0,'Données projet'!$E$18+1,1))-AVERAGE(OFFSET($H$3,0,0,'Données projet'!$E$18+1,1))</f>
        <v>308.85018589589453</v>
      </c>
      <c r="HA62" s="59">
        <f t="shared" si="52"/>
        <v>302.59481222418219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>
        <f>EXP(-LN(2)/35)*HG61+(1-EXP(-LN(2)/35))/(LN(2)/35)*HC62*HD62*VLOOKUP('Données projet'!$B$18,Paramètres!$A$1:$I$89,3,0)*0.475*44/12</f>
        <v>43.639178261898365</v>
      </c>
      <c r="HH62" s="21">
        <f>EXP(-LN(2)/25)*HH61+(1-EXP(-LN(2)/25))/(LN(2)/25)*Calculateur!HC62*Calculateur!HE62*VLOOKUP('Données projet'!$B$18,Paramètres!$A$1:$I$89,3,0)*0.475*44/12</f>
        <v>0</v>
      </c>
      <c r="HI62" s="21">
        <f>EXP(-LN(2)/2)*HI61+(1-EXP(-LN(2)/2))/(LN(2)/2)*HC62*HF62*VLOOKUP('Données projet'!$B$18,Paramètres!$A$1:$I$89,3,0)*0.475*44/12</f>
        <v>0</v>
      </c>
      <c r="HJ62" s="22">
        <f t="shared" si="30"/>
        <v>43.639178261898365</v>
      </c>
    </row>
    <row r="63" spans="1:218" x14ac:dyDescent="0.35">
      <c r="A63" s="10">
        <f t="shared" si="31"/>
        <v>60</v>
      </c>
      <c r="B63" s="72">
        <f>'Scénario référence'!$B$16*5+'Scénario référence'!$B$17*0+'Scénario référence'!$B$18*5</f>
        <v>5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66">
        <f t="shared" si="1"/>
        <v>183.33333333333334</v>
      </c>
      <c r="I63" s="6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11.644999999999996</v>
      </c>
      <c r="N63" s="13">
        <f>IF('Données projet'!$A$36&gt;35,N62+M63-V62,IF(A63&lt;'Données projet'!$A$36,$K$205^A63,IF(A63='Données projet'!$A$36,'Données projet'!$B$36,N62+M63-V62)))</f>
        <v>277.65500000000003</v>
      </c>
      <c r="O63" s="13">
        <f>N63*VLOOKUP('Données projet'!$B$9,Paramètres!$A$1:$I$89,3,0)*VLOOKUP('Données projet'!$B$9,Paramètres!$A$1:$I$89,5,0)</f>
        <v>251.22224400000005</v>
      </c>
      <c r="P63" s="13">
        <f t="shared" si="33"/>
        <v>60.847591673657284</v>
      </c>
      <c r="Q63" s="20">
        <f t="shared" si="53"/>
        <v>543.52163046495309</v>
      </c>
      <c r="R63" s="59">
        <f t="shared" si="0"/>
        <v>804.77733679643052</v>
      </c>
      <c r="S63" s="59">
        <f ca="1">AVERAGE(OFFSET($R$3,0,0,'Données projet'!$E$9+1,1))-AVERAGE(OFFSET($H$3,0,0,'Données projet'!$E$9+1,1))</f>
        <v>567.42635821507474</v>
      </c>
      <c r="T63" s="59">
        <f t="shared" si="34"/>
        <v>299.04735309930152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75.651496735144079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0</v>
      </c>
      <c r="AC63" s="22">
        <f t="shared" si="3"/>
        <v>75.651496735144079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11.644999999999996</v>
      </c>
      <c r="AI63" s="13">
        <f>IF('Données projet'!$A$62&gt;35,AI62+AH63-AQ62,IF(A63&lt;'Données projet'!$A$62,$AF$205^A63,IF(A63='Données projet'!$A$62,'Données projet'!$B$62,AI62+AH63-AQ62)))</f>
        <v>277.65500000000003</v>
      </c>
      <c r="AJ63" s="13">
        <f>AI63*VLOOKUP('Données projet'!$B$10,Paramètres!$A$1:$I$89,3,0)*VLOOKUP('Données projet'!$B$10,Paramètres!$A$1:$I$89,5,0)</f>
        <v>281.54217000000006</v>
      </c>
      <c r="AK63" s="13">
        <f t="shared" si="35"/>
        <v>67.292809478605577</v>
      </c>
      <c r="AL63" s="20">
        <f t="shared" si="4"/>
        <v>607.55425592523807</v>
      </c>
      <c r="AM63" s="59">
        <f t="shared" si="5"/>
        <v>868.80996225671561</v>
      </c>
      <c r="AN63" s="59">
        <f ca="1">AVERAGE(OFFSET($AM$3,0,0,'Données projet'!$E$10+1,1))-AVERAGE(OFFSET($H$3,0,0,'Données projet'!$E$10+1,1))</f>
        <v>626.09203985591455</v>
      </c>
      <c r="AO63" s="59">
        <f t="shared" si="36"/>
        <v>327.65191296575199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84.781849789385603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84.781849789385603</v>
      </c>
      <c r="AY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270</v>
      </c>
      <c r="BB63" s="12">
        <f>VLOOKUP(A63,'Données projet'!$A$87:$I$107,9,0)</f>
        <v>10.8</v>
      </c>
      <c r="BC63" s="12">
        <f t="array" ref="BC63">INDEX(BB:BB,MIN(IF(ISNUMBER(BB63:BB259),ROW(BB63:BB259),"")))</f>
        <v>10.8</v>
      </c>
      <c r="BD63" s="12">
        <f>IF('Données projet'!$A$88&gt;35,BD62+BC63-BL62,IF(A63&lt;'Données projet'!$A$88,$BA$205^A63,IF(A63='Données projet'!$A$88,'Données projet'!$B$88,BD62+BC63-BL62)))</f>
        <v>270.00000000000006</v>
      </c>
      <c r="BE63" s="13">
        <f>BD63*VLOOKUP('Données projet'!$B$11,Paramètres!$A$1:$I$89,3,0)*VLOOKUP('Données projet'!$B$11,Paramètres!$A$1:$I$89,5,0)</f>
        <v>231.66000000000011</v>
      </c>
      <c r="BF63" s="13">
        <f t="shared" si="37"/>
        <v>56.641461975682823</v>
      </c>
      <c r="BG63" s="20">
        <f t="shared" si="7"/>
        <v>502.1250462743144</v>
      </c>
      <c r="BH63" s="59">
        <f t="shared" si="8"/>
        <v>763.38075260579194</v>
      </c>
      <c r="BI63" s="59">
        <f ca="1">AVERAGE(OFFSET($BH$3,0,0,'Données projet'!$E$11+1,1))-AVERAGE(OFFSET($H$3,0,0,'Données projet'!$E$11+1,1))</f>
        <v>481.23392184981651</v>
      </c>
      <c r="BJ63" s="59">
        <f t="shared" si="38"/>
        <v>275.88160405468193</v>
      </c>
      <c r="BK63" s="15">
        <f>IF(ISNA(VLOOKUP(A63,'Données projet'!$A$87:$I$107,3,0)),0,VLOOKUP(A63,'Données projet'!$A$87:$I$107,3,0))</f>
        <v>8</v>
      </c>
      <c r="BL63" s="15">
        <f>IF(ISNA(VLOOKUP(A63,'Données projet'!$A$87:$I$107,4,0)),0,VLOOKUP(A63,'Données projet'!$A$87:$I$107,4,0))</f>
        <v>28</v>
      </c>
      <c r="BM63" s="16">
        <f>IF(ISNA(VLOOKUP(A63,'Données projet'!$A$87:$I$107,5,0)),0%,VLOOKUP(A63,'Données projet'!$A$87:$I$107,5,0)*VLOOKUP('Données projet'!$B$11,Paramètres!$A$1:$I$89,7,0))</f>
        <v>0.53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66.880610544605474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66.880610544605474</v>
      </c>
      <c r="BT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15.928750000000001</v>
      </c>
      <c r="BY63" s="12">
        <f>IF('Données projet'!$A$114&gt;35,BY62+BX63-CG62,IF(A63&lt;'Données projet'!$A$114,$BV$205^A63,IF(A63='Données projet'!$A$114,'Données projet'!$B$114,BY62+BX63-CG62)))</f>
        <v>344.62749999999954</v>
      </c>
      <c r="BZ63" s="13">
        <f>BY63*VLOOKUP('Données projet'!$B$12,Paramètres!$A$1:$I$89,3,0)*VLOOKUP('Données projet'!$B$12,Paramètres!$A$1:$I$89,5,0)</f>
        <v>161.28566999999978</v>
      </c>
      <c r="CA63" s="13">
        <f t="shared" si="39"/>
        <v>41.132366651958954</v>
      </c>
      <c r="CB63" s="20">
        <f t="shared" si="10"/>
        <v>352.54474716882811</v>
      </c>
      <c r="CC63" s="59">
        <f t="shared" si="11"/>
        <v>613.80045350030559</v>
      </c>
      <c r="CD63" s="59">
        <f ca="1">AVERAGE(OFFSET($CC$3,0,0,'Données projet'!$E$12+1,1))-AVERAGE(OFFSET($H$3,0,0,'Données projet'!$E$12+1,1))</f>
        <v>331.86732359395467</v>
      </c>
      <c r="CE63" s="59">
        <f t="shared" si="40"/>
        <v>208.64489375183106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83.69941996678584</v>
      </c>
      <c r="CL63" s="21">
        <f>EXP(-LN(2)/25)*CL62+(1-EXP(-LN(2)/25))/(LN(2)/25)*Calculateur!CG63*Calculateur!CI63*VLOOKUP('Données projet'!$B$12,Paramètres!$A$1:$I$89,3,0)*0.475*44/12</f>
        <v>0</v>
      </c>
      <c r="CM63" s="21">
        <f>EXP(-LN(2)/2)*CM62+(1-EXP(-LN(2)/2))/(LN(2)/2)*CG63*CJ63*VLOOKUP('Données projet'!$B$12,Paramètres!$A$1:$I$89,3,0)*0.475*44/12</f>
        <v>0</v>
      </c>
      <c r="CN63" s="22">
        <f t="shared" si="12"/>
        <v>83.69941996678584</v>
      </c>
      <c r="CO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294</v>
      </c>
      <c r="CR63" s="12">
        <f>VLOOKUP(A63,'Données projet'!$A$139:$I$159,9,0)</f>
        <v>6.2</v>
      </c>
      <c r="CS63" s="12">
        <f t="array" ref="CS63">INDEX(CR:CR,MIN(IF(ISNUMBER(CR63:CR259),ROW(CR63:CR259),"")))</f>
        <v>6.2</v>
      </c>
      <c r="CT63" s="12">
        <f>IF('Données projet'!$A$140&gt;35,CT62+CS63-DB62,IF(A63&lt;'Données projet'!$A$140,$CQ$205^A63,IF(A63='Données projet'!$A$140,'Données projet'!$B$140,CT62+CS63-DB62)))</f>
        <v>293.99999999999989</v>
      </c>
      <c r="CU63" s="17">
        <f>CT63*VLOOKUP('Données projet'!$B$13,Paramètres!$A$1:$I$89,3,0)*VLOOKUP('Données projet'!$B$13,Paramètres!$A$1:$I$89,5,0)</f>
        <v>215.56079999999992</v>
      </c>
      <c r="CV63" s="13">
        <f t="shared" si="41"/>
        <v>53.14890585638225</v>
      </c>
      <c r="CW63" s="20">
        <f t="shared" si="13"/>
        <v>468.00273769986558</v>
      </c>
      <c r="CX63" s="59">
        <f t="shared" si="14"/>
        <v>729.25844403134306</v>
      </c>
      <c r="CY63" s="59">
        <f ca="1">AVERAGE(OFFSET($CX$3,0,0,'Données projet'!$E$13+1,1))-AVERAGE(OFFSET($H$3,0,0,'Données projet'!$E$13+1,1))</f>
        <v>352.45777291109863</v>
      </c>
      <c r="CZ63" s="59">
        <f t="shared" si="42"/>
        <v>340.92165104349181</v>
      </c>
      <c r="DA63" s="15">
        <f>IF(ISNA(VLOOKUP(A63,'Données projet'!$A$139:$I$159,3,0)),0,VLOOKUP(A63,'Données projet'!$A$139:$I$159,3,0))</f>
        <v>10</v>
      </c>
      <c r="DB63" s="15">
        <f>IF(ISNA(VLOOKUP(A63,'Données projet'!$A$139:$I$159,4,0)),0,VLOOKUP(A63,'Données projet'!$A$139:$I$159,4,0))</f>
        <v>14</v>
      </c>
      <c r="DC63" s="16">
        <f>IF(ISNA(VLOOKUP(A63,'Données projet'!$A$139:$I$159,5,0)),0%,VLOOKUP(A63,'Données projet'!$A$139:$I$159,5,0)*VLOOKUP('Données projet'!$B$13,Paramètres!$A$1:$I$89,7,0))</f>
        <v>0.43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37.221382273162284</v>
      </c>
      <c r="DG63" s="21">
        <f>EXP(-LN(2)/25)*DG62+(1-EXP(-LN(2)/25))/(LN(2)/25)*Calculateur!DB63*Calculateur!DD63*VLOOKUP('Données projet'!$B$13,Paramètres!$A$1:$I$89,3,0)*0.475*44/12</f>
        <v>0</v>
      </c>
      <c r="DH63" s="21">
        <f>EXP(-LN(2)/2)*DH62+(1-EXP(-LN(2)/2))/(LN(2)/2)*DB63*DE63*VLOOKUP('Données projet'!$B$13,Paramètres!$A$1:$I$89,3,0)*0.475*44/12</f>
        <v>0</v>
      </c>
      <c r="DI63" s="22">
        <f t="shared" si="15"/>
        <v>37.221382273162284</v>
      </c>
      <c r="DJ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11.644999999999996</v>
      </c>
      <c r="DO63" s="12">
        <f>IF('Données projet'!$A$166&gt;35,DO62+DN63-DW62,IF(A63&lt;'Données projet'!$A$166,$DL$205^A63,IF(A63='Données projet'!$A$166,'Données projet'!$B$166,DO62+DN63-DW62)))</f>
        <v>277.65500000000003</v>
      </c>
      <c r="DP63" s="17">
        <f>DO63*VLOOKUP('Données projet'!$B$14,Paramètres!$A$1:$I$89,3,0)*VLOOKUP('Données projet'!$B$14,Paramètres!$A$1:$I$89,5,0)</f>
        <v>186.25097400000001</v>
      </c>
      <c r="DQ63" s="13">
        <f t="shared" si="43"/>
        <v>46.710137521982844</v>
      </c>
      <c r="DR63" s="20">
        <f t="shared" si="16"/>
        <v>405.74060256745344</v>
      </c>
      <c r="DS63" s="59">
        <f t="shared" si="17"/>
        <v>666.99630889893092</v>
      </c>
      <c r="DT63" s="59">
        <f ca="1">AVERAGE(OFFSET($DS$3,0,0,'Données projet'!$E$14+1,1))-AVERAGE(OFFSET($H$3,0,0,'Données projet'!$E$14+1,1))</f>
        <v>441.20130048888439</v>
      </c>
      <c r="DU63" s="59">
        <f t="shared" si="44"/>
        <v>237.47732532183946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69.129815982114408</v>
      </c>
      <c r="EB63" s="21">
        <f>EXP(-LN(2)/25)*EB62+(1-EXP(-LN(2)/25))/(LN(2)/25)*Calculateur!DW63*Calculateur!DY63*VLOOKUP('Données projet'!$B$14,Paramètres!$A$1:$I$89,3,0)*0.475*44/12</f>
        <v>0</v>
      </c>
      <c r="EC63" s="21">
        <f>EXP(-LN(2)/2)*EC62+(1-EXP(-LN(2)/2))/(LN(2)/2)*DW63*DZ63*VLOOKUP('Données projet'!$B$14,Paramètres!$A$1:$I$89,3,0)*0.475*44/12</f>
        <v>0</v>
      </c>
      <c r="ED63" s="22">
        <f t="shared" si="18"/>
        <v>69.129815982114408</v>
      </c>
      <c r="EE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>
        <f>VLOOKUP(A63,'Données projet'!$A$191:$I$211,2,0)</f>
        <v>294</v>
      </c>
      <c r="EH63" s="12">
        <f>VLOOKUP(A63,'Données projet'!$A$191:$I$211,9,0)</f>
        <v>6.2</v>
      </c>
      <c r="EI63" s="12">
        <f t="array" ref="EI63">INDEX(EH:EH,MIN(IF(ISNUMBER(EH63:EH259),ROW(EH63:EH259),"")))</f>
        <v>6.2</v>
      </c>
      <c r="EJ63" s="12">
        <f>IF('Données projet'!$A$192&gt;35,EJ62+EI63-ER62,IF(A63&lt;'Données projet'!$A$192,$EG$205^A63,IF(A63='Données projet'!$A$192,'Données projet'!$B$192,EJ62+EI63-ER62)))</f>
        <v>293.99999999999989</v>
      </c>
      <c r="EK63" s="17">
        <f>EJ63*VLOOKUP('Données projet'!$B$15,Paramètres!$A$1:$I$89,3,0)*VLOOKUP('Données projet'!$B$15,Paramètres!$A$1:$I$89,5,0)</f>
        <v>233.90639999999991</v>
      </c>
      <c r="EL63" s="13">
        <f t="shared" si="45"/>
        <v>57.126506840778347</v>
      </c>
      <c r="EM63" s="20">
        <f t="shared" si="19"/>
        <v>506.88231274768879</v>
      </c>
      <c r="EN63" s="59">
        <f t="shared" si="20"/>
        <v>768.13801907916627</v>
      </c>
      <c r="EO63" s="59">
        <f ca="1">AVERAGE(OFFSET($EN$3,0,0,'Données projet'!$E$15+1,1))-AVERAGE(OFFSET($H$3,0,0,'Données projet'!$E$15+1,1))</f>
        <v>377.27600411578322</v>
      </c>
      <c r="EP63" s="59">
        <f t="shared" si="46"/>
        <v>364.58250627635425</v>
      </c>
      <c r="EQ63" s="15">
        <f>IF(ISNA(VLOOKUP(A63,'Données projet'!$A$191:$I$211,3,0)),0,VLOOKUP(A63,'Données projet'!$A$191:$I$211,3,0))</f>
        <v>10</v>
      </c>
      <c r="ER63" s="15">
        <f>IF(ISNA(VLOOKUP(A63,'Données projet'!$A$191:$I$211,4,0)),0,VLOOKUP(A63,'Données projet'!$A$191:$I$211,4,0))</f>
        <v>14</v>
      </c>
      <c r="ES63" s="16">
        <f>IF(ISNA(VLOOKUP(A63,'Données projet'!$A$191:$I$211,5,0)),0%,VLOOKUP(A63,'Données projet'!$A$191:$I$211,5,0)*VLOOKUP('Données projet'!$B$15,Paramètres!$A$1:$I$89,7,0))</f>
        <v>0.53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>
        <f>EXP(-LN(2)/35)*EV62+(1-EXP(-LN(2)/35))/(LN(2)/35)*ER63*ES63*VLOOKUP('Données projet'!$B$15,Paramètres!$A$1:$I$89,3,0)*0.475*44/12</f>
        <v>49.781987275783123</v>
      </c>
      <c r="EW63" s="21">
        <f>EXP(-LN(2)/25)*EW62+(1-EXP(-LN(2)/25))/(LN(2)/25)*Calculateur!ER63*Calculateur!ET63*VLOOKUP('Données projet'!$B$15,Paramètres!$A$1:$I$89,3,0)*0.475*44/12</f>
        <v>0</v>
      </c>
      <c r="EX63" s="21">
        <f>EXP(-LN(2)/2)*EX62+(1-EXP(-LN(2)/2))/(LN(2)/2)*ER63*EU63*VLOOKUP('Données projet'!$B$15,Paramètres!$A$1:$I$89,3,0)*0.475*44/12</f>
        <v>0</v>
      </c>
      <c r="EY63" s="22">
        <f t="shared" si="21"/>
        <v>49.781987275783123</v>
      </c>
      <c r="EZ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>
        <f>VLOOKUP(A63,'Données projet'!$A$217:$I$237,2,0)</f>
        <v>294</v>
      </c>
      <c r="FC63" s="12">
        <f>VLOOKUP(A63,'Données projet'!$A$217:$I$237,9,0)</f>
        <v>6.2</v>
      </c>
      <c r="FD63" s="12">
        <f t="array" ref="FD63">INDEX(FC:FC,MIN(IF(ISNUMBER(FC63:FC259),ROW(FC63:FC259),"")))</f>
        <v>6.2</v>
      </c>
      <c r="FE63" s="12">
        <f>IF('Données projet'!$A$218&gt;35,FE62+FD63-FM62,IF(A63&lt;'Données projet'!$A$218,$FB$205^A63,IF(A63='Données projet'!$A$218,'Données projet'!$B$218,FE62+FD63-FM62)))</f>
        <v>293.99999999999989</v>
      </c>
      <c r="FF63" s="17">
        <f>FE63*VLOOKUP('Données projet'!$B$16,Paramètres!$A$1:$I$89,3,0)*VLOOKUP('Données projet'!$B$16,Paramètres!$A$1:$I$89,5,0)</f>
        <v>238.4927999999999</v>
      </c>
      <c r="FG63" s="13">
        <f t="shared" si="47"/>
        <v>58.115130258576542</v>
      </c>
      <c r="FH63" s="20">
        <f t="shared" si="22"/>
        <v>516.59214520035403</v>
      </c>
      <c r="FI63" s="59">
        <f t="shared" si="23"/>
        <v>777.84785153183157</v>
      </c>
      <c r="FJ63" s="59">
        <f ca="1">AVERAGE(OFFSET($FI$3,0,0,'Données projet'!$E$16+1,1))-AVERAGE(OFFSET($H$3,0,0,'Données projet'!$E$16+1,1))</f>
        <v>383.47399633251354</v>
      </c>
      <c r="FK63" s="59">
        <f t="shared" si="48"/>
        <v>370.49129421395628</v>
      </c>
      <c r="FL63" s="15">
        <f>IF(ISNA(VLOOKUP(A63,'Données projet'!$A$217:$I$237,3,0)),0,VLOOKUP(A63,'Données projet'!$A$217:$I$237,3,0))</f>
        <v>10</v>
      </c>
      <c r="FM63" s="15">
        <f>IF(ISNA(VLOOKUP(A63,'Données projet'!$A$217:$I$237,4,0)),0,VLOOKUP(A63,'Données projet'!$A$217:$I$237,4,0))</f>
        <v>14</v>
      </c>
      <c r="FN63" s="16">
        <f>IF(ISNA(VLOOKUP(A63,'Données projet'!$A$217:$I$237,5,0)),0%,VLOOKUP(A63,'Données projet'!$A$217:$I$237,5,0)*VLOOKUP('Données projet'!$B$16,Paramètres!$A$1:$I$89,7,0))</f>
        <v>0.53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>
        <f>EXP(-LN(2)/35)*FQ62+(1-EXP(-LN(2)/35))/(LN(2)/35)*FM63*FN63*VLOOKUP('Données projet'!$B$16,Paramètres!$A$1:$I$89,3,0)*0.475*44/12</f>
        <v>50.758104673347518</v>
      </c>
      <c r="FR63" s="21">
        <f>EXP(-LN(2)/25)*FR62+(1-EXP(-LN(2)/25))/(LN(2)/25)*Calculateur!FM63*Calculateur!FO63*VLOOKUP('Données projet'!$B$16,Paramètres!$A$1:$I$89,3,0)*0.475*44/12</f>
        <v>0</v>
      </c>
      <c r="FS63" s="21">
        <f>EXP(-LN(2)/2)*FS62+(1-EXP(-LN(2)/2))/(LN(2)/2)*FM63*FP63*VLOOKUP('Données projet'!$B$16,Paramètres!$A$1:$I$89,3,0)*0.475*44/12</f>
        <v>0</v>
      </c>
      <c r="FT63" s="22">
        <f t="shared" si="24"/>
        <v>50.758104673347518</v>
      </c>
      <c r="FU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11.644999999999996</v>
      </c>
      <c r="FZ63" s="12">
        <f>IF('Données projet'!$A$244&gt;35,FZ62+FY63-GH62,IF(A63&lt;'Données projet'!$A$244,$FW$205^A63,IF(A63='Données projet'!$A$244,'Données projet'!$B$244,FZ62+FY63-GH62)))</f>
        <v>277.65500000000003</v>
      </c>
      <c r="GA63" s="17">
        <f>FZ63*VLOOKUP('Données projet'!$B$17,Paramètres!$A$1:$I$89,3,0)*VLOOKUP('Données projet'!$B$17,Paramètres!$A$1:$I$89,5,0)</f>
        <v>264.216498</v>
      </c>
      <c r="GB63" s="13">
        <f t="shared" si="49"/>
        <v>63.620321696052983</v>
      </c>
      <c r="GC63" s="20">
        <f t="shared" si="25"/>
        <v>570.98246097062554</v>
      </c>
      <c r="GD63" s="59">
        <f t="shared" si="26"/>
        <v>832.23816730210297</v>
      </c>
      <c r="GE63" s="59">
        <f ca="1">AVERAGE(OFFSET($GD$3,0,0,'Données projet'!$E$17+1,1))-AVERAGE(OFFSET($H$3,0,0,'Données projet'!$E$17+1,1))</f>
        <v>592.58528889137358</v>
      </c>
      <c r="GF63" s="59">
        <f t="shared" si="50"/>
        <v>311.31528020403709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>
        <f>EXP(-LN(2)/35)*GL62+(1-EXP(-LN(2)/35))/(LN(2)/35)*GH63*GI63*VLOOKUP('Données projet'!$B$17,Paramètres!$A$1:$I$89,3,0)*0.475*44/12</f>
        <v>79.564505186961881</v>
      </c>
      <c r="GM63" s="21">
        <f>EXP(-LN(2)/25)*GM62+(1-EXP(-LN(2)/25))/(LN(2)/25)*Calculateur!GH63*Calculateur!GJ63*VLOOKUP('Données projet'!$B$17,Paramètres!$A$1:$I$89,3,0)*0.475*44/12</f>
        <v>0</v>
      </c>
      <c r="GN63" s="21">
        <f>EXP(-LN(2)/2)*GN62+(1-EXP(-LN(2)/2))/(LN(2)/2)*GH63*GK63*VLOOKUP('Données projet'!$B$17,Paramètres!$A$1:$I$89,3,0)*0.475*44/12</f>
        <v>0</v>
      </c>
      <c r="GO63" s="21">
        <f t="shared" si="27"/>
        <v>79.564505186961881</v>
      </c>
      <c r="GP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>
        <f>VLOOKUP(A63,'Données projet'!$A$269:$I$289,2,0)</f>
        <v>297</v>
      </c>
      <c r="GS63" s="12">
        <f>VLOOKUP(A63,'Données projet'!$A$269:$I$289,9,0)</f>
        <v>9.375</v>
      </c>
      <c r="GT63" s="12">
        <f t="array" ref="GT63">INDEX(GS:GS,MIN(IF(ISNUMBER(GS63:GS259),ROW(GS63:GS259),"")))</f>
        <v>9.375</v>
      </c>
      <c r="GU63" s="12">
        <f>IF('Données projet'!$A$270&gt;35,GU62+GT63-HC62,IF(A63&lt;'Données projet'!$A$270,$GR$205^A63,IF(A63='Données projet'!$A$270,'Données projet'!$B$270,GU62+GT63-HC62)))</f>
        <v>296.99999999999989</v>
      </c>
      <c r="GV63" s="17">
        <f>GU63*VLOOKUP('Données projet'!$B$18,Paramètres!$A$1:$I$89,3,0)*VLOOKUP('Données projet'!$B$18,Paramètres!$A$1:$I$89,5,0)</f>
        <v>231.65999999999991</v>
      </c>
      <c r="GW63" s="13">
        <f t="shared" si="51"/>
        <v>56.641461975682766</v>
      </c>
      <c r="GX63" s="20">
        <f t="shared" si="28"/>
        <v>502.125046274314</v>
      </c>
      <c r="GY63" s="59">
        <f t="shared" si="29"/>
        <v>763.38075260579149</v>
      </c>
      <c r="GZ63" s="59">
        <f ca="1">AVERAGE(OFFSET($GY$3,0,0,'Données projet'!$E$18+1,1))-AVERAGE(OFFSET($H$3,0,0,'Données projet'!$E$18+1,1))</f>
        <v>308.85018589589453</v>
      </c>
      <c r="HA63" s="59">
        <f t="shared" si="52"/>
        <v>302.59481222418219</v>
      </c>
      <c r="HB63" s="15">
        <f>IF(ISNA(VLOOKUP(A63,'Données projet'!$A$269:$I$289,3,0)),0,VLOOKUP(A63,'Données projet'!$A$269:$I$289,3,0))</f>
        <v>8</v>
      </c>
      <c r="HC63" s="15">
        <f>IF(ISNA(VLOOKUP(A63,'Données projet'!$A$269:$I$289,4,0)),0,VLOOKUP(A63,'Données projet'!$A$269:$I$289,4,0))</f>
        <v>47</v>
      </c>
      <c r="HD63" s="16">
        <f>IF(ISNA(VLOOKUP(A63,'Données projet'!$A$269:$I$289,5,0)),0%,VLOOKUP(A63,'Données projet'!$A$269:$I$289,5,0)*VLOOKUP('Données projet'!$B$18,Paramètres!$A$1:$I$89,7,0))</f>
        <v>0.43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>
        <f>EXP(-LN(2)/35)*HG62+(1-EXP(-LN(2)/35))/(LN(2)/35)*HC63*HD63*VLOOKUP('Données projet'!$B$18,Paramètres!$A$1:$I$89,3,0)*0.475*44/12</f>
        <v>60.209854562334556</v>
      </c>
      <c r="HH63" s="21">
        <f>EXP(-LN(2)/25)*HH62+(1-EXP(-LN(2)/25))/(LN(2)/25)*Calculateur!HC63*Calculateur!HE63*VLOOKUP('Données projet'!$B$18,Paramètres!$A$1:$I$89,3,0)*0.475*44/12</f>
        <v>0</v>
      </c>
      <c r="HI63" s="21">
        <f>EXP(-LN(2)/2)*HI62+(1-EXP(-LN(2)/2))/(LN(2)/2)*HC63*HF63*VLOOKUP('Données projet'!$B$18,Paramètres!$A$1:$I$89,3,0)*0.475*44/12</f>
        <v>0</v>
      </c>
      <c r="HJ63" s="22">
        <f t="shared" si="30"/>
        <v>60.209854562334556</v>
      </c>
    </row>
    <row r="64" spans="1:218" x14ac:dyDescent="0.35">
      <c r="A64" s="10">
        <f t="shared" si="31"/>
        <v>61</v>
      </c>
      <c r="B64" s="72">
        <f>'Scénario référence'!$B$16*5+'Scénario référence'!$B$17*0+'Scénario référence'!$B$18*5</f>
        <v>5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66">
        <f t="shared" si="1"/>
        <v>183.33333333333334</v>
      </c>
      <c r="I64" s="6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11.644999999999996</v>
      </c>
      <c r="N64" s="13">
        <f>IF('Données projet'!$A$36&gt;35,N63+M64-V63,IF(A64&lt;'Données projet'!$A$36,$K$205^A64,IF(A64='Données projet'!$A$36,'Données projet'!$B$36,N63+M64-V63)))</f>
        <v>289.3</v>
      </c>
      <c r="O64" s="13">
        <f>N64*VLOOKUP('Données projet'!$B$9,Paramètres!$A$1:$I$89,3,0)*VLOOKUP('Données projet'!$B$9,Paramètres!$A$1:$I$89,5,0)</f>
        <v>261.75863999999996</v>
      </c>
      <c r="P64" s="13">
        <f t="shared" si="33"/>
        <v>63.097101732536537</v>
      </c>
      <c r="Q64" s="20">
        <f t="shared" si="53"/>
        <v>565.79041685083439</v>
      </c>
      <c r="R64" s="59">
        <f t="shared" si="0"/>
        <v>827.60259829596373</v>
      </c>
      <c r="S64" s="59">
        <f ca="1">AVERAGE(OFFSET($R$3,0,0,'Données projet'!$E$9+1,1))-AVERAGE(OFFSET($H$3,0,0,'Données projet'!$E$9+1,1))</f>
        <v>567.42635821507474</v>
      </c>
      <c r="T64" s="59">
        <f t="shared" si="34"/>
        <v>299.04735309930152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74.168017027024689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0</v>
      </c>
      <c r="AC64" s="22">
        <f t="shared" si="3"/>
        <v>74.168017027024689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11.644999999999996</v>
      </c>
      <c r="AI64" s="13">
        <f>IF('Données projet'!$A$62&gt;35,AI63+AH64-AQ63,IF(A64&lt;'Données projet'!$A$62,$AF$205^A64,IF(A64='Données projet'!$A$62,'Données projet'!$B$62,AI63+AH64-AQ63)))</f>
        <v>289.3</v>
      </c>
      <c r="AJ64" s="13">
        <f>AI64*VLOOKUP('Données projet'!$B$10,Paramètres!$A$1:$I$89,3,0)*VLOOKUP('Données projet'!$B$10,Paramètres!$A$1:$I$89,5,0)</f>
        <v>293.35020000000003</v>
      </c>
      <c r="AK64" s="13">
        <f t="shared" si="35"/>
        <v>69.780596548704253</v>
      </c>
      <c r="AL64" s="20">
        <f t="shared" si="4"/>
        <v>632.45280398899331</v>
      </c>
      <c r="AM64" s="59">
        <f t="shared" si="5"/>
        <v>894.26498543412265</v>
      </c>
      <c r="AN64" s="59">
        <f ca="1">AVERAGE(OFFSET($AM$3,0,0,'Données projet'!$E$10+1,1))-AVERAGE(OFFSET($H$3,0,0,'Données projet'!$E$10+1,1))</f>
        <v>626.09203985591455</v>
      </c>
      <c r="AO64" s="59">
        <f t="shared" si="36"/>
        <v>327.65191296575199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83.119329426838007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83.119329426838007</v>
      </c>
      <c r="AY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10.4</v>
      </c>
      <c r="BD64" s="12">
        <f>IF('Données projet'!$A$88&gt;35,BD63+BC64-BL63,IF(A64&lt;'Données projet'!$A$88,$BA$205^A64,IF(A64='Données projet'!$A$88,'Données projet'!$B$88,BD63+BC64-BL63)))</f>
        <v>252.40000000000003</v>
      </c>
      <c r="BE64" s="13">
        <f>BD64*VLOOKUP('Données projet'!$B$11,Paramètres!$A$1:$I$89,3,0)*VLOOKUP('Données projet'!$B$11,Paramètres!$A$1:$I$89,5,0)</f>
        <v>216.55920000000003</v>
      </c>
      <c r="BF64" s="13">
        <f t="shared" si="37"/>
        <v>53.366360125240483</v>
      </c>
      <c r="BG64" s="20">
        <f t="shared" si="7"/>
        <v>470.12035055146049</v>
      </c>
      <c r="BH64" s="59">
        <f t="shared" si="8"/>
        <v>731.93253199658989</v>
      </c>
      <c r="BI64" s="59">
        <f ca="1">AVERAGE(OFFSET($BH$3,0,0,'Données projet'!$E$11+1,1))-AVERAGE(OFFSET($H$3,0,0,'Données projet'!$E$11+1,1))</f>
        <v>481.23392184981651</v>
      </c>
      <c r="BJ64" s="59">
        <f t="shared" si="38"/>
        <v>275.88160405468193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65.569122564970201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65.569122564970201</v>
      </c>
      <c r="BT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15.928750000000001</v>
      </c>
      <c r="BY64" s="12">
        <f>IF('Données projet'!$A$114&gt;35,BY63+BX64-CG63,IF(A64&lt;'Données projet'!$A$114,$BV$205^A64,IF(A64='Données projet'!$A$114,'Données projet'!$B$114,BY63+BX64-CG63)))</f>
        <v>360.55624999999952</v>
      </c>
      <c r="BZ64" s="13">
        <f>BY64*VLOOKUP('Données projet'!$B$12,Paramètres!$A$1:$I$89,3,0)*VLOOKUP('Données projet'!$B$12,Paramètres!$A$1:$I$89,5,0)</f>
        <v>168.74032499999979</v>
      </c>
      <c r="CA64" s="13">
        <f t="shared" si="39"/>
        <v>42.807776284897514</v>
      </c>
      <c r="CB64" s="20">
        <f t="shared" si="10"/>
        <v>368.44627640452944</v>
      </c>
      <c r="CC64" s="59">
        <f t="shared" si="11"/>
        <v>630.25845784965873</v>
      </c>
      <c r="CD64" s="59">
        <f ca="1">AVERAGE(OFFSET($CC$3,0,0,'Données projet'!$E$12+1,1))-AVERAGE(OFFSET($H$3,0,0,'Données projet'!$E$12+1,1))</f>
        <v>331.86732359395467</v>
      </c>
      <c r="CE64" s="59">
        <f t="shared" si="40"/>
        <v>208.64489375183106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82.058125392842427</v>
      </c>
      <c r="CL64" s="21">
        <f>EXP(-LN(2)/25)*CL63+(1-EXP(-LN(2)/25))/(LN(2)/25)*Calculateur!CG64*Calculateur!CI64*VLOOKUP('Données projet'!$B$12,Paramètres!$A$1:$I$89,3,0)*0.475*44/12</f>
        <v>0</v>
      </c>
      <c r="CM64" s="21">
        <f>EXP(-LN(2)/2)*CM63+(1-EXP(-LN(2)/2))/(LN(2)/2)*CG64*CJ64*VLOOKUP('Données projet'!$B$12,Paramètres!$A$1:$I$89,3,0)*0.475*44/12</f>
        <v>0</v>
      </c>
      <c r="CN64" s="22">
        <f t="shared" si="12"/>
        <v>82.058125392842427</v>
      </c>
      <c r="CO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5.2</v>
      </c>
      <c r="CT64" s="12">
        <f>IF('Données projet'!$A$140&gt;35,CT63+CS64-DB63,IF(A64&lt;'Données projet'!$A$140,$CQ$205^A64,IF(A64='Données projet'!$A$140,'Données projet'!$B$140,CT63+CS64-DB63)))</f>
        <v>285.19999999999987</v>
      </c>
      <c r="CU64" s="17">
        <f>CT64*VLOOKUP('Données projet'!$B$13,Paramètres!$A$1:$I$89,3,0)*VLOOKUP('Données projet'!$B$13,Paramètres!$A$1:$I$89,5,0)</f>
        <v>209.10863999999989</v>
      </c>
      <c r="CV64" s="13">
        <f t="shared" si="41"/>
        <v>51.740752917407036</v>
      </c>
      <c r="CW64" s="20">
        <f t="shared" si="13"/>
        <v>454.31269266448368</v>
      </c>
      <c r="CX64" s="59">
        <f t="shared" si="14"/>
        <v>716.12487410961307</v>
      </c>
      <c r="CY64" s="59">
        <f ca="1">AVERAGE(OFFSET($CX$3,0,0,'Données projet'!$E$13+1,1))-AVERAGE(OFFSET($H$3,0,0,'Données projet'!$E$13+1,1))</f>
        <v>352.45777291109863</v>
      </c>
      <c r="CZ64" s="59">
        <f t="shared" si="42"/>
        <v>340.92165104349181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36.491493669587044</v>
      </c>
      <c r="DG64" s="21">
        <f>EXP(-LN(2)/25)*DG63+(1-EXP(-LN(2)/25))/(LN(2)/25)*Calculateur!DB64*Calculateur!DD64*VLOOKUP('Données projet'!$B$13,Paramètres!$A$1:$I$89,3,0)*0.475*44/12</f>
        <v>0</v>
      </c>
      <c r="DH64" s="21">
        <f>EXP(-LN(2)/2)*DH63+(1-EXP(-LN(2)/2))/(LN(2)/2)*DB64*DE64*VLOOKUP('Données projet'!$B$13,Paramètres!$A$1:$I$89,3,0)*0.475*44/12</f>
        <v>0</v>
      </c>
      <c r="DI64" s="22">
        <f t="shared" si="15"/>
        <v>36.491493669587044</v>
      </c>
      <c r="DJ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11.644999999999996</v>
      </c>
      <c r="DO64" s="12">
        <f>IF('Données projet'!$A$166&gt;35,DO63+DN64-DW63,IF(A64&lt;'Données projet'!$A$166,$DL$205^A64,IF(A64='Données projet'!$A$166,'Données projet'!$B$166,DO63+DN64-DW63)))</f>
        <v>289.3</v>
      </c>
      <c r="DP64" s="17">
        <f>DO64*VLOOKUP('Données projet'!$B$14,Paramètres!$A$1:$I$89,3,0)*VLOOKUP('Données projet'!$B$14,Paramètres!$A$1:$I$89,5,0)</f>
        <v>194.06244000000001</v>
      </c>
      <c r="DQ64" s="13">
        <f t="shared" si="43"/>
        <v>48.436991803593244</v>
      </c>
      <c r="DR64" s="20">
        <f t="shared" si="16"/>
        <v>422.35317705792494</v>
      </c>
      <c r="DS64" s="59">
        <f t="shared" si="17"/>
        <v>684.16535850305422</v>
      </c>
      <c r="DT64" s="59">
        <f ca="1">AVERAGE(OFFSET($DS$3,0,0,'Données projet'!$E$14+1,1))-AVERAGE(OFFSET($H$3,0,0,'Données projet'!$E$14+1,1))</f>
        <v>441.20130048888439</v>
      </c>
      <c r="DU64" s="59">
        <f t="shared" si="44"/>
        <v>237.47732532183946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67.774222455729443</v>
      </c>
      <c r="EB64" s="21">
        <f>EXP(-LN(2)/25)*EB63+(1-EXP(-LN(2)/25))/(LN(2)/25)*Calculateur!DW64*Calculateur!DY64*VLOOKUP('Données projet'!$B$14,Paramètres!$A$1:$I$89,3,0)*0.475*44/12</f>
        <v>0</v>
      </c>
      <c r="EC64" s="21">
        <f>EXP(-LN(2)/2)*EC63+(1-EXP(-LN(2)/2))/(LN(2)/2)*DW64*DZ64*VLOOKUP('Données projet'!$B$14,Paramètres!$A$1:$I$89,3,0)*0.475*44/12</f>
        <v>0</v>
      </c>
      <c r="ED64" s="22">
        <f t="shared" si="18"/>
        <v>67.774222455729443</v>
      </c>
      <c r="EE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5.2</v>
      </c>
      <c r="EJ64" s="12">
        <f>IF('Données projet'!$A$192&gt;35,EJ63+EI64-ER63,IF(A64&lt;'Données projet'!$A$192,$EG$205^A64,IF(A64='Données projet'!$A$192,'Données projet'!$B$192,EJ63+EI64-ER63)))</f>
        <v>285.19999999999987</v>
      </c>
      <c r="EK64" s="17">
        <f>EJ64*VLOOKUP('Données projet'!$B$15,Paramètres!$A$1:$I$89,3,0)*VLOOKUP('Données projet'!$B$15,Paramètres!$A$1:$I$89,5,0)</f>
        <v>226.90511999999993</v>
      </c>
      <c r="EL64" s="13">
        <f t="shared" si="45"/>
        <v>55.612969408444364</v>
      </c>
      <c r="EM64" s="20">
        <f t="shared" si="19"/>
        <v>492.05233905304044</v>
      </c>
      <c r="EN64" s="59">
        <f t="shared" si="20"/>
        <v>753.86452049816978</v>
      </c>
      <c r="EO64" s="59">
        <f ca="1">AVERAGE(OFFSET($EN$3,0,0,'Données projet'!$E$15+1,1))-AVERAGE(OFFSET($H$3,0,0,'Données projet'!$E$15+1,1))</f>
        <v>377.27600411578322</v>
      </c>
      <c r="EP64" s="59">
        <f t="shared" si="46"/>
        <v>364.58250627635425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>
        <f>EXP(-LN(2)/35)*EV63+(1-EXP(-LN(2)/35))/(LN(2)/35)*ER64*ES64*VLOOKUP('Données projet'!$B$15,Paramètres!$A$1:$I$89,3,0)*0.475*44/12</f>
        <v>48.805792869319056</v>
      </c>
      <c r="EW64" s="21">
        <f>EXP(-LN(2)/25)*EW63+(1-EXP(-LN(2)/25))/(LN(2)/25)*Calculateur!ER64*Calculateur!ET64*VLOOKUP('Données projet'!$B$15,Paramètres!$A$1:$I$89,3,0)*0.475*44/12</f>
        <v>0</v>
      </c>
      <c r="EX64" s="21">
        <f>EXP(-LN(2)/2)*EX63+(1-EXP(-LN(2)/2))/(LN(2)/2)*ER64*EU64*VLOOKUP('Données projet'!$B$15,Paramètres!$A$1:$I$89,3,0)*0.475*44/12</f>
        <v>0</v>
      </c>
      <c r="EY64" s="22">
        <f t="shared" si="21"/>
        <v>48.805792869319056</v>
      </c>
      <c r="EZ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5.2</v>
      </c>
      <c r="FE64" s="12">
        <f>IF('Données projet'!$A$218&gt;35,FE63+FD64-FM63,IF(A64&lt;'Données projet'!$A$218,$FB$205^A64,IF(A64='Données projet'!$A$218,'Données projet'!$B$218,FE63+FD64-FM63)))</f>
        <v>285.19999999999987</v>
      </c>
      <c r="FF64" s="17">
        <f>FE64*VLOOKUP('Données projet'!$B$16,Paramètres!$A$1:$I$89,3,0)*VLOOKUP('Données projet'!$B$16,Paramètres!$A$1:$I$89,5,0)</f>
        <v>231.35423999999992</v>
      </c>
      <c r="FG64" s="13">
        <f t="shared" si="47"/>
        <v>56.575399756999062</v>
      </c>
      <c r="FH64" s="20">
        <f t="shared" si="22"/>
        <v>501.47745591010658</v>
      </c>
      <c r="FI64" s="59">
        <f t="shared" si="23"/>
        <v>763.28963735523598</v>
      </c>
      <c r="FJ64" s="59">
        <f ca="1">AVERAGE(OFFSET($FI$3,0,0,'Données projet'!$E$16+1,1))-AVERAGE(OFFSET($H$3,0,0,'Données projet'!$E$16+1,1))</f>
        <v>383.47399633251354</v>
      </c>
      <c r="FK64" s="59">
        <f t="shared" si="48"/>
        <v>370.49129421395628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>
        <f>EXP(-LN(2)/35)*FQ63+(1-EXP(-LN(2)/35))/(LN(2)/35)*FM64*FN64*VLOOKUP('Données projet'!$B$16,Paramètres!$A$1:$I$89,3,0)*0.475*44/12</f>
        <v>49.762769200090041</v>
      </c>
      <c r="FR64" s="21">
        <f>EXP(-LN(2)/25)*FR63+(1-EXP(-LN(2)/25))/(LN(2)/25)*Calculateur!FM64*Calculateur!FO64*VLOOKUP('Données projet'!$B$16,Paramètres!$A$1:$I$89,3,0)*0.475*44/12</f>
        <v>0</v>
      </c>
      <c r="FS64" s="21">
        <f>EXP(-LN(2)/2)*FS63+(1-EXP(-LN(2)/2))/(LN(2)/2)*FM64*FP64*VLOOKUP('Données projet'!$B$16,Paramètres!$A$1:$I$89,3,0)*0.475*44/12</f>
        <v>0</v>
      </c>
      <c r="FT64" s="22">
        <f t="shared" si="24"/>
        <v>49.762769200090041</v>
      </c>
      <c r="FU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11.644999999999996</v>
      </c>
      <c r="FZ64" s="12">
        <f>IF('Données projet'!$A$244&gt;35,FZ63+FY64-GH63,IF(A64&lt;'Données projet'!$A$244,$FW$205^A64,IF(A64='Données projet'!$A$244,'Données projet'!$B$244,FZ63+FY64-GH63)))</f>
        <v>289.3</v>
      </c>
      <c r="GA64" s="17">
        <f>FZ64*VLOOKUP('Données projet'!$B$17,Paramètres!$A$1:$I$89,3,0)*VLOOKUP('Données projet'!$B$17,Paramètres!$A$1:$I$89,5,0)</f>
        <v>275.29788000000002</v>
      </c>
      <c r="GB64" s="13">
        <f t="shared" si="49"/>
        <v>65.972338426180542</v>
      </c>
      <c r="GC64" s="20">
        <f t="shared" si="25"/>
        <v>594.37896375893115</v>
      </c>
      <c r="GD64" s="59">
        <f t="shared" si="26"/>
        <v>856.19114520406049</v>
      </c>
      <c r="GE64" s="59">
        <f ca="1">AVERAGE(OFFSET($GD$3,0,0,'Données projet'!$E$17+1,1))-AVERAGE(OFFSET($H$3,0,0,'Données projet'!$E$17+1,1))</f>
        <v>592.58528889137358</v>
      </c>
      <c r="GF64" s="59">
        <f t="shared" si="50"/>
        <v>311.31528020403709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>
        <f>EXP(-LN(2)/35)*GL63+(1-EXP(-LN(2)/35))/(LN(2)/35)*GH64*GI64*VLOOKUP('Données projet'!$B$17,Paramètres!$A$1:$I$89,3,0)*0.475*44/12</f>
        <v>78.004293769801833</v>
      </c>
      <c r="GM64" s="21">
        <f>EXP(-LN(2)/25)*GM63+(1-EXP(-LN(2)/25))/(LN(2)/25)*Calculateur!GH64*Calculateur!GJ64*VLOOKUP('Données projet'!$B$17,Paramètres!$A$1:$I$89,3,0)*0.475*44/12</f>
        <v>0</v>
      </c>
      <c r="GN64" s="21">
        <f>EXP(-LN(2)/2)*GN63+(1-EXP(-LN(2)/2))/(LN(2)/2)*GH64*GK64*VLOOKUP('Données projet'!$B$17,Paramètres!$A$1:$I$89,3,0)*0.475*44/12</f>
        <v>0</v>
      </c>
      <c r="GO64" s="21">
        <f t="shared" si="27"/>
        <v>78.004293769801833</v>
      </c>
      <c r="GP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8.6666666666666661</v>
      </c>
      <c r="GU64" s="12">
        <f>IF('Données projet'!$A$270&gt;35,GU63+GT64-HC63,IF(A64&lt;'Données projet'!$A$270,$GR$205^A64,IF(A64='Données projet'!$A$270,'Données projet'!$B$270,GU63+GT64-HC63)))</f>
        <v>258.66666666666657</v>
      </c>
      <c r="GV64" s="17">
        <f>GU64*VLOOKUP('Données projet'!$B$18,Paramètres!$A$1:$I$89,3,0)*VLOOKUP('Données projet'!$B$18,Paramètres!$A$1:$I$89,5,0)</f>
        <v>201.75999999999993</v>
      </c>
      <c r="GW64" s="13">
        <f t="shared" si="51"/>
        <v>50.130765000424169</v>
      </c>
      <c r="GX64" s="20">
        <f t="shared" si="28"/>
        <v>438.70974904240529</v>
      </c>
      <c r="GY64" s="59">
        <f t="shared" si="29"/>
        <v>700.52193048753463</v>
      </c>
      <c r="GZ64" s="59">
        <f ca="1">AVERAGE(OFFSET($GY$3,0,0,'Données projet'!$E$18+1,1))-AVERAGE(OFFSET($H$3,0,0,'Données projet'!$E$18+1,1))</f>
        <v>308.85018589589453</v>
      </c>
      <c r="HA64" s="59">
        <f t="shared" si="52"/>
        <v>302.59481222418219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>
        <f>EXP(-LN(2)/35)*HG63+(1-EXP(-LN(2)/35))/(LN(2)/35)*HC64*HD64*VLOOKUP('Données projet'!$B$18,Paramètres!$A$1:$I$89,3,0)*0.475*44/12</f>
        <v>59.029176038752226</v>
      </c>
      <c r="HH64" s="21">
        <f>EXP(-LN(2)/25)*HH63+(1-EXP(-LN(2)/25))/(LN(2)/25)*Calculateur!HC64*Calculateur!HE64*VLOOKUP('Données projet'!$B$18,Paramètres!$A$1:$I$89,3,0)*0.475*44/12</f>
        <v>0</v>
      </c>
      <c r="HI64" s="21">
        <f>EXP(-LN(2)/2)*HI63+(1-EXP(-LN(2)/2))/(LN(2)/2)*HC64*HF64*VLOOKUP('Données projet'!$B$18,Paramètres!$A$1:$I$89,3,0)*0.475*44/12</f>
        <v>0</v>
      </c>
      <c r="HJ64" s="22">
        <f t="shared" si="30"/>
        <v>59.029176038752226</v>
      </c>
    </row>
    <row r="65" spans="1:218" x14ac:dyDescent="0.35">
      <c r="A65" s="10">
        <f t="shared" si="31"/>
        <v>62</v>
      </c>
      <c r="B65" s="72">
        <f>'Scénario référence'!$B$16*5+'Scénario référence'!$B$17*0+'Scénario référence'!$B$18*5</f>
        <v>5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66">
        <f t="shared" si="1"/>
        <v>183.33333333333334</v>
      </c>
      <c r="I65" s="6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11.644999999999996</v>
      </c>
      <c r="N65" s="13">
        <f>IF('Données projet'!$A$36&gt;35,N64+M65-V64,IF(A65&lt;'Données projet'!$A$36,$K$205^A65,IF(A65='Données projet'!$A$36,'Données projet'!$B$36,N64+M65-V64)))</f>
        <v>300.94499999999999</v>
      </c>
      <c r="O65" s="13">
        <f>N65*VLOOKUP('Données projet'!$B$9,Paramètres!$A$1:$I$89,3,0)*VLOOKUP('Données projet'!$B$9,Paramètres!$A$1:$I$89,5,0)</f>
        <v>272.29503599999998</v>
      </c>
      <c r="P65" s="13">
        <f t="shared" si="33"/>
        <v>65.336093654015798</v>
      </c>
      <c r="Q65" s="20">
        <f t="shared" si="53"/>
        <v>588.04088414741079</v>
      </c>
      <c r="R65" s="59">
        <f t="shared" si="0"/>
        <v>850.39988710706211</v>
      </c>
      <c r="S65" s="59">
        <f ca="1">AVERAGE(OFFSET($R$3,0,0,'Données projet'!$E$9+1,1))-AVERAGE(OFFSET($H$3,0,0,'Données projet'!$E$9+1,1))</f>
        <v>567.42635821507474</v>
      </c>
      <c r="T65" s="59">
        <f t="shared" si="34"/>
        <v>299.04735309930152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72.713627451148241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0</v>
      </c>
      <c r="AC65" s="22">
        <f t="shared" si="3"/>
        <v>72.713627451148241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11.644999999999996</v>
      </c>
      <c r="AI65" s="13">
        <f>IF('Données projet'!$A$62&gt;35,AI64+AH65-AQ64,IF(A65&lt;'Données projet'!$A$62,$AF$205^A65,IF(A65='Données projet'!$A$62,'Données projet'!$B$62,AI64+AH65-AQ64)))</f>
        <v>300.94499999999999</v>
      </c>
      <c r="AJ65" s="13">
        <f>AI65*VLOOKUP('Données projet'!$B$10,Paramètres!$A$1:$I$89,3,0)*VLOOKUP('Données projet'!$B$10,Paramètres!$A$1:$I$89,5,0)</f>
        <v>305.15823</v>
      </c>
      <c r="AK65" s="13">
        <f t="shared" si="35"/>
        <v>72.256751358648415</v>
      </c>
      <c r="AL65" s="20">
        <f t="shared" si="4"/>
        <v>657.33109253297937</v>
      </c>
      <c r="AM65" s="59">
        <f t="shared" si="5"/>
        <v>919.69009549263069</v>
      </c>
      <c r="AN65" s="59">
        <f ca="1">AVERAGE(OFFSET($AM$3,0,0,'Données projet'!$E$10+1,1))-AVERAGE(OFFSET($H$3,0,0,'Données projet'!$E$10+1,1))</f>
        <v>626.09203985591455</v>
      </c>
      <c r="AO65" s="59">
        <f t="shared" si="36"/>
        <v>327.65191296575199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81.48941007456267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81.48941007456267</v>
      </c>
      <c r="AY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10.4</v>
      </c>
      <c r="BD65" s="12">
        <f>IF('Données projet'!$A$88&gt;35,BD64+BC65-BL64,IF(A65&lt;'Données projet'!$A$88,$BA$205^A65,IF(A65='Données projet'!$A$88,'Données projet'!$B$88,BD64+BC65-BL64)))</f>
        <v>262.8</v>
      </c>
      <c r="BE65" s="13">
        <f>BD65*VLOOKUP('Données projet'!$B$11,Paramètres!$A$1:$I$89,3,0)*VLOOKUP('Données projet'!$B$11,Paramètres!$A$1:$I$89,5,0)</f>
        <v>225.48240000000004</v>
      </c>
      <c r="BF65" s="13">
        <f t="shared" si="37"/>
        <v>55.304745901414371</v>
      </c>
      <c r="BG65" s="20">
        <f t="shared" si="7"/>
        <v>489.03761244496349</v>
      </c>
      <c r="BH65" s="59">
        <f t="shared" si="8"/>
        <v>751.39661540461475</v>
      </c>
      <c r="BI65" s="59">
        <f ca="1">AVERAGE(OFFSET($BH$3,0,0,'Données projet'!$E$11+1,1))-AVERAGE(OFFSET($H$3,0,0,'Données projet'!$E$11+1,1))</f>
        <v>481.23392184981651</v>
      </c>
      <c r="BJ65" s="59">
        <f t="shared" si="38"/>
        <v>275.88160405468193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64.283352064686895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64.283352064686895</v>
      </c>
      <c r="BT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15.928750000000001</v>
      </c>
      <c r="BY65" s="12">
        <f>IF('Données projet'!$A$114&gt;35,BY64+BX65-CG64,IF(A65&lt;'Données projet'!$A$114,$BV$205^A65,IF(A65='Données projet'!$A$114,'Données projet'!$B$114,BY64+BX65-CG64)))</f>
        <v>376.4849999999995</v>
      </c>
      <c r="BZ65" s="13">
        <f>BY65*VLOOKUP('Données projet'!$B$12,Paramètres!$A$1:$I$89,3,0)*VLOOKUP('Données projet'!$B$12,Paramètres!$A$1:$I$89,5,0)</f>
        <v>176.19497999999976</v>
      </c>
      <c r="CA65" s="13">
        <f t="shared" si="39"/>
        <v>44.474589536115268</v>
      </c>
      <c r="CB65" s="20">
        <f t="shared" si="10"/>
        <v>384.33283360873367</v>
      </c>
      <c r="CC65" s="59">
        <f t="shared" si="11"/>
        <v>646.69183656838504</v>
      </c>
      <c r="CD65" s="59">
        <f ca="1">AVERAGE(OFFSET($CC$3,0,0,'Données projet'!$E$12+1,1))-AVERAGE(OFFSET($H$3,0,0,'Données projet'!$E$12+1,1))</f>
        <v>331.86732359395467</v>
      </c>
      <c r="CE65" s="59">
        <f t="shared" si="40"/>
        <v>208.64489375183106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80.449015604403201</v>
      </c>
      <c r="CL65" s="21">
        <f>EXP(-LN(2)/25)*CL64+(1-EXP(-LN(2)/25))/(LN(2)/25)*Calculateur!CG65*Calculateur!CI65*VLOOKUP('Données projet'!$B$12,Paramètres!$A$1:$I$89,3,0)*0.475*44/12</f>
        <v>0</v>
      </c>
      <c r="CM65" s="21">
        <f>EXP(-LN(2)/2)*CM64+(1-EXP(-LN(2)/2))/(LN(2)/2)*CG65*CJ65*VLOOKUP('Données projet'!$B$12,Paramètres!$A$1:$I$89,3,0)*0.475*44/12</f>
        <v>0</v>
      </c>
      <c r="CN65" s="22">
        <f t="shared" si="12"/>
        <v>80.449015604403201</v>
      </c>
      <c r="CO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5.2</v>
      </c>
      <c r="CT65" s="12">
        <f>IF('Données projet'!$A$140&gt;35,CT64+CS65-DB64,IF(A65&lt;'Données projet'!$A$140,$CQ$205^A65,IF(A65='Données projet'!$A$140,'Données projet'!$B$140,CT64+CS65-DB64)))</f>
        <v>290.39999999999986</v>
      </c>
      <c r="CU65" s="17">
        <f>CT65*VLOOKUP('Données projet'!$B$13,Paramètres!$A$1:$I$89,3,0)*VLOOKUP('Données projet'!$B$13,Paramètres!$A$1:$I$89,5,0)</f>
        <v>212.92127999999988</v>
      </c>
      <c r="CV65" s="13">
        <f t="shared" si="41"/>
        <v>52.57344469809297</v>
      </c>
      <c r="CW65" s="20">
        <f t="shared" si="13"/>
        <v>462.40331218251168</v>
      </c>
      <c r="CX65" s="59">
        <f t="shared" si="14"/>
        <v>724.76231514216306</v>
      </c>
      <c r="CY65" s="59">
        <f ca="1">AVERAGE(OFFSET($CX$3,0,0,'Données projet'!$E$13+1,1))-AVERAGE(OFFSET($H$3,0,0,'Données projet'!$E$13+1,1))</f>
        <v>352.45777291109863</v>
      </c>
      <c r="CZ65" s="59">
        <f t="shared" si="42"/>
        <v>340.92165104349181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35.775917736339821</v>
      </c>
      <c r="DG65" s="21">
        <f>EXP(-LN(2)/25)*DG64+(1-EXP(-LN(2)/25))/(LN(2)/25)*Calculateur!DB65*Calculateur!DD65*VLOOKUP('Données projet'!$B$13,Paramètres!$A$1:$I$89,3,0)*0.475*44/12</f>
        <v>0</v>
      </c>
      <c r="DH65" s="21">
        <f>EXP(-LN(2)/2)*DH64+(1-EXP(-LN(2)/2))/(LN(2)/2)*DB65*DE65*VLOOKUP('Données projet'!$B$13,Paramètres!$A$1:$I$89,3,0)*0.475*44/12</f>
        <v>0</v>
      </c>
      <c r="DI65" s="22">
        <f t="shared" si="15"/>
        <v>35.775917736339821</v>
      </c>
      <c r="DJ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11.644999999999996</v>
      </c>
      <c r="DO65" s="12">
        <f>IF('Données projet'!$A$166&gt;35,DO64+DN65-DW64,IF(A65&lt;'Données projet'!$A$166,$DL$205^A65,IF(A65='Données projet'!$A$166,'Données projet'!$B$166,DO64+DN65-DW64)))</f>
        <v>300.94499999999999</v>
      </c>
      <c r="DP65" s="17">
        <f>DO65*VLOOKUP('Données projet'!$B$14,Paramètres!$A$1:$I$89,3,0)*VLOOKUP('Données projet'!$B$14,Paramètres!$A$1:$I$89,5,0)</f>
        <v>201.87390600000001</v>
      </c>
      <c r="DQ65" s="13">
        <f t="shared" si="43"/>
        <v>50.155771753403194</v>
      </c>
      <c r="DR65" s="20">
        <f t="shared" si="16"/>
        <v>438.95168875384388</v>
      </c>
      <c r="DS65" s="59">
        <f t="shared" si="17"/>
        <v>701.3106917134952</v>
      </c>
      <c r="DT65" s="59">
        <f ca="1">AVERAGE(OFFSET($DS$3,0,0,'Données projet'!$E$14+1,1))-AVERAGE(OFFSET($H$3,0,0,'Données projet'!$E$14+1,1))</f>
        <v>441.20130048888439</v>
      </c>
      <c r="DU65" s="59">
        <f t="shared" si="44"/>
        <v>237.47732532183946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66.44521129156648</v>
      </c>
      <c r="EB65" s="21">
        <f>EXP(-LN(2)/25)*EB64+(1-EXP(-LN(2)/25))/(LN(2)/25)*Calculateur!DW65*Calculateur!DY65*VLOOKUP('Données projet'!$B$14,Paramètres!$A$1:$I$89,3,0)*0.475*44/12</f>
        <v>0</v>
      </c>
      <c r="EC65" s="21">
        <f>EXP(-LN(2)/2)*EC64+(1-EXP(-LN(2)/2))/(LN(2)/2)*DW65*DZ65*VLOOKUP('Données projet'!$B$14,Paramètres!$A$1:$I$89,3,0)*0.475*44/12</f>
        <v>0</v>
      </c>
      <c r="ED65" s="22">
        <f t="shared" si="18"/>
        <v>66.44521129156648</v>
      </c>
      <c r="EE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5.2</v>
      </c>
      <c r="EJ65" s="12">
        <f>IF('Données projet'!$A$192&gt;35,EJ64+EI65-ER64,IF(A65&lt;'Données projet'!$A$192,$EG$205^A65,IF(A65='Données projet'!$A$192,'Données projet'!$B$192,EJ64+EI65-ER64)))</f>
        <v>290.39999999999986</v>
      </c>
      <c r="EK65" s="17">
        <f>EJ65*VLOOKUP('Données projet'!$B$15,Paramètres!$A$1:$I$89,3,0)*VLOOKUP('Données projet'!$B$15,Paramètres!$A$1:$I$89,5,0)</f>
        <v>231.04223999999991</v>
      </c>
      <c r="EL65" s="13">
        <f t="shared" si="45"/>
        <v>56.507978852931409</v>
      </c>
      <c r="EM65" s="20">
        <f t="shared" si="19"/>
        <v>500.81663116885539</v>
      </c>
      <c r="EN65" s="59">
        <f t="shared" si="20"/>
        <v>763.17563412850677</v>
      </c>
      <c r="EO65" s="59">
        <f ca="1">AVERAGE(OFFSET($EN$3,0,0,'Données projet'!$E$15+1,1))-AVERAGE(OFFSET($H$3,0,0,'Données projet'!$E$15+1,1))</f>
        <v>377.27600411578322</v>
      </c>
      <c r="EP65" s="59">
        <f t="shared" si="46"/>
        <v>364.58250627635425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>
        <f>EXP(-LN(2)/35)*EV64+(1-EXP(-LN(2)/35))/(LN(2)/35)*ER65*ES65*VLOOKUP('Données projet'!$B$15,Paramètres!$A$1:$I$89,3,0)*0.475*44/12</f>
        <v>47.848741039745953</v>
      </c>
      <c r="EW65" s="21">
        <f>EXP(-LN(2)/25)*EW64+(1-EXP(-LN(2)/25))/(LN(2)/25)*Calculateur!ER65*Calculateur!ET65*VLOOKUP('Données projet'!$B$15,Paramètres!$A$1:$I$89,3,0)*0.475*44/12</f>
        <v>0</v>
      </c>
      <c r="EX65" s="21">
        <f>EXP(-LN(2)/2)*EX64+(1-EXP(-LN(2)/2))/(LN(2)/2)*ER65*EU65*VLOOKUP('Données projet'!$B$15,Paramètres!$A$1:$I$89,3,0)*0.475*44/12</f>
        <v>0</v>
      </c>
      <c r="EY65" s="22">
        <f t="shared" si="21"/>
        <v>47.848741039745953</v>
      </c>
      <c r="EZ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5.2</v>
      </c>
      <c r="FE65" s="12">
        <f>IF('Données projet'!$A$218&gt;35,FE64+FD65-FM64,IF(A65&lt;'Données projet'!$A$218,$FB$205^A65,IF(A65='Données projet'!$A$218,'Données projet'!$B$218,FE64+FD65-FM64)))</f>
        <v>290.39999999999986</v>
      </c>
      <c r="FF65" s="17">
        <f>FE65*VLOOKUP('Données projet'!$B$16,Paramètres!$A$1:$I$89,3,0)*VLOOKUP('Données projet'!$B$16,Paramètres!$A$1:$I$89,5,0)</f>
        <v>235.5724799999999</v>
      </c>
      <c r="FG65" s="13">
        <f t="shared" si="47"/>
        <v>57.485898111011707</v>
      </c>
      <c r="FH65" s="20">
        <f t="shared" si="22"/>
        <v>510.41000854334516</v>
      </c>
      <c r="FI65" s="59">
        <f t="shared" si="23"/>
        <v>772.76901150299648</v>
      </c>
      <c r="FJ65" s="59">
        <f ca="1">AVERAGE(OFFSET($FI$3,0,0,'Données projet'!$E$16+1,1))-AVERAGE(OFFSET($H$3,0,0,'Données projet'!$E$16+1,1))</f>
        <v>383.47399633251354</v>
      </c>
      <c r="FK65" s="59">
        <f t="shared" si="48"/>
        <v>370.49129421395628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>
        <f>EXP(-LN(2)/35)*FQ64+(1-EXP(-LN(2)/35))/(LN(2)/35)*FM65*FN65*VLOOKUP('Données projet'!$B$16,Paramètres!$A$1:$I$89,3,0)*0.475*44/12</f>
        <v>48.786951648368451</v>
      </c>
      <c r="FR65" s="21">
        <f>EXP(-LN(2)/25)*FR64+(1-EXP(-LN(2)/25))/(LN(2)/25)*Calculateur!FM65*Calculateur!FO65*VLOOKUP('Données projet'!$B$16,Paramètres!$A$1:$I$89,3,0)*0.475*44/12</f>
        <v>0</v>
      </c>
      <c r="FS65" s="21">
        <f>EXP(-LN(2)/2)*FS64+(1-EXP(-LN(2)/2))/(LN(2)/2)*FM65*FP65*VLOOKUP('Données projet'!$B$16,Paramètres!$A$1:$I$89,3,0)*0.475*44/12</f>
        <v>0</v>
      </c>
      <c r="FT65" s="22">
        <f t="shared" si="24"/>
        <v>48.786951648368451</v>
      </c>
      <c r="FU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11.644999999999996</v>
      </c>
      <c r="FZ65" s="12">
        <f>IF('Données projet'!$A$244&gt;35,FZ64+FY65-GH64,IF(A65&lt;'Données projet'!$A$244,$FW$205^A65,IF(A65='Données projet'!$A$244,'Données projet'!$B$244,FZ64+FY65-GH64)))</f>
        <v>300.94499999999999</v>
      </c>
      <c r="GA65" s="17">
        <f>FZ65*VLOOKUP('Données projet'!$B$17,Paramètres!$A$1:$I$89,3,0)*VLOOKUP('Données projet'!$B$17,Paramètres!$A$1:$I$89,5,0)</f>
        <v>286.37926199999998</v>
      </c>
      <c r="GB65" s="13">
        <f t="shared" si="49"/>
        <v>68.313357723761712</v>
      </c>
      <c r="GC65" s="20">
        <f t="shared" si="25"/>
        <v>617.75631268555162</v>
      </c>
      <c r="GD65" s="59">
        <f t="shared" si="26"/>
        <v>880.11531564520294</v>
      </c>
      <c r="GE65" s="59">
        <f ca="1">AVERAGE(OFFSET($GD$3,0,0,'Données projet'!$E$17+1,1))-AVERAGE(OFFSET($H$3,0,0,'Données projet'!$E$17+1,1))</f>
        <v>592.58528889137358</v>
      </c>
      <c r="GF65" s="59">
        <f t="shared" si="50"/>
        <v>311.31528020403709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>
        <f>EXP(-LN(2)/35)*GL64+(1-EXP(-LN(2)/35))/(LN(2)/35)*GH65*GI65*VLOOKUP('Données projet'!$B$17,Paramètres!$A$1:$I$89,3,0)*0.475*44/12</f>
        <v>76.474677146897292</v>
      </c>
      <c r="GM65" s="21">
        <f>EXP(-LN(2)/25)*GM64+(1-EXP(-LN(2)/25))/(LN(2)/25)*Calculateur!GH65*Calculateur!GJ65*VLOOKUP('Données projet'!$B$17,Paramètres!$A$1:$I$89,3,0)*0.475*44/12</f>
        <v>0</v>
      </c>
      <c r="GN65" s="21">
        <f>EXP(-LN(2)/2)*GN64+(1-EXP(-LN(2)/2))/(LN(2)/2)*GH65*GK65*VLOOKUP('Données projet'!$B$17,Paramètres!$A$1:$I$89,3,0)*0.475*44/12</f>
        <v>0</v>
      </c>
      <c r="GO65" s="21">
        <f t="shared" si="27"/>
        <v>76.474677146897292</v>
      </c>
      <c r="GP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8.6666666666666661</v>
      </c>
      <c r="GU65" s="12">
        <f>IF('Données projet'!$A$270&gt;35,GU64+GT65-HC64,IF(A65&lt;'Données projet'!$A$270,$GR$205^A65,IF(A65='Données projet'!$A$270,'Données projet'!$B$270,GU64+GT65-HC64)))</f>
        <v>267.33333333333326</v>
      </c>
      <c r="GV65" s="17">
        <f>GU65*VLOOKUP('Données projet'!$B$18,Paramètres!$A$1:$I$89,3,0)*VLOOKUP('Données projet'!$B$18,Paramètres!$A$1:$I$89,5,0)</f>
        <v>208.51999999999995</v>
      </c>
      <c r="GW65" s="13">
        <f t="shared" si="51"/>
        <v>51.612035456318459</v>
      </c>
      <c r="GX65" s="20">
        <f t="shared" si="28"/>
        <v>453.06329508642119</v>
      </c>
      <c r="GY65" s="59">
        <f t="shared" si="29"/>
        <v>715.42229804607246</v>
      </c>
      <c r="GZ65" s="59">
        <f ca="1">AVERAGE(OFFSET($GY$3,0,0,'Données projet'!$E$18+1,1))-AVERAGE(OFFSET($H$3,0,0,'Données projet'!$E$18+1,1))</f>
        <v>308.85018589589453</v>
      </c>
      <c r="HA65" s="59">
        <f t="shared" si="52"/>
        <v>302.59481222418219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>
        <f>EXP(-LN(2)/35)*HG64+(1-EXP(-LN(2)/35))/(LN(2)/35)*HC65*HD65*VLOOKUP('Données projet'!$B$18,Paramètres!$A$1:$I$89,3,0)*0.475*44/12</f>
        <v>57.871649900874552</v>
      </c>
      <c r="HH65" s="21">
        <f>EXP(-LN(2)/25)*HH64+(1-EXP(-LN(2)/25))/(LN(2)/25)*Calculateur!HC65*Calculateur!HE65*VLOOKUP('Données projet'!$B$18,Paramètres!$A$1:$I$89,3,0)*0.475*44/12</f>
        <v>0</v>
      </c>
      <c r="HI65" s="21">
        <f>EXP(-LN(2)/2)*HI64+(1-EXP(-LN(2)/2))/(LN(2)/2)*HC65*HF65*VLOOKUP('Données projet'!$B$18,Paramètres!$A$1:$I$89,3,0)*0.475*44/12</f>
        <v>0</v>
      </c>
      <c r="HJ65" s="22">
        <f t="shared" si="30"/>
        <v>57.871649900874552</v>
      </c>
    </row>
    <row r="66" spans="1:218" x14ac:dyDescent="0.35">
      <c r="A66" s="10">
        <f t="shared" si="31"/>
        <v>63</v>
      </c>
      <c r="B66" s="72">
        <f>'Scénario référence'!$B$16*5+'Scénario référence'!$B$17*0+'Scénario référence'!$B$18*5</f>
        <v>5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66">
        <f t="shared" si="1"/>
        <v>183.33333333333334</v>
      </c>
      <c r="I66" s="6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>
        <f>VLOOKUP(A66,'Données projet'!$A$35:$I$55,2,0)</f>
        <v>312.58999999999997</v>
      </c>
      <c r="L66" s="12">
        <f>VLOOKUP(A66,'Données projet'!$A$35:$I$55,9,0)</f>
        <v>11.644999999999996</v>
      </c>
      <c r="M66" s="12">
        <f t="array" ref="M66">INDEX(L:L,MIN(IF(ISNUMBER(L66:L262),ROW(L66:L262),"")))</f>
        <v>11.644999999999996</v>
      </c>
      <c r="N66" s="13">
        <f>IF('Données projet'!$A$36&gt;35,N65+M66-V65,IF(A66&lt;'Données projet'!$A$36,$K$205^A66,IF(A66='Données projet'!$A$36,'Données projet'!$B$36,N65+M66-V65)))</f>
        <v>312.58999999999997</v>
      </c>
      <c r="O66" s="13">
        <f>N66*VLOOKUP('Données projet'!$B$9,Paramètres!$A$1:$I$89,3,0)*VLOOKUP('Données projet'!$B$9,Paramètres!$A$1:$I$89,5,0)</f>
        <v>282.83143199999995</v>
      </c>
      <c r="P66" s="13">
        <f t="shared" si="33"/>
        <v>67.565021018325751</v>
      </c>
      <c r="Q66" s="20">
        <f t="shared" si="53"/>
        <v>610.2738223402506</v>
      </c>
      <c r="R66" s="59">
        <f t="shared" si="0"/>
        <v>873.17016068365672</v>
      </c>
      <c r="S66" s="59">
        <f ca="1">AVERAGE(OFFSET($R$3,0,0,'Données projet'!$E$9+1,1))-AVERAGE(OFFSET($H$3,0,0,'Données projet'!$E$9+1,1))</f>
        <v>567.42635821507474</v>
      </c>
      <c r="T66" s="59">
        <f t="shared" si="34"/>
        <v>299.04735309930152</v>
      </c>
      <c r="U66" s="15">
        <f>IF(ISNA(VLOOKUP(A66,'Données projet'!$A$35:$I$55,3,0)),0,VLOOKUP(A66,'Données projet'!$A$35:$I$55,3,0))</f>
        <v>5</v>
      </c>
      <c r="V66" s="15">
        <f>IF(ISNA(VLOOKUP(A66,'Données projet'!$A$35:$I$55,4,0)),0,VLOOKUP(A66,'Données projet'!$A$35:$I$55,4,0))</f>
        <v>54.21</v>
      </c>
      <c r="W66" s="16">
        <f>IF(ISNA(VLOOKUP(A66,'Données projet'!$A$35:$I$55,5,0)),0%,VLOOKUP(A66,'Données projet'!$A$35:$I$55,5,0)*VLOOKUP('Données projet'!$B$9,Paramètres!$A$1:$I$89,7,0))</f>
        <v>0.43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94.603409598691442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0</v>
      </c>
      <c r="AC66" s="22">
        <f t="shared" si="3"/>
        <v>94.603409598691442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>
        <f>VLOOKUP(A66,'Données projet'!$A$61:$I$81,2,0)</f>
        <v>312.58999999999997</v>
      </c>
      <c r="AG66" s="12">
        <f>VLOOKUP(A66,'Données projet'!$A$61:$I$81,9,0)</f>
        <v>11.644999999999996</v>
      </c>
      <c r="AH66" s="12">
        <f t="array" ref="AH66">INDEX(AG:AG,MIN(IF(ISNUMBER(AG66:AG262),ROW(AG66:AG262),"")))</f>
        <v>11.644999999999996</v>
      </c>
      <c r="AI66" s="13">
        <f>IF('Données projet'!$A$62&gt;35,AI65+AH66-AQ65,IF(A66&lt;'Données projet'!$A$62,$AF$205^A66,IF(A66='Données projet'!$A$62,'Données projet'!$B$62,AI65+AH66-AQ65)))</f>
        <v>312.58999999999997</v>
      </c>
      <c r="AJ66" s="13">
        <f>AI66*VLOOKUP('Données projet'!$B$10,Paramètres!$A$1:$I$89,3,0)*VLOOKUP('Données projet'!$B$10,Paramètres!$A$1:$I$89,5,0)</f>
        <v>316.96625999999998</v>
      </c>
      <c r="AK66" s="13">
        <f t="shared" si="35"/>
        <v>74.721775533682376</v>
      </c>
      <c r="AL66" s="20">
        <f t="shared" si="4"/>
        <v>682.18999522116337</v>
      </c>
      <c r="AM66" s="59">
        <f t="shared" si="5"/>
        <v>945.08633356456949</v>
      </c>
      <c r="AN66" s="59">
        <f ca="1">AVERAGE(OFFSET($AM$3,0,0,'Données projet'!$E$10+1,1))-AVERAGE(OFFSET($H$3,0,0,'Données projet'!$E$10+1,1))</f>
        <v>626.09203985591455</v>
      </c>
      <c r="AO66" s="59">
        <f t="shared" si="36"/>
        <v>327.65191296575199</v>
      </c>
      <c r="AP66" s="15">
        <f>IF(ISNA(VLOOKUP(A66,'Données projet'!$A$61:$I$81,3,0)),0,VLOOKUP(A66,'Données projet'!$A$61:$I$81,3,0))</f>
        <v>5</v>
      </c>
      <c r="AQ66" s="15">
        <f>IF(ISNA(VLOOKUP(A66,'Données projet'!$A$61:$I$81,4,0)),0,VLOOKUP(A66,'Données projet'!$A$61:$I$81,4,0))</f>
        <v>54.21</v>
      </c>
      <c r="AR66" s="16">
        <f>IF(ISNA(VLOOKUP(A66,'Données projet'!$A$61:$I$81,5,0)),0%,VLOOKUP(A66,'Données projet'!$A$61:$I$81,5,0)*VLOOKUP('Données projet'!$B$10,Paramètres!$A$1:$I$89,7,0))</f>
        <v>0.43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106.02106248129212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106.02106248129212</v>
      </c>
      <c r="AY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10.4</v>
      </c>
      <c r="BD66" s="12">
        <f>IF('Données projet'!$A$88&gt;35,BD65+BC66-BL65,IF(A66&lt;'Données projet'!$A$88,$BA$205^A66,IF(A66='Données projet'!$A$88,'Données projet'!$B$88,BD65+BC66-BL65)))</f>
        <v>273.2</v>
      </c>
      <c r="BE66" s="13">
        <f>BD66*VLOOKUP('Données projet'!$B$11,Paramètres!$A$1:$I$89,3,0)*VLOOKUP('Données projet'!$B$11,Paramètres!$A$1:$I$89,5,0)</f>
        <v>234.40560000000005</v>
      </c>
      <c r="BF66" s="13">
        <f t="shared" si="37"/>
        <v>57.234220788626125</v>
      </c>
      <c r="BG66" s="20">
        <f t="shared" si="7"/>
        <v>507.93935454019061</v>
      </c>
      <c r="BH66" s="59">
        <f t="shared" si="8"/>
        <v>770.83569288359672</v>
      </c>
      <c r="BI66" s="59">
        <f ca="1">AVERAGE(OFFSET($BH$3,0,0,'Données projet'!$E$11+1,1))-AVERAGE(OFFSET($H$3,0,0,'Données projet'!$E$11+1,1))</f>
        <v>481.23392184981651</v>
      </c>
      <c r="BJ66" s="59">
        <f t="shared" si="38"/>
        <v>275.88160405468193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63.022794739671582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63.022794739671582</v>
      </c>
      <c r="BT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15.928750000000001</v>
      </c>
      <c r="BY66" s="12">
        <f>IF('Données projet'!$A$114&gt;35,BY65+BX66-CG65,IF(A66&lt;'Données projet'!$A$114,$BV$205^A66,IF(A66='Données projet'!$A$114,'Données projet'!$B$114,BY65+BX66-CG65)))</f>
        <v>392.41374999999948</v>
      </c>
      <c r="BZ66" s="13">
        <f>BY66*VLOOKUP('Données projet'!$B$12,Paramètres!$A$1:$I$89,3,0)*VLOOKUP('Données projet'!$B$12,Paramètres!$A$1:$I$89,5,0)</f>
        <v>183.64963499999976</v>
      </c>
      <c r="CA66" s="13">
        <f t="shared" si="39"/>
        <v>46.133211694785324</v>
      </c>
      <c r="CB66" s="20">
        <f t="shared" si="10"/>
        <v>400.20512466008404</v>
      </c>
      <c r="CC66" s="59">
        <f t="shared" si="11"/>
        <v>663.10146300349015</v>
      </c>
      <c r="CD66" s="59">
        <f ca="1">AVERAGE(OFFSET($CC$3,0,0,'Données projet'!$E$12+1,1))-AVERAGE(OFFSET($H$3,0,0,'Données projet'!$E$12+1,1))</f>
        <v>331.86732359395467</v>
      </c>
      <c r="CE66" s="59">
        <f t="shared" si="40"/>
        <v>208.64489375183106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78.871459477455204</v>
      </c>
      <c r="CL66" s="21">
        <f>EXP(-LN(2)/25)*CL65+(1-EXP(-LN(2)/25))/(LN(2)/25)*Calculateur!CG66*Calculateur!CI66*VLOOKUP('Données projet'!$B$12,Paramètres!$A$1:$I$89,3,0)*0.475*44/12</f>
        <v>0</v>
      </c>
      <c r="CM66" s="21">
        <f>EXP(-LN(2)/2)*CM65+(1-EXP(-LN(2)/2))/(LN(2)/2)*CG66*CJ66*VLOOKUP('Données projet'!$B$12,Paramètres!$A$1:$I$89,3,0)*0.475*44/12</f>
        <v>0</v>
      </c>
      <c r="CN66" s="22">
        <f t="shared" si="12"/>
        <v>78.871459477455204</v>
      </c>
      <c r="CO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5.2</v>
      </c>
      <c r="CT66" s="12">
        <f>IF('Données projet'!$A$140&gt;35,CT65+CS66-DB65,IF(A66&lt;'Données projet'!$A$140,$CQ$205^A66,IF(A66='Données projet'!$A$140,'Données projet'!$B$140,CT65+CS66-DB65)))</f>
        <v>295.59999999999985</v>
      </c>
      <c r="CU66" s="17">
        <f>CT66*VLOOKUP('Données projet'!$B$13,Paramètres!$A$1:$I$89,3,0)*VLOOKUP('Données projet'!$B$13,Paramètres!$A$1:$I$89,5,0)</f>
        <v>216.7339199999999</v>
      </c>
      <c r="CV66" s="13">
        <f t="shared" si="41"/>
        <v>53.404402610883679</v>
      </c>
      <c r="CW66" s="20">
        <f t="shared" si="13"/>
        <v>470.49091188062221</v>
      </c>
      <c r="CX66" s="59">
        <f t="shared" si="14"/>
        <v>733.38725022402832</v>
      </c>
      <c r="CY66" s="59">
        <f ca="1">AVERAGE(OFFSET($CX$3,0,0,'Données projet'!$E$13+1,1))-AVERAGE(OFFSET($H$3,0,0,'Données projet'!$E$13+1,1))</f>
        <v>352.45777291109863</v>
      </c>
      <c r="CZ66" s="59">
        <f t="shared" si="42"/>
        <v>340.92165104349181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35.074373810685358</v>
      </c>
      <c r="DG66" s="21">
        <f>EXP(-LN(2)/25)*DG65+(1-EXP(-LN(2)/25))/(LN(2)/25)*Calculateur!DB66*Calculateur!DD66*VLOOKUP('Données projet'!$B$13,Paramètres!$A$1:$I$89,3,0)*0.475*44/12</f>
        <v>0</v>
      </c>
      <c r="DH66" s="21">
        <f>EXP(-LN(2)/2)*DH65+(1-EXP(-LN(2)/2))/(LN(2)/2)*DB66*DE66*VLOOKUP('Données projet'!$B$13,Paramètres!$A$1:$I$89,3,0)*0.475*44/12</f>
        <v>0</v>
      </c>
      <c r="DI66" s="22">
        <f t="shared" si="15"/>
        <v>35.074373810685358</v>
      </c>
      <c r="DJ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>
        <f>VLOOKUP(A66,'Données projet'!$A$165:$I$185,2,0)</f>
        <v>312.58999999999997</v>
      </c>
      <c r="DM66" s="12">
        <f>VLOOKUP(A66,'Données projet'!$A$165:$I$185,9,0)</f>
        <v>11.644999999999996</v>
      </c>
      <c r="DN66" s="12">
        <f t="array" ref="DN66">INDEX(DM:DM,MIN(IF(ISNUMBER(DM66:DM262),ROW(DM66:DM262),"")))</f>
        <v>11.644999999999996</v>
      </c>
      <c r="DO66" s="12">
        <f>IF('Données projet'!$A$166&gt;35,DO65+DN66-DW65,IF(A66&lt;'Données projet'!$A$166,$DL$205^A66,IF(A66='Données projet'!$A$166,'Données projet'!$B$166,DO65+DN66-DW65)))</f>
        <v>312.58999999999997</v>
      </c>
      <c r="DP66" s="17">
        <f>DO66*VLOOKUP('Données projet'!$B$14,Paramètres!$A$1:$I$89,3,0)*VLOOKUP('Données projet'!$B$14,Paramètres!$A$1:$I$89,5,0)</f>
        <v>209.68537199999997</v>
      </c>
      <c r="DQ66" s="13">
        <f t="shared" si="43"/>
        <v>51.86682556588309</v>
      </c>
      <c r="DR66" s="20">
        <f t="shared" si="16"/>
        <v>455.53674409391289</v>
      </c>
      <c r="DS66" s="59">
        <f t="shared" si="17"/>
        <v>718.43308243731894</v>
      </c>
      <c r="DT66" s="59">
        <f ca="1">AVERAGE(OFFSET($DS$3,0,0,'Données projet'!$E$14+1,1))-AVERAGE(OFFSET($H$3,0,0,'Données projet'!$E$14+1,1))</f>
        <v>441.20130048888439</v>
      </c>
      <c r="DU66" s="59">
        <f t="shared" si="44"/>
        <v>237.47732532183946</v>
      </c>
      <c r="DV66" s="15">
        <f>IF(ISNA(VLOOKUP(A66,'Données projet'!$A$165:$I$185,3,0)),0,VLOOKUP(A66,'Données projet'!$A$165:$I$185,3,0))</f>
        <v>5</v>
      </c>
      <c r="DW66" s="15">
        <f>IF(ISNA(VLOOKUP(A66,'Données projet'!$A$165:$I$185,4,0)),0,VLOOKUP(A66,'Données projet'!$A$165:$I$185,4,0))</f>
        <v>54.21</v>
      </c>
      <c r="DX66" s="16">
        <f>IF(ISNA(VLOOKUP(A66,'Données projet'!$A$165:$I$185,5,0)),0%,VLOOKUP(A66,'Données projet'!$A$165:$I$185,5,0)*VLOOKUP('Données projet'!$B$14,Paramètres!$A$1:$I$89,7,0))</f>
        <v>0.53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86.447943253976646</v>
      </c>
      <c r="EB66" s="21">
        <f>EXP(-LN(2)/25)*EB65+(1-EXP(-LN(2)/25))/(LN(2)/25)*Calculateur!DW66*Calculateur!DY66*VLOOKUP('Données projet'!$B$14,Paramètres!$A$1:$I$89,3,0)*0.475*44/12</f>
        <v>0</v>
      </c>
      <c r="EC66" s="21">
        <f>EXP(-LN(2)/2)*EC65+(1-EXP(-LN(2)/2))/(LN(2)/2)*DW66*DZ66*VLOOKUP('Données projet'!$B$14,Paramètres!$A$1:$I$89,3,0)*0.475*44/12</f>
        <v>0</v>
      </c>
      <c r="ED66" s="22">
        <f t="shared" si="18"/>
        <v>86.447943253976646</v>
      </c>
      <c r="EE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5.2</v>
      </c>
      <c r="EJ66" s="12">
        <f>IF('Données projet'!$A$192&gt;35,EJ65+EI66-ER65,IF(A66&lt;'Données projet'!$A$192,$EG$205^A66,IF(A66='Données projet'!$A$192,'Données projet'!$B$192,EJ65+EI66-ER65)))</f>
        <v>295.59999999999985</v>
      </c>
      <c r="EK66" s="17">
        <f>EJ66*VLOOKUP('Données projet'!$B$15,Paramètres!$A$1:$I$89,3,0)*VLOOKUP('Données projet'!$B$15,Paramètres!$A$1:$I$89,5,0)</f>
        <v>235.17935999999989</v>
      </c>
      <c r="EL66" s="13">
        <f t="shared" si="45"/>
        <v>57.401124668909425</v>
      </c>
      <c r="EM66" s="20">
        <f t="shared" si="19"/>
        <v>509.57767746501708</v>
      </c>
      <c r="EN66" s="59">
        <f t="shared" si="20"/>
        <v>772.47401580842325</v>
      </c>
      <c r="EO66" s="59">
        <f ca="1">AVERAGE(OFFSET($EN$3,0,0,'Données projet'!$E$15+1,1))-AVERAGE(OFFSET($H$3,0,0,'Données projet'!$E$15+1,1))</f>
        <v>377.27600411578322</v>
      </c>
      <c r="EP66" s="59">
        <f t="shared" si="46"/>
        <v>364.58250627635425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>
        <f>EXP(-LN(2)/35)*EV65+(1-EXP(-LN(2)/35))/(LN(2)/35)*ER66*ES66*VLOOKUP('Données projet'!$B$15,Paramètres!$A$1:$I$89,3,0)*0.475*44/12</f>
        <v>46.910456412806802</v>
      </c>
      <c r="EW66" s="21">
        <f>EXP(-LN(2)/25)*EW65+(1-EXP(-LN(2)/25))/(LN(2)/25)*Calculateur!ER66*Calculateur!ET66*VLOOKUP('Données projet'!$B$15,Paramètres!$A$1:$I$89,3,0)*0.475*44/12</f>
        <v>0</v>
      </c>
      <c r="EX66" s="21">
        <f>EXP(-LN(2)/2)*EX65+(1-EXP(-LN(2)/2))/(LN(2)/2)*ER66*EU66*VLOOKUP('Données projet'!$B$15,Paramètres!$A$1:$I$89,3,0)*0.475*44/12</f>
        <v>0</v>
      </c>
      <c r="EY66" s="22">
        <f t="shared" si="21"/>
        <v>46.910456412806802</v>
      </c>
      <c r="EZ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5.2</v>
      </c>
      <c r="FE66" s="12">
        <f>IF('Données projet'!$A$218&gt;35,FE65+FD66-FM65,IF(A66&lt;'Données projet'!$A$218,$FB$205^A66,IF(A66='Données projet'!$A$218,'Données projet'!$B$218,FE65+FD66-FM65)))</f>
        <v>295.59999999999985</v>
      </c>
      <c r="FF66" s="17">
        <f>FE66*VLOOKUP('Données projet'!$B$16,Paramètres!$A$1:$I$89,3,0)*VLOOKUP('Données projet'!$B$16,Paramètres!$A$1:$I$89,5,0)</f>
        <v>239.79071999999991</v>
      </c>
      <c r="FG66" s="13">
        <f t="shared" si="47"/>
        <v>58.394500584818381</v>
      </c>
      <c r="FH66" s="20">
        <f t="shared" si="22"/>
        <v>519.33925918522516</v>
      </c>
      <c r="FI66" s="59">
        <f t="shared" si="23"/>
        <v>782.23559752863127</v>
      </c>
      <c r="FJ66" s="59">
        <f ca="1">AVERAGE(OFFSET($FI$3,0,0,'Données projet'!$E$16+1,1))-AVERAGE(OFFSET($H$3,0,0,'Données projet'!$E$16+1,1))</f>
        <v>383.47399633251354</v>
      </c>
      <c r="FK66" s="59">
        <f t="shared" si="48"/>
        <v>370.49129421395628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>
        <f>EXP(-LN(2)/35)*FQ65+(1-EXP(-LN(2)/35))/(LN(2)/35)*FM66*FN66*VLOOKUP('Données projet'!$B$16,Paramètres!$A$1:$I$89,3,0)*0.475*44/12</f>
        <v>47.830269283646182</v>
      </c>
      <c r="FR66" s="21">
        <f>EXP(-LN(2)/25)*FR65+(1-EXP(-LN(2)/25))/(LN(2)/25)*Calculateur!FM66*Calculateur!FO66*VLOOKUP('Données projet'!$B$16,Paramètres!$A$1:$I$89,3,0)*0.475*44/12</f>
        <v>0</v>
      </c>
      <c r="FS66" s="21">
        <f>EXP(-LN(2)/2)*FS65+(1-EXP(-LN(2)/2))/(LN(2)/2)*FM66*FP66*VLOOKUP('Données projet'!$B$16,Paramètres!$A$1:$I$89,3,0)*0.475*44/12</f>
        <v>0</v>
      </c>
      <c r="FT66" s="22">
        <f t="shared" si="24"/>
        <v>47.830269283646182</v>
      </c>
      <c r="FU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>
        <f>VLOOKUP(A66,'Données projet'!$A$243:$I$263,2,0)</f>
        <v>312.58999999999997</v>
      </c>
      <c r="FX66" s="12">
        <f>VLOOKUP(A66,'Données projet'!$A$243:$I$263,9,0)</f>
        <v>11.644999999999996</v>
      </c>
      <c r="FY66" s="12">
        <f t="array" ref="FY66">INDEX(FX:FX,MIN(IF(ISNUMBER(FX66:FX262),ROW(FX66:FX262),"")))</f>
        <v>11.644999999999996</v>
      </c>
      <c r="FZ66" s="12">
        <f>IF('Données projet'!$A$244&gt;35,FZ65+FY66-GH65,IF(A66&lt;'Données projet'!$A$244,$FW$205^A66,IF(A66='Données projet'!$A$244,'Données projet'!$B$244,FZ65+FY66-GH65)))</f>
        <v>312.58999999999997</v>
      </c>
      <c r="GA66" s="17">
        <f>FZ66*VLOOKUP('Données projet'!$B$17,Paramètres!$A$1:$I$89,3,0)*VLOOKUP('Données projet'!$B$17,Paramètres!$A$1:$I$89,5,0)</f>
        <v>297.46064399999995</v>
      </c>
      <c r="GB66" s="13">
        <f t="shared" si="49"/>
        <v>70.643853837972429</v>
      </c>
      <c r="GC66" s="20">
        <f t="shared" si="25"/>
        <v>641.11533373446855</v>
      </c>
      <c r="GD66" s="59">
        <f t="shared" si="26"/>
        <v>904.01167207787466</v>
      </c>
      <c r="GE66" s="59">
        <f ca="1">AVERAGE(OFFSET($GD$3,0,0,'Données projet'!$E$17+1,1))-AVERAGE(OFFSET($H$3,0,0,'Données projet'!$E$17+1,1))</f>
        <v>592.58528889137358</v>
      </c>
      <c r="GF66" s="59">
        <f t="shared" si="50"/>
        <v>311.31528020403709</v>
      </c>
      <c r="GG66" s="15">
        <f>IF(ISNA(VLOOKUP(A66,'Données projet'!$A$243:$I$263,3,0)),0,VLOOKUP(A66,'Données projet'!$A$243:$I$263,3,0))</f>
        <v>5</v>
      </c>
      <c r="GH66" s="15">
        <f>IF(ISNA(VLOOKUP(A66,'Données projet'!$A$243:$I$263,4,0)),0,VLOOKUP(A66,'Données projet'!$A$243:$I$263,4,0))</f>
        <v>54.21</v>
      </c>
      <c r="GI66" s="16">
        <f>IF(ISNA(VLOOKUP(A66,'Données projet'!$A$243:$I$263,5,0)),0%,VLOOKUP(A66,'Données projet'!$A$243:$I$263,5,0)*VLOOKUP('Données projet'!$B$17,Paramètres!$A$1:$I$89,7,0))</f>
        <v>0.43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>
        <f>EXP(-LN(2)/35)*GL65+(1-EXP(-LN(2)/35))/(LN(2)/35)*GH66*GI66*VLOOKUP('Données projet'!$B$17,Paramètres!$A$1:$I$89,3,0)*0.475*44/12</f>
        <v>99.496689405520314</v>
      </c>
      <c r="GM66" s="21">
        <f>EXP(-LN(2)/25)*GM65+(1-EXP(-LN(2)/25))/(LN(2)/25)*Calculateur!GH66*Calculateur!GJ66*VLOOKUP('Données projet'!$B$17,Paramètres!$A$1:$I$89,3,0)*0.475*44/12</f>
        <v>0</v>
      </c>
      <c r="GN66" s="21">
        <f>EXP(-LN(2)/2)*GN65+(1-EXP(-LN(2)/2))/(LN(2)/2)*GH66*GK66*VLOOKUP('Données projet'!$B$17,Paramètres!$A$1:$I$89,3,0)*0.475*44/12</f>
        <v>0</v>
      </c>
      <c r="GO66" s="21">
        <f t="shared" si="27"/>
        <v>99.496689405520314</v>
      </c>
      <c r="GP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8.6666666666666661</v>
      </c>
      <c r="GU66" s="12">
        <f>IF('Données projet'!$A$270&gt;35,GU65+GT66-HC65,IF(A66&lt;'Données projet'!$A$270,$GR$205^A66,IF(A66='Données projet'!$A$270,'Données projet'!$B$270,GU65+GT66-HC65)))</f>
        <v>275.99999999999994</v>
      </c>
      <c r="GV66" s="17">
        <f>GU66*VLOOKUP('Données projet'!$B$18,Paramètres!$A$1:$I$89,3,0)*VLOOKUP('Données projet'!$B$18,Paramètres!$A$1:$I$89,5,0)</f>
        <v>215.27999999999997</v>
      </c>
      <c r="GW66" s="13">
        <f t="shared" si="51"/>
        <v>53.087725740853138</v>
      </c>
      <c r="GX66" s="20">
        <f t="shared" si="28"/>
        <v>467.40712233198587</v>
      </c>
      <c r="GY66" s="59">
        <f t="shared" si="29"/>
        <v>730.30346067539199</v>
      </c>
      <c r="GZ66" s="59">
        <f ca="1">AVERAGE(OFFSET($GY$3,0,0,'Données projet'!$E$18+1,1))-AVERAGE(OFFSET($H$3,0,0,'Données projet'!$E$18+1,1))</f>
        <v>308.85018589589453</v>
      </c>
      <c r="HA66" s="59">
        <f t="shared" si="52"/>
        <v>302.59481222418219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>
        <f>EXP(-LN(2)/35)*HG65+(1-EXP(-LN(2)/35))/(LN(2)/35)*HC66*HD66*VLOOKUP('Données projet'!$B$18,Paramètres!$A$1:$I$89,3,0)*0.475*44/12</f>
        <v>56.736822144539431</v>
      </c>
      <c r="HH66" s="21">
        <f>EXP(-LN(2)/25)*HH65+(1-EXP(-LN(2)/25))/(LN(2)/25)*Calculateur!HC66*Calculateur!HE66*VLOOKUP('Données projet'!$B$18,Paramètres!$A$1:$I$89,3,0)*0.475*44/12</f>
        <v>0</v>
      </c>
      <c r="HI66" s="21">
        <f>EXP(-LN(2)/2)*HI65+(1-EXP(-LN(2)/2))/(LN(2)/2)*HC66*HF66*VLOOKUP('Données projet'!$B$18,Paramètres!$A$1:$I$89,3,0)*0.475*44/12</f>
        <v>0</v>
      </c>
      <c r="HJ66" s="22">
        <f t="shared" si="30"/>
        <v>56.736822144539431</v>
      </c>
    </row>
    <row r="67" spans="1:218" x14ac:dyDescent="0.35">
      <c r="A67" s="10">
        <f t="shared" si="31"/>
        <v>64</v>
      </c>
      <c r="B67" s="72">
        <f>'Scénario référence'!$B$16*5+'Scénario référence'!$B$17*0+'Scénario référence'!$B$18*5</f>
        <v>5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66">
        <f t="shared" si="1"/>
        <v>183.33333333333334</v>
      </c>
      <c r="I67" s="6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11.28875</v>
      </c>
      <c r="N67" s="13">
        <f>IF('Données projet'!$A$36&gt;35,N66+M67-V66,IF(A67&lt;'Données projet'!$A$36,$K$205^A67,IF(A67='Données projet'!$A$36,'Données projet'!$B$36,N66+M67-V66)))</f>
        <v>269.66874999999999</v>
      </c>
      <c r="O67" s="13">
        <f>N67*VLOOKUP('Données projet'!$B$9,Paramètres!$A$1:$I$89,3,0)*VLOOKUP('Données projet'!$B$9,Paramètres!$A$1:$I$89,5,0)</f>
        <v>243.996285</v>
      </c>
      <c r="P67" s="13">
        <f t="shared" si="33"/>
        <v>59.298522534643098</v>
      </c>
      <c r="Q67" s="20">
        <f t="shared" ref="Q67:Q98" si="54">(O67+P67)*0.475*44/12</f>
        <v>528.23845645617007</v>
      </c>
      <c r="R67" s="59">
        <f t="shared" ref="R67:R130" si="55">Q67+(I67+J67)*44/12</f>
        <v>791.66280861572477</v>
      </c>
      <c r="S67" s="59">
        <f ca="1">AVERAGE(OFFSET($R$3,0,0,'Données projet'!$E$9+1,1))-AVERAGE(OFFSET($H$3,0,0,'Données projet'!$E$9+1,1))</f>
        <v>567.42635821507474</v>
      </c>
      <c r="T67" s="59">
        <f t="shared" si="34"/>
        <v>299.04735309930152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92.748294438843317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0</v>
      </c>
      <c r="AC67" s="22">
        <f t="shared" si="3"/>
        <v>92.748294438843317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11.28875</v>
      </c>
      <c r="AI67" s="13">
        <f>IF('Données projet'!$A$62&gt;35,AI66+AH67-AQ66,IF(A67&lt;'Données projet'!$A$62,$AF$205^A67,IF(A67='Données projet'!$A$62,'Données projet'!$B$62,AI66+AH67-AQ66)))</f>
        <v>269.66874999999999</v>
      </c>
      <c r="AJ67" s="13">
        <f>AI67*VLOOKUP('Données projet'!$B$10,Paramètres!$A$1:$I$89,3,0)*VLOOKUP('Données projet'!$B$10,Paramètres!$A$1:$I$89,5,0)</f>
        <v>273.44411250000002</v>
      </c>
      <c r="AK67" s="13">
        <f t="shared" si="35"/>
        <v>65.579656803641157</v>
      </c>
      <c r="AL67" s="20">
        <f t="shared" si="4"/>
        <v>590.46639820384166</v>
      </c>
      <c r="AM67" s="59">
        <f t="shared" si="5"/>
        <v>853.89075036339636</v>
      </c>
      <c r="AN67" s="59">
        <f ca="1">AVERAGE(OFFSET($AM$3,0,0,'Données projet'!$E$10+1,1))-AVERAGE(OFFSET($H$3,0,0,'Données projet'!$E$10+1,1))</f>
        <v>626.09203985591455</v>
      </c>
      <c r="AO67" s="59">
        <f t="shared" si="36"/>
        <v>327.65191296575199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103.94205411249681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103.94205411249681</v>
      </c>
      <c r="AY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10.4</v>
      </c>
      <c r="BD67" s="12">
        <f>IF('Données projet'!$A$88&gt;35,BD66+BC67-BL66,IF(A67&lt;'Données projet'!$A$88,$BA$205^A67,IF(A67='Données projet'!$A$88,'Données projet'!$B$88,BD66+BC67-BL66)))</f>
        <v>283.59999999999997</v>
      </c>
      <c r="BE67" s="13">
        <f>BD67*VLOOKUP('Données projet'!$B$11,Paramètres!$A$1:$I$89,3,0)*VLOOKUP('Données projet'!$B$11,Paramètres!$A$1:$I$89,5,0)</f>
        <v>243.3288</v>
      </c>
      <c r="BF67" s="13">
        <f t="shared" si="37"/>
        <v>59.155162833418565</v>
      </c>
      <c r="BG67" s="20">
        <f t="shared" si="7"/>
        <v>526.82623526820396</v>
      </c>
      <c r="BH67" s="59">
        <f t="shared" si="8"/>
        <v>790.25058742775877</v>
      </c>
      <c r="BI67" s="59">
        <f ca="1">AVERAGE(OFFSET($BH$3,0,0,'Données projet'!$E$11+1,1))-AVERAGE(OFFSET($H$3,0,0,'Données projet'!$E$11+1,1))</f>
        <v>481.23392184981651</v>
      </c>
      <c r="BJ67" s="59">
        <f t="shared" si="38"/>
        <v>275.88160405468193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61.786956174935767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61.786956174935767</v>
      </c>
      <c r="BT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15.928750000000001</v>
      </c>
      <c r="BY67" s="12">
        <f>IF('Données projet'!$A$114&gt;35,BY66+BX67-CG66,IF(A67&lt;'Données projet'!$A$114,$BV$205^A67,IF(A67='Données projet'!$A$114,'Données projet'!$B$114,BY66+BX67-CG66)))</f>
        <v>408.34249999999946</v>
      </c>
      <c r="BZ67" s="13">
        <f>BY67*VLOOKUP('Données projet'!$B$12,Paramètres!$A$1:$I$89,3,0)*VLOOKUP('Données projet'!$B$12,Paramètres!$A$1:$I$89,5,0)</f>
        <v>191.10428999999974</v>
      </c>
      <c r="CA67" s="13">
        <f t="shared" si="39"/>
        <v>47.784013285238458</v>
      </c>
      <c r="CB67" s="20">
        <f t="shared" si="10"/>
        <v>416.06379488845647</v>
      </c>
      <c r="CC67" s="59">
        <f t="shared" si="11"/>
        <v>679.48814704801123</v>
      </c>
      <c r="CD67" s="59">
        <f ca="1">AVERAGE(OFFSET($CC$3,0,0,'Données projet'!$E$12+1,1))-AVERAGE(OFFSET($H$3,0,0,'Données projet'!$E$12+1,1))</f>
        <v>331.86732359395467</v>
      </c>
      <c r="CE67" s="59">
        <f t="shared" si="40"/>
        <v>208.64489375183106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77.324838263942439</v>
      </c>
      <c r="CL67" s="21">
        <f>EXP(-LN(2)/25)*CL66+(1-EXP(-LN(2)/25))/(LN(2)/25)*Calculateur!CG67*Calculateur!CI67*VLOOKUP('Données projet'!$B$12,Paramètres!$A$1:$I$89,3,0)*0.475*44/12</f>
        <v>0</v>
      </c>
      <c r="CM67" s="21">
        <f>EXP(-LN(2)/2)*CM66+(1-EXP(-LN(2)/2))/(LN(2)/2)*CG67*CJ67*VLOOKUP('Données projet'!$B$12,Paramètres!$A$1:$I$89,3,0)*0.475*44/12</f>
        <v>0</v>
      </c>
      <c r="CN67" s="22">
        <f t="shared" si="12"/>
        <v>77.324838263942439</v>
      </c>
      <c r="CO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5.2</v>
      </c>
      <c r="CT67" s="12">
        <f>IF('Données projet'!$A$140&gt;35,CT66+CS67-DB66,IF(A67&lt;'Données projet'!$A$140,$CQ$205^A67,IF(A67='Données projet'!$A$140,'Données projet'!$B$140,CT66+CS67-DB66)))</f>
        <v>300.79999999999984</v>
      </c>
      <c r="CU67" s="17">
        <f>CT67*VLOOKUP('Données projet'!$B$13,Paramètres!$A$1:$I$89,3,0)*VLOOKUP('Données projet'!$B$13,Paramètres!$A$1:$I$89,5,0)</f>
        <v>220.54655999999989</v>
      </c>
      <c r="CV67" s="13">
        <f t="shared" si="41"/>
        <v>54.233660675860236</v>
      </c>
      <c r="CW67" s="20">
        <f t="shared" si="13"/>
        <v>478.57555101045637</v>
      </c>
      <c r="CX67" s="59">
        <f t="shared" si="14"/>
        <v>741.99990317001107</v>
      </c>
      <c r="CY67" s="59">
        <f ca="1">AVERAGE(OFFSET($CX$3,0,0,'Données projet'!$E$13+1,1))-AVERAGE(OFFSET($H$3,0,0,'Données projet'!$E$13+1,1))</f>
        <v>352.45777291109863</v>
      </c>
      <c r="CZ67" s="59">
        <f t="shared" si="42"/>
        <v>340.92165104349181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34.386586733513433</v>
      </c>
      <c r="DG67" s="21">
        <f>EXP(-LN(2)/25)*DG66+(1-EXP(-LN(2)/25))/(LN(2)/25)*Calculateur!DB67*Calculateur!DD67*VLOOKUP('Données projet'!$B$13,Paramètres!$A$1:$I$89,3,0)*0.475*44/12</f>
        <v>0</v>
      </c>
      <c r="DH67" s="21">
        <f>EXP(-LN(2)/2)*DH66+(1-EXP(-LN(2)/2))/(LN(2)/2)*DB67*DE67*VLOOKUP('Données projet'!$B$13,Paramètres!$A$1:$I$89,3,0)*0.475*44/12</f>
        <v>0</v>
      </c>
      <c r="DI67" s="22">
        <f t="shared" si="15"/>
        <v>34.386586733513433</v>
      </c>
      <c r="DJ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11.28875</v>
      </c>
      <c r="DO67" s="12">
        <f>IF('Données projet'!$A$166&gt;35,DO66+DN67-DW66,IF(A67&lt;'Données projet'!$A$166,$DL$205^A67,IF(A67='Données projet'!$A$166,'Données projet'!$B$166,DO66+DN67-DW66)))</f>
        <v>269.66874999999999</v>
      </c>
      <c r="DP67" s="17">
        <f>DO67*VLOOKUP('Données projet'!$B$14,Paramètres!$A$1:$I$89,3,0)*VLOOKUP('Données projet'!$B$14,Paramètres!$A$1:$I$89,5,0)</f>
        <v>180.89379750000001</v>
      </c>
      <c r="DQ67" s="13">
        <f t="shared" si="43"/>
        <v>45.520982281419109</v>
      </c>
      <c r="DR67" s="20">
        <f t="shared" si="16"/>
        <v>394.3390747859716</v>
      </c>
      <c r="DS67" s="59">
        <f t="shared" si="17"/>
        <v>657.76342694552636</v>
      </c>
      <c r="DT67" s="59">
        <f ca="1">AVERAGE(OFFSET($DS$3,0,0,'Données projet'!$E$14+1,1))-AVERAGE(OFFSET($H$3,0,0,'Données projet'!$E$14+1,1))</f>
        <v>441.20130048888439</v>
      </c>
      <c r="DU67" s="59">
        <f t="shared" si="44"/>
        <v>237.47732532183946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84.752751814805094</v>
      </c>
      <c r="EB67" s="21">
        <f>EXP(-LN(2)/25)*EB66+(1-EXP(-LN(2)/25))/(LN(2)/25)*Calculateur!DW67*Calculateur!DY67*VLOOKUP('Données projet'!$B$14,Paramètres!$A$1:$I$89,3,0)*0.475*44/12</f>
        <v>0</v>
      </c>
      <c r="EC67" s="21">
        <f>EXP(-LN(2)/2)*EC66+(1-EXP(-LN(2)/2))/(LN(2)/2)*DW67*DZ67*VLOOKUP('Données projet'!$B$14,Paramètres!$A$1:$I$89,3,0)*0.475*44/12</f>
        <v>0</v>
      </c>
      <c r="ED67" s="22">
        <f t="shared" si="18"/>
        <v>84.752751814805094</v>
      </c>
      <c r="EE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5.2</v>
      </c>
      <c r="EJ67" s="12">
        <f>IF('Données projet'!$A$192&gt;35,EJ66+EI67-ER66,IF(A67&lt;'Données projet'!$A$192,$EG$205^A67,IF(A67='Données projet'!$A$192,'Données projet'!$B$192,EJ66+EI67-ER66)))</f>
        <v>300.79999999999984</v>
      </c>
      <c r="EK67" s="17">
        <f>EJ67*VLOOKUP('Données projet'!$B$15,Paramètres!$A$1:$I$89,3,0)*VLOOKUP('Données projet'!$B$15,Paramètres!$A$1:$I$89,5,0)</f>
        <v>239.3164799999999</v>
      </c>
      <c r="EL67" s="13">
        <f t="shared" si="45"/>
        <v>58.292443422481945</v>
      </c>
      <c r="EM67" s="20">
        <f t="shared" si="19"/>
        <v>518.33554162748919</v>
      </c>
      <c r="EN67" s="59">
        <f t="shared" si="20"/>
        <v>781.75989378704389</v>
      </c>
      <c r="EO67" s="59">
        <f ca="1">AVERAGE(OFFSET($EN$3,0,0,'Données projet'!$E$15+1,1))-AVERAGE(OFFSET($H$3,0,0,'Données projet'!$E$15+1,1))</f>
        <v>377.27600411578322</v>
      </c>
      <c r="EP67" s="59">
        <f t="shared" si="46"/>
        <v>364.58250627635425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>
        <f>EXP(-LN(2)/35)*EV66+(1-EXP(-LN(2)/35))/(LN(2)/35)*ER67*ES67*VLOOKUP('Données projet'!$B$15,Paramètres!$A$1:$I$89,3,0)*0.475*44/12</f>
        <v>45.990570975104816</v>
      </c>
      <c r="EW67" s="21">
        <f>EXP(-LN(2)/25)*EW66+(1-EXP(-LN(2)/25))/(LN(2)/25)*Calculateur!ER67*Calculateur!ET67*VLOOKUP('Données projet'!$B$15,Paramètres!$A$1:$I$89,3,0)*0.475*44/12</f>
        <v>0</v>
      </c>
      <c r="EX67" s="21">
        <f>EXP(-LN(2)/2)*EX66+(1-EXP(-LN(2)/2))/(LN(2)/2)*ER67*EU67*VLOOKUP('Données projet'!$B$15,Paramètres!$A$1:$I$89,3,0)*0.475*44/12</f>
        <v>0</v>
      </c>
      <c r="EY67" s="22">
        <f t="shared" si="21"/>
        <v>45.990570975104816</v>
      </c>
      <c r="EZ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5.2</v>
      </c>
      <c r="FE67" s="12">
        <f>IF('Données projet'!$A$218&gt;35,FE66+FD67-FM66,IF(A67&lt;'Données projet'!$A$218,$FB$205^A67,IF(A67='Données projet'!$A$218,'Données projet'!$B$218,FE66+FD67-FM66)))</f>
        <v>300.79999999999984</v>
      </c>
      <c r="FF67" s="17">
        <f>FE67*VLOOKUP('Données projet'!$B$16,Paramètres!$A$1:$I$89,3,0)*VLOOKUP('Données projet'!$B$16,Paramètres!$A$1:$I$89,5,0)</f>
        <v>244.00895999999986</v>
      </c>
      <c r="FG67" s="13">
        <f t="shared" si="47"/>
        <v>59.301244377330541</v>
      </c>
      <c r="FH67" s="20">
        <f t="shared" si="22"/>
        <v>528.26527262385048</v>
      </c>
      <c r="FI67" s="59">
        <f t="shared" si="23"/>
        <v>791.68962478340518</v>
      </c>
      <c r="FJ67" s="59">
        <f ca="1">AVERAGE(OFFSET($FI$3,0,0,'Données projet'!$E$16+1,1))-AVERAGE(OFFSET($H$3,0,0,'Données projet'!$E$16+1,1))</f>
        <v>383.47399633251354</v>
      </c>
      <c r="FK67" s="59">
        <f t="shared" si="48"/>
        <v>370.49129421395628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>
        <f>EXP(-LN(2)/35)*FQ66+(1-EXP(-LN(2)/35))/(LN(2)/35)*FM67*FN67*VLOOKUP('Données projet'!$B$16,Paramètres!$A$1:$I$89,3,0)*0.475*44/12</f>
        <v>46.892346876577491</v>
      </c>
      <c r="FR67" s="21">
        <f>EXP(-LN(2)/25)*FR66+(1-EXP(-LN(2)/25))/(LN(2)/25)*Calculateur!FM67*Calculateur!FO67*VLOOKUP('Données projet'!$B$16,Paramètres!$A$1:$I$89,3,0)*0.475*44/12</f>
        <v>0</v>
      </c>
      <c r="FS67" s="21">
        <f>EXP(-LN(2)/2)*FS66+(1-EXP(-LN(2)/2))/(LN(2)/2)*FM67*FP67*VLOOKUP('Données projet'!$B$16,Paramètres!$A$1:$I$89,3,0)*0.475*44/12</f>
        <v>0</v>
      </c>
      <c r="FT67" s="22">
        <f t="shared" si="24"/>
        <v>46.892346876577491</v>
      </c>
      <c r="FU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11.28875</v>
      </c>
      <c r="FZ67" s="12">
        <f>IF('Données projet'!$A$244&gt;35,FZ66+FY67-GH66,IF(A67&lt;'Données projet'!$A$244,$FW$205^A67,IF(A67='Données projet'!$A$244,'Données projet'!$B$244,FZ66+FY67-GH66)))</f>
        <v>269.66874999999999</v>
      </c>
      <c r="GA67" s="17">
        <f>FZ67*VLOOKUP('Données projet'!$B$17,Paramètres!$A$1:$I$89,3,0)*VLOOKUP('Données projet'!$B$17,Paramètres!$A$1:$I$89,5,0)</f>
        <v>256.6167825</v>
      </c>
      <c r="GB67" s="13">
        <f t="shared" si="49"/>
        <v>62.000663888032079</v>
      </c>
      <c r="GC67" s="20">
        <f t="shared" si="25"/>
        <v>554.92538579248924</v>
      </c>
      <c r="GD67" s="59">
        <f t="shared" si="26"/>
        <v>818.34973795204405</v>
      </c>
      <c r="GE67" s="59">
        <f ca="1">AVERAGE(OFFSET($GD$3,0,0,'Données projet'!$E$17+1,1))-AVERAGE(OFFSET($H$3,0,0,'Données projet'!$E$17+1,1))</f>
        <v>592.58528889137358</v>
      </c>
      <c r="GF67" s="59">
        <f t="shared" si="50"/>
        <v>311.31528020403709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>
        <f>EXP(-LN(2)/35)*GL66+(1-EXP(-LN(2)/35))/(LN(2)/35)*GH67*GI67*VLOOKUP('Données projet'!$B$17,Paramètres!$A$1:$I$89,3,0)*0.475*44/12</f>
        <v>97.545620013266259</v>
      </c>
      <c r="GM67" s="21">
        <f>EXP(-LN(2)/25)*GM66+(1-EXP(-LN(2)/25))/(LN(2)/25)*Calculateur!GH67*Calculateur!GJ67*VLOOKUP('Données projet'!$B$17,Paramètres!$A$1:$I$89,3,0)*0.475*44/12</f>
        <v>0</v>
      </c>
      <c r="GN67" s="21">
        <f>EXP(-LN(2)/2)*GN66+(1-EXP(-LN(2)/2))/(LN(2)/2)*GH67*GK67*VLOOKUP('Données projet'!$B$17,Paramètres!$A$1:$I$89,3,0)*0.475*44/12</f>
        <v>0</v>
      </c>
      <c r="GO67" s="21">
        <f t="shared" si="27"/>
        <v>97.545620013266259</v>
      </c>
      <c r="GP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8.6666666666666661</v>
      </c>
      <c r="GU67" s="12">
        <f>IF('Données projet'!$A$270&gt;35,GU66+GT67-HC66,IF(A67&lt;'Données projet'!$A$270,$GR$205^A67,IF(A67='Données projet'!$A$270,'Données projet'!$B$270,GU66+GT67-HC66)))</f>
        <v>284.66666666666663</v>
      </c>
      <c r="GV67" s="17">
        <f>GU67*VLOOKUP('Données projet'!$B$18,Paramètres!$A$1:$I$89,3,0)*VLOOKUP('Données projet'!$B$18,Paramètres!$A$1:$I$89,5,0)</f>
        <v>222.04</v>
      </c>
      <c r="GW67" s="13">
        <f t="shared" si="51"/>
        <v>54.558031180803546</v>
      </c>
      <c r="GX67" s="20">
        <f t="shared" si="28"/>
        <v>481.74157097323285</v>
      </c>
      <c r="GY67" s="59">
        <f t="shared" si="29"/>
        <v>745.16592313278761</v>
      </c>
      <c r="GZ67" s="59">
        <f ca="1">AVERAGE(OFFSET($GY$3,0,0,'Données projet'!$E$18+1,1))-AVERAGE(OFFSET($H$3,0,0,'Données projet'!$E$18+1,1))</f>
        <v>308.85018589589453</v>
      </c>
      <c r="HA67" s="59">
        <f t="shared" si="52"/>
        <v>302.59481222418219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>
        <f>EXP(-LN(2)/35)*HG66+(1-EXP(-LN(2)/35))/(LN(2)/35)*HC67*HD67*VLOOKUP('Données projet'!$B$18,Paramètres!$A$1:$I$89,3,0)*0.475*44/12</f>
        <v>55.62424766832946</v>
      </c>
      <c r="HH67" s="21">
        <f>EXP(-LN(2)/25)*HH66+(1-EXP(-LN(2)/25))/(LN(2)/25)*Calculateur!HC67*Calculateur!HE67*VLOOKUP('Données projet'!$B$18,Paramètres!$A$1:$I$89,3,0)*0.475*44/12</f>
        <v>0</v>
      </c>
      <c r="HI67" s="21">
        <f>EXP(-LN(2)/2)*HI66+(1-EXP(-LN(2)/2))/(LN(2)/2)*HC67*HF67*VLOOKUP('Données projet'!$B$18,Paramètres!$A$1:$I$89,3,0)*0.475*44/12</f>
        <v>0</v>
      </c>
      <c r="HJ67" s="22">
        <f t="shared" si="30"/>
        <v>55.62424766832946</v>
      </c>
    </row>
    <row r="68" spans="1:218" x14ac:dyDescent="0.35">
      <c r="A68" s="10">
        <f t="shared" si="31"/>
        <v>65</v>
      </c>
      <c r="B68" s="72">
        <f>'Scénario référence'!$B$16*5+'Scénario référence'!$B$17*0+'Scénario référence'!$B$18*5</f>
        <v>5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66">
        <f t="shared" ref="H68:H131" si="56">(B68+E68+F68)*44/12+(C68+D68)*0.475*44/12</f>
        <v>183.33333333333334</v>
      </c>
      <c r="I68" s="6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11.28875</v>
      </c>
      <c r="N68" s="13">
        <f>IF('Données projet'!$A$36&gt;35,N67+M68-V67,IF(A68&lt;'Données projet'!$A$36,$K$205^A68,IF(A68='Données projet'!$A$36,'Données projet'!$B$36,N67+M68-V67)))</f>
        <v>280.95749999999998</v>
      </c>
      <c r="O68" s="13">
        <f>N68*VLOOKUP('Données projet'!$B$9,Paramètres!$A$1:$I$89,3,0)*VLOOKUP('Données projet'!$B$9,Paramètres!$A$1:$I$89,5,0)</f>
        <v>254.21034599999999</v>
      </c>
      <c r="P68" s="13">
        <f t="shared" si="33"/>
        <v>61.486644866788161</v>
      </c>
      <c r="Q68" s="20">
        <f t="shared" si="54"/>
        <v>549.83892575965604</v>
      </c>
      <c r="R68" s="59">
        <f t="shared" si="55"/>
        <v>813.78213187611118</v>
      </c>
      <c r="S68" s="59">
        <f ca="1">AVERAGE(OFFSET($R$3,0,0,'Données projet'!$E$9+1,1))-AVERAGE(OFFSET($H$3,0,0,'Données projet'!$E$9+1,1))</f>
        <v>567.42635821507474</v>
      </c>
      <c r="T68" s="59">
        <f t="shared" si="34"/>
        <v>299.04735309930152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90.929556955771304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90.929556955771304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11.28875</v>
      </c>
      <c r="AI68" s="13">
        <f>IF('Données projet'!$A$62&gt;35,AI67+AH68-AQ67,IF(A68&lt;'Données projet'!$A$62,$AF$205^A68,IF(A68='Données projet'!$A$62,'Données projet'!$B$62,AI67+AH68-AQ67)))</f>
        <v>280.95749999999998</v>
      </c>
      <c r="AJ68" s="13">
        <f>AI68*VLOOKUP('Données projet'!$B$10,Paramètres!$A$1:$I$89,3,0)*VLOOKUP('Données projet'!$B$10,Paramètres!$A$1:$I$89,5,0)</f>
        <v>284.89090500000003</v>
      </c>
      <c r="AK68" s="13">
        <f t="shared" si="35"/>
        <v>67.99955371595675</v>
      </c>
      <c r="AL68" s="20">
        <f t="shared" ref="AL68:AL131" si="58">(AJ68+AK68)*0.475*44/12</f>
        <v>614.61754893029149</v>
      </c>
      <c r="AM68" s="59">
        <f t="shared" ref="AM68:AM131" si="59">AL68+(AD68+AE68)*44/12</f>
        <v>878.56075504674664</v>
      </c>
      <c r="AN68" s="59">
        <f ca="1">AVERAGE(OFFSET($AM$3,0,0,'Données projet'!$E$10+1,1))-AVERAGE(OFFSET($H$3,0,0,'Données projet'!$E$10+1,1))</f>
        <v>626.09203985591455</v>
      </c>
      <c r="AO68" s="59">
        <f t="shared" si="36"/>
        <v>327.65191296575199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101.90381382974368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101.90381382974368</v>
      </c>
      <c r="AY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>
        <f>VLOOKUP(A68,'Données projet'!$A$87:$I$107,2,0)</f>
        <v>294</v>
      </c>
      <c r="BB68" s="12">
        <f>VLOOKUP(A68,'Données projet'!$A$87:$I$107,9,0)</f>
        <v>10.4</v>
      </c>
      <c r="BC68" s="12">
        <f t="array" ref="BC68">INDEX(BB:BB,MIN(IF(ISNUMBER(BB68:BB264),ROW(BB68:BB264),"")))</f>
        <v>10.4</v>
      </c>
      <c r="BD68" s="12">
        <f>IF('Données projet'!$A$88&gt;35,BD67+BC68-BL67,IF(A68&lt;'Données projet'!$A$88,$BA$205^A68,IF(A68='Données projet'!$A$88,'Données projet'!$B$88,BD67+BC68-BL67)))</f>
        <v>293.99999999999994</v>
      </c>
      <c r="BE68" s="13">
        <f>BD68*VLOOKUP('Données projet'!$B$11,Paramètres!$A$1:$I$89,3,0)*VLOOKUP('Données projet'!$B$11,Paramètres!$A$1:$I$89,5,0)</f>
        <v>252.25199999999998</v>
      </c>
      <c r="BF68" s="13">
        <f t="shared" si="37"/>
        <v>61.067920784150822</v>
      </c>
      <c r="BG68" s="20">
        <f t="shared" ref="BG68:BG131" si="61">(BE68+BF68)*0.475*44/12</f>
        <v>545.69886203239594</v>
      </c>
      <c r="BH68" s="59">
        <f t="shared" ref="BH68:BH131" si="62">BG68+(AY68+AZ68)*44/12</f>
        <v>809.64206814885119</v>
      </c>
      <c r="BI68" s="59">
        <f ca="1">AVERAGE(OFFSET($BH$3,0,0,'Données projet'!$E$11+1,1))-AVERAGE(OFFSET($H$3,0,0,'Données projet'!$E$11+1,1))</f>
        <v>481.23392184981651</v>
      </c>
      <c r="BJ68" s="59">
        <f t="shared" si="38"/>
        <v>275.88160405468193</v>
      </c>
      <c r="BK68" s="15">
        <f>IF(ISNA(VLOOKUP(A68,'Données projet'!$A$87:$I$107,3,0)),0,VLOOKUP(A68,'Données projet'!$A$87:$I$107,3,0))</f>
        <v>9</v>
      </c>
      <c r="BL68" s="15">
        <f>IF(ISNA(VLOOKUP(A68,'Données projet'!$A$87:$I$107,4,0)),0,VLOOKUP(A68,'Données projet'!$A$87:$I$107,4,0))</f>
        <v>28</v>
      </c>
      <c r="BM68" s="16">
        <f>IF(ISNA(VLOOKUP(A68,'Données projet'!$A$87:$I$107,5,0)),0%,VLOOKUP(A68,'Données projet'!$A$87:$I$107,5,0)*VLOOKUP('Données projet'!$B$11,Paramètres!$A$1:$I$89,7,0))</f>
        <v>0.53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74.650996461554115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74.650996461554115</v>
      </c>
      <c r="BT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15.928750000000001</v>
      </c>
      <c r="BY68" s="12">
        <f>IF('Données projet'!$A$114&gt;35,BY67+BX68-CG67,IF(A68&lt;'Données projet'!$A$114,$BV$205^A68,IF(A68='Données projet'!$A$114,'Données projet'!$B$114,BY67+BX68-CG67)))</f>
        <v>424.27124999999944</v>
      </c>
      <c r="BZ68" s="13">
        <f>BY68*VLOOKUP('Données projet'!$B$12,Paramètres!$A$1:$I$89,3,0)*VLOOKUP('Données projet'!$B$12,Paramètres!$A$1:$I$89,5,0)</f>
        <v>198.55894499999974</v>
      </c>
      <c r="CA68" s="13">
        <f t="shared" si="39"/>
        <v>49.427334288005518</v>
      </c>
      <c r="CB68" s="20">
        <f t="shared" ref="CB68:CB131" si="64">(BZ68+CA68)*0.475*44/12</f>
        <v>431.90943642660909</v>
      </c>
      <c r="CC68" s="59">
        <f t="shared" ref="CC68:CC131" si="65">CB68+(BT68+BU68)*44/12</f>
        <v>695.85264254306435</v>
      </c>
      <c r="CD68" s="59">
        <f ca="1">AVERAGE(OFFSET($CC$3,0,0,'Données projet'!$E$12+1,1))-AVERAGE(OFFSET($H$3,0,0,'Données projet'!$E$12+1,1))</f>
        <v>331.86732359395467</v>
      </c>
      <c r="CE68" s="59">
        <f t="shared" si="40"/>
        <v>208.64489375183106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75.808545349080859</v>
      </c>
      <c r="CL68" s="21">
        <f>EXP(-LN(2)/25)*CL67+(1-EXP(-LN(2)/25))/(LN(2)/25)*Calculateur!CG68*Calculateur!CI68*VLOOKUP('Données projet'!$B$12,Paramètres!$A$1:$I$89,3,0)*0.475*44/12</f>
        <v>0</v>
      </c>
      <c r="CM68" s="21">
        <f>EXP(-LN(2)/2)*CM67+(1-EXP(-LN(2)/2))/(LN(2)/2)*CG68*CJ68*VLOOKUP('Données projet'!$B$12,Paramètres!$A$1:$I$89,3,0)*0.475*44/12</f>
        <v>0</v>
      </c>
      <c r="CN68" s="22">
        <f t="shared" ref="CN68:CN131" si="66">SUM(CK68:CM68)</f>
        <v>75.808545349080859</v>
      </c>
      <c r="CO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>
        <f>VLOOKUP(A68,'Données projet'!$A$139:$I$159,2,0)</f>
        <v>306</v>
      </c>
      <c r="CR68" s="12">
        <f>VLOOKUP(A68,'Données projet'!$A$139:$I$159,9,0)</f>
        <v>5.2</v>
      </c>
      <c r="CS68" s="12">
        <f t="array" ref="CS68">INDEX(CR:CR,MIN(IF(ISNUMBER(CR68:CR264),ROW(CR68:CR264),"")))</f>
        <v>5.2</v>
      </c>
      <c r="CT68" s="12">
        <f>IF('Données projet'!$A$140&gt;35,CT67+CS68-DB67,IF(A68&lt;'Données projet'!$A$140,$CQ$205^A68,IF(A68='Données projet'!$A$140,'Données projet'!$B$140,CT67+CS68-DB67)))</f>
        <v>305.99999999999983</v>
      </c>
      <c r="CU68" s="17">
        <f>CT68*VLOOKUP('Données projet'!$B$13,Paramètres!$A$1:$I$89,3,0)*VLOOKUP('Données projet'!$B$13,Paramètres!$A$1:$I$89,5,0)</f>
        <v>224.35919999999987</v>
      </c>
      <c r="CV68" s="13">
        <f t="shared" si="41"/>
        <v>55.061251669487255</v>
      </c>
      <c r="CW68" s="20">
        <f t="shared" ref="CW68:CW131" si="67">(CU68+CV68)*0.475*44/12</f>
        <v>486.65728665769001</v>
      </c>
      <c r="CX68" s="59">
        <f t="shared" ref="CX68:CX131" si="68">CW68+(CO68+CP68)*44/12</f>
        <v>750.60049277414521</v>
      </c>
      <c r="CY68" s="59">
        <f ca="1">AVERAGE(OFFSET($CX$3,0,0,'Données projet'!$E$13+1,1))-AVERAGE(OFFSET($H$3,0,0,'Données projet'!$E$13+1,1))</f>
        <v>352.45777291109863</v>
      </c>
      <c r="CZ68" s="59">
        <f t="shared" si="42"/>
        <v>340.92165104349181</v>
      </c>
      <c r="DA68" s="15">
        <f>IF(ISNA(VLOOKUP(A68,'Données projet'!$A$139:$I$159,3,0)),0,VLOOKUP(A68,'Données projet'!$A$139:$I$159,3,0))</f>
        <v>11</v>
      </c>
      <c r="DB68" s="15">
        <f>IF(ISNA(VLOOKUP(A68,'Données projet'!$A$139:$I$159,4,0)),0,VLOOKUP(A68,'Données projet'!$A$139:$I$159,4,0))</f>
        <v>13</v>
      </c>
      <c r="DC68" s="16">
        <f>IF(ISNA(VLOOKUP(A68,'Données projet'!$A$139:$I$159,5,0)),0%,VLOOKUP(A68,'Données projet'!$A$139:$I$159,5,0)*VLOOKUP('Données projet'!$B$13,Paramètres!$A$1:$I$89,7,0))</f>
        <v>0.43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38.243154373325353</v>
      </c>
      <c r="DG68" s="21">
        <f>EXP(-LN(2)/25)*DG67+(1-EXP(-LN(2)/25))/(LN(2)/25)*Calculateur!DB68*Calculateur!DD68*VLOOKUP('Données projet'!$B$13,Paramètres!$A$1:$I$89,3,0)*0.475*44/12</f>
        <v>0</v>
      </c>
      <c r="DH68" s="21">
        <f>EXP(-LN(2)/2)*DH67+(1-EXP(-LN(2)/2))/(LN(2)/2)*DB68*DE68*VLOOKUP('Données projet'!$B$13,Paramètres!$A$1:$I$89,3,0)*0.475*44/12</f>
        <v>0</v>
      </c>
      <c r="DI68" s="22">
        <f t="shared" ref="DI68:DI131" si="69">SUM(DF68:DH68)</f>
        <v>38.243154373325353</v>
      </c>
      <c r="DJ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11.28875</v>
      </c>
      <c r="DO68" s="12">
        <f>IF('Données projet'!$A$166&gt;35,DO67+DN68-DW67,IF(A68&lt;'Données projet'!$A$166,$DL$205^A68,IF(A68='Données projet'!$A$166,'Données projet'!$B$166,DO67+DN68-DW67)))</f>
        <v>280.95749999999998</v>
      </c>
      <c r="DP68" s="17">
        <f>DO68*VLOOKUP('Données projet'!$B$14,Paramètres!$A$1:$I$89,3,0)*VLOOKUP('Données projet'!$B$14,Paramètres!$A$1:$I$89,5,0)</f>
        <v>188.46629100000001</v>
      </c>
      <c r="DQ68" s="13">
        <f t="shared" si="43"/>
        <v>47.200711786533915</v>
      </c>
      <c r="DR68" s="20">
        <f t="shared" ref="DR68:DR131" si="70">(DP68+DQ68)*0.475*44/12</f>
        <v>410.4533631865466</v>
      </c>
      <c r="DS68" s="59">
        <f t="shared" ref="DS68:DS131" si="71">DR68+(DJ68+DK68)*44/12</f>
        <v>674.3965693030018</v>
      </c>
      <c r="DT68" s="59">
        <f ca="1">AVERAGE(OFFSET($DS$3,0,0,'Données projet'!$E$14+1,1))-AVERAGE(OFFSET($H$3,0,0,'Données projet'!$E$14+1,1))</f>
        <v>441.20130048888439</v>
      </c>
      <c r="DU68" s="59">
        <f t="shared" si="44"/>
        <v>237.47732532183946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83.090802045791008</v>
      </c>
      <c r="EB68" s="21">
        <f>EXP(-LN(2)/25)*EB67+(1-EXP(-LN(2)/25))/(LN(2)/25)*Calculateur!DW68*Calculateur!DY68*VLOOKUP('Données projet'!$B$14,Paramètres!$A$1:$I$89,3,0)*0.475*44/12</f>
        <v>0</v>
      </c>
      <c r="EC68" s="21">
        <f>EXP(-LN(2)/2)*EC67+(1-EXP(-LN(2)/2))/(LN(2)/2)*DW68*DZ68*VLOOKUP('Données projet'!$B$14,Paramètres!$A$1:$I$89,3,0)*0.475*44/12</f>
        <v>0</v>
      </c>
      <c r="ED68" s="22">
        <f t="shared" ref="ED68:ED131" si="72">SUM(EA68:EC68)</f>
        <v>83.090802045791008</v>
      </c>
      <c r="EE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>
        <f>VLOOKUP(A68,'Données projet'!$A$191:$I$211,2,0)</f>
        <v>306</v>
      </c>
      <c r="EH68" s="12">
        <f>VLOOKUP(A68,'Données projet'!$A$191:$I$211,9,0)</f>
        <v>5.2</v>
      </c>
      <c r="EI68" s="12">
        <f t="array" ref="EI68">INDEX(EH:EH,MIN(IF(ISNUMBER(EH68:EH264),ROW(EH68:EH264),"")))</f>
        <v>5.2</v>
      </c>
      <c r="EJ68" s="12">
        <f>IF('Données projet'!$A$192&gt;35,EJ67+EI68-ER67,IF(A68&lt;'Données projet'!$A$192,$EG$205^A68,IF(A68='Données projet'!$A$192,'Données projet'!$B$192,EJ67+EI68-ER67)))</f>
        <v>305.99999999999983</v>
      </c>
      <c r="EK68" s="17">
        <f>EJ68*VLOOKUP('Données projet'!$B$15,Paramètres!$A$1:$I$89,3,0)*VLOOKUP('Données projet'!$B$15,Paramètres!$A$1:$I$89,5,0)</f>
        <v>243.45359999999988</v>
      </c>
      <c r="EL68" s="13">
        <f t="shared" si="45"/>
        <v>59.181970343065267</v>
      </c>
      <c r="EM68" s="20">
        <f t="shared" ref="EM68:EM131" si="73">(EK68+EL68)*0.475*44/12</f>
        <v>527.09028501417163</v>
      </c>
      <c r="EN68" s="59">
        <f t="shared" ref="EN68:EN131" si="74">EM68+(EE68+EF68)*44/12</f>
        <v>791.03349113062677</v>
      </c>
      <c r="EO68" s="59">
        <f ca="1">AVERAGE(OFFSET($EN$3,0,0,'Données projet'!$E$15+1,1))-AVERAGE(OFFSET($H$3,0,0,'Données projet'!$E$15+1,1))</f>
        <v>377.27600411578322</v>
      </c>
      <c r="EP68" s="59">
        <f t="shared" si="46"/>
        <v>364.58250627635425</v>
      </c>
      <c r="EQ68" s="15">
        <f>IF(ISNA(VLOOKUP(A68,'Données projet'!$A$191:$I$211,3,0)),0,VLOOKUP(A68,'Données projet'!$A$191:$I$211,3,0))</f>
        <v>11</v>
      </c>
      <c r="ER68" s="15">
        <f>IF(ISNA(VLOOKUP(A68,'Données projet'!$A$191:$I$211,4,0)),0,VLOOKUP(A68,'Données projet'!$A$191:$I$211,4,0))</f>
        <v>13</v>
      </c>
      <c r="ES68" s="16">
        <f>IF(ISNA(VLOOKUP(A68,'Données projet'!$A$191:$I$211,5,0)),0%,VLOOKUP(A68,'Données projet'!$A$191:$I$211,5,0)*VLOOKUP('Données projet'!$B$15,Paramètres!$A$1:$I$89,7,0))</f>
        <v>0.53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>
        <f>EXP(-LN(2)/35)*EV67+(1-EXP(-LN(2)/35))/(LN(2)/35)*ER68*ES68*VLOOKUP('Données projet'!$B$15,Paramètres!$A$1:$I$89,3,0)*0.475*44/12</f>
        <v>51.148563221721147</v>
      </c>
      <c r="EW68" s="21">
        <f>EXP(-LN(2)/25)*EW67+(1-EXP(-LN(2)/25))/(LN(2)/25)*Calculateur!ER68*Calculateur!ET68*VLOOKUP('Données projet'!$B$15,Paramètres!$A$1:$I$89,3,0)*0.475*44/12</f>
        <v>0</v>
      </c>
      <c r="EX68" s="21">
        <f>EXP(-LN(2)/2)*EX67+(1-EXP(-LN(2)/2))/(LN(2)/2)*ER68*EU68*VLOOKUP('Données projet'!$B$15,Paramètres!$A$1:$I$89,3,0)*0.475*44/12</f>
        <v>0</v>
      </c>
      <c r="EY68" s="22">
        <f t="shared" ref="EY68:EY131" si="75">SUM(EV68:EX68)</f>
        <v>51.148563221721147</v>
      </c>
      <c r="EZ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>
        <f>VLOOKUP(A68,'Données projet'!$A$217:$I$237,2,0)</f>
        <v>306</v>
      </c>
      <c r="FC68" s="12">
        <f>VLOOKUP(A68,'Données projet'!$A$217:$I$237,9,0)</f>
        <v>5.2</v>
      </c>
      <c r="FD68" s="12">
        <f t="array" ref="FD68">INDEX(FC:FC,MIN(IF(ISNUMBER(FC68:FC264),ROW(FC68:FC264),"")))</f>
        <v>5.2</v>
      </c>
      <c r="FE68" s="12">
        <f>IF('Données projet'!$A$218&gt;35,FE67+FD68-FM67,IF(A68&lt;'Données projet'!$A$218,$FB$205^A68,IF(A68='Données projet'!$A$218,'Données projet'!$B$218,FE67+FD68-FM67)))</f>
        <v>305.99999999999983</v>
      </c>
      <c r="FF68" s="17">
        <f>FE68*VLOOKUP('Données projet'!$B$16,Paramètres!$A$1:$I$89,3,0)*VLOOKUP('Données projet'!$B$16,Paramètres!$A$1:$I$89,5,0)</f>
        <v>248.22719999999987</v>
      </c>
      <c r="FG68" s="13">
        <f t="shared" si="47"/>
        <v>60.20616532763993</v>
      </c>
      <c r="FH68" s="20">
        <f t="shared" ref="FH68:FH131" si="76">(FF68+FG68)*0.475*44/12</f>
        <v>537.18811127897254</v>
      </c>
      <c r="FI68" s="59">
        <f t="shared" ref="FI68:FI131" si="77">FH68+(EZ68+FA68)*44/12</f>
        <v>801.13131739542769</v>
      </c>
      <c r="FJ68" s="59">
        <f ca="1">AVERAGE(OFFSET($FI$3,0,0,'Données projet'!$E$16+1,1))-AVERAGE(OFFSET($H$3,0,0,'Données projet'!$E$16+1,1))</f>
        <v>383.47399633251354</v>
      </c>
      <c r="FK68" s="59">
        <f t="shared" si="48"/>
        <v>370.49129421395628</v>
      </c>
      <c r="FL68" s="15">
        <f>IF(ISNA(VLOOKUP(A68,'Données projet'!$A$217:$I$237,3,0)),0,VLOOKUP(A68,'Données projet'!$A$217:$I$237,3,0))</f>
        <v>11</v>
      </c>
      <c r="FM68" s="15">
        <f>IF(ISNA(VLOOKUP(A68,'Données projet'!$A$217:$I$237,4,0)),0,VLOOKUP(A68,'Données projet'!$A$217:$I$237,4,0))</f>
        <v>13</v>
      </c>
      <c r="FN68" s="16">
        <f>IF(ISNA(VLOOKUP(A68,'Données projet'!$A$217:$I$237,5,0)),0%,VLOOKUP(A68,'Données projet'!$A$217:$I$237,5,0)*VLOOKUP('Données projet'!$B$16,Paramètres!$A$1:$I$89,7,0))</f>
        <v>0.53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>
        <f>EXP(-LN(2)/35)*FQ67+(1-EXP(-LN(2)/35))/(LN(2)/35)*FM68*FN68*VLOOKUP('Données projet'!$B$16,Paramètres!$A$1:$I$89,3,0)*0.475*44/12</f>
        <v>52.15147622606866</v>
      </c>
      <c r="FR68" s="21">
        <f>EXP(-LN(2)/25)*FR67+(1-EXP(-LN(2)/25))/(LN(2)/25)*Calculateur!FM68*Calculateur!FO68*VLOOKUP('Données projet'!$B$16,Paramètres!$A$1:$I$89,3,0)*0.475*44/12</f>
        <v>0</v>
      </c>
      <c r="FS68" s="21">
        <f>EXP(-LN(2)/2)*FS67+(1-EXP(-LN(2)/2))/(LN(2)/2)*FM68*FP68*VLOOKUP('Données projet'!$B$16,Paramètres!$A$1:$I$89,3,0)*0.475*44/12</f>
        <v>0</v>
      </c>
      <c r="FT68" s="22">
        <f t="shared" ref="FT68:FT131" si="78">SUM(FQ68:FS68)</f>
        <v>52.15147622606866</v>
      </c>
      <c r="FU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11.28875</v>
      </c>
      <c r="FZ68" s="12">
        <f>IF('Données projet'!$A$244&gt;35,FZ67+FY68-GH67,IF(A68&lt;'Données projet'!$A$244,$FW$205^A68,IF(A68='Données projet'!$A$244,'Données projet'!$B$244,FZ67+FY68-GH67)))</f>
        <v>280.95749999999998</v>
      </c>
      <c r="GA68" s="17">
        <f>FZ68*VLOOKUP('Données projet'!$B$17,Paramètres!$A$1:$I$89,3,0)*VLOOKUP('Données projet'!$B$17,Paramètres!$A$1:$I$89,5,0)</f>
        <v>267.35915699999998</v>
      </c>
      <c r="GB68" s="13">
        <f t="shared" si="49"/>
        <v>64.288495548289134</v>
      </c>
      <c r="GC68" s="20">
        <f t="shared" ref="GC68:GC131" si="79">(GA68+GB68)*0.475*44/12</f>
        <v>577.61966152160346</v>
      </c>
      <c r="GD68" s="59">
        <f t="shared" ref="GD68:GD131" si="80">GC68+(FU68+FV68)*44/12</f>
        <v>841.56286763805861</v>
      </c>
      <c r="GE68" s="59">
        <f ca="1">AVERAGE(OFFSET($GD$3,0,0,'Données projet'!$E$17+1,1))-AVERAGE(OFFSET($H$3,0,0,'Données projet'!$E$17+1,1))</f>
        <v>592.58528889137358</v>
      </c>
      <c r="GF68" s="59">
        <f t="shared" si="50"/>
        <v>311.31528020403709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>
        <f>EXP(-LN(2)/35)*GL67+(1-EXP(-LN(2)/35))/(LN(2)/35)*GH68*GI68*VLOOKUP('Données projet'!$B$17,Paramètres!$A$1:$I$89,3,0)*0.475*44/12</f>
        <v>95.632809901759472</v>
      </c>
      <c r="GM68" s="21">
        <f>EXP(-LN(2)/25)*GM67+(1-EXP(-LN(2)/25))/(LN(2)/25)*Calculateur!GH68*Calculateur!GJ68*VLOOKUP('Données projet'!$B$17,Paramètres!$A$1:$I$89,3,0)*0.475*44/12</f>
        <v>0</v>
      </c>
      <c r="GN68" s="21">
        <f>EXP(-LN(2)/2)*GN67+(1-EXP(-LN(2)/2))/(LN(2)/2)*GH68*GK68*VLOOKUP('Données projet'!$B$17,Paramètres!$A$1:$I$89,3,0)*0.475*44/12</f>
        <v>0</v>
      </c>
      <c r="GO68" s="21">
        <f t="shared" ref="GO68:GO131" si="81">SUM(GL68:GN68)</f>
        <v>95.632809901759472</v>
      </c>
      <c r="GP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8.6666666666666661</v>
      </c>
      <c r="GU68" s="12">
        <f>IF('Données projet'!$A$270&gt;35,GU67+GT68-HC67,IF(A68&lt;'Données projet'!$A$270,$GR$205^A68,IF(A68='Données projet'!$A$270,'Données projet'!$B$270,GU67+GT68-HC67)))</f>
        <v>293.33333333333331</v>
      </c>
      <c r="GV68" s="17">
        <f>GU68*VLOOKUP('Données projet'!$B$18,Paramètres!$A$1:$I$89,3,0)*VLOOKUP('Données projet'!$B$18,Paramètres!$A$1:$I$89,5,0)</f>
        <v>228.79999999999998</v>
      </c>
      <c r="GW68" s="13">
        <f t="shared" si="51"/>
        <v>56.023134533701196</v>
      </c>
      <c r="GX68" s="20">
        <f t="shared" ref="GX68:GX131" si="82">(GV68+GW68)*0.475*44/12</f>
        <v>496.06695931286293</v>
      </c>
      <c r="GY68" s="59">
        <f t="shared" ref="GY68:GY131" si="83">GX68+(GP68+GQ68)*44/12</f>
        <v>760.01016542931814</v>
      </c>
      <c r="GZ68" s="59">
        <f ca="1">AVERAGE(OFFSET($GY$3,0,0,'Données projet'!$E$18+1,1))-AVERAGE(OFFSET($H$3,0,0,'Données projet'!$E$18+1,1))</f>
        <v>308.85018589589453</v>
      </c>
      <c r="HA68" s="59">
        <f t="shared" si="52"/>
        <v>302.59481222418219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>
        <f>EXP(-LN(2)/35)*HG67+(1-EXP(-LN(2)/35))/(LN(2)/35)*HC68*HD68*VLOOKUP('Données projet'!$B$18,Paramètres!$A$1:$I$89,3,0)*0.475*44/12</f>
        <v>54.533490098994541</v>
      </c>
      <c r="HH68" s="21">
        <f>EXP(-LN(2)/25)*HH67+(1-EXP(-LN(2)/25))/(LN(2)/25)*Calculateur!HC68*Calculateur!HE68*VLOOKUP('Données projet'!$B$18,Paramètres!$A$1:$I$89,3,0)*0.475*44/12</f>
        <v>0</v>
      </c>
      <c r="HI68" s="21">
        <f>EXP(-LN(2)/2)*HI67+(1-EXP(-LN(2)/2))/(LN(2)/2)*HC68*HF68*VLOOKUP('Données projet'!$B$18,Paramètres!$A$1:$I$89,3,0)*0.475*44/12</f>
        <v>0</v>
      </c>
      <c r="HJ68" s="22">
        <f t="shared" ref="HJ68:HJ131" si="84">SUM(HG68:HI68)</f>
        <v>54.533490098994541</v>
      </c>
    </row>
    <row r="69" spans="1:218" x14ac:dyDescent="0.35">
      <c r="A69" s="10">
        <f t="shared" ref="A69:A132" si="85">A68+1</f>
        <v>66</v>
      </c>
      <c r="B69" s="72">
        <f>'Scénario référence'!$B$16*5+'Scénario référence'!$B$17*0+'Scénario référence'!$B$18*5</f>
        <v>5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66">
        <f t="shared" si="56"/>
        <v>183.33333333333334</v>
      </c>
      <c r="I69" s="6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11.28875</v>
      </c>
      <c r="N69" s="13">
        <f>IF('Données projet'!$A$36&gt;35,N68+M69-V68,IF(A69&lt;'Données projet'!$A$36,$K$205^A69,IF(A69='Données projet'!$A$36,'Données projet'!$B$36,N68+M69-V68)))</f>
        <v>292.24624999999997</v>
      </c>
      <c r="O69" s="13">
        <f>N69*VLOOKUP('Données projet'!$B$9,Paramètres!$A$1:$I$89,3,0)*VLOOKUP('Données projet'!$B$9,Paramètres!$A$1:$I$89,5,0)</f>
        <v>264.42440699999997</v>
      </c>
      <c r="P69" s="13">
        <f t="shared" ref="P69:P132" si="87">EXP(-1.0587+0.8836*LN(O69)+0.284)</f>
        <v>63.664554558165378</v>
      </c>
      <c r="Q69" s="20">
        <f t="shared" si="54"/>
        <v>571.42160804713797</v>
      </c>
      <c r="R69" s="59">
        <f t="shared" si="55"/>
        <v>835.87466716432505</v>
      </c>
      <c r="S69" s="59">
        <f ca="1">AVERAGE(OFFSET($R$3,0,0,'Données projet'!$E$9+1,1))-AVERAGE(OFFSET($H$3,0,0,'Données projet'!$E$9+1,1))</f>
        <v>567.42635821507474</v>
      </c>
      <c r="T69" s="59">
        <f t="shared" ref="T69:T132" si="88">$T$3</f>
        <v>299.04735309930152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89.146483805421994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89.146483805421994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11.28875</v>
      </c>
      <c r="AI69" s="13">
        <f>IF('Données projet'!$A$62&gt;35,AI68+AH69-AQ68,IF(A69&lt;'Données projet'!$A$62,$AF$205^A69,IF(A69='Données projet'!$A$62,'Données projet'!$B$62,AI68+AH69-AQ68)))</f>
        <v>292.24624999999997</v>
      </c>
      <c r="AJ69" s="13">
        <f>AI69*VLOOKUP('Données projet'!$B$10,Paramètres!$A$1:$I$89,3,0)*VLOOKUP('Données projet'!$B$10,Paramètres!$A$1:$I$89,5,0)</f>
        <v>296.33769749999999</v>
      </c>
      <c r="AK69" s="13">
        <f t="shared" ref="AK69:AK132" si="89">EXP(-1.0587+0.8836*LN(AJ69)+0.284)</f>
        <v>70.408156224162596</v>
      </c>
      <c r="AL69" s="20">
        <f t="shared" si="58"/>
        <v>638.74902856958317</v>
      </c>
      <c r="AM69" s="59">
        <f t="shared" si="59"/>
        <v>903.20208768677026</v>
      </c>
      <c r="AN69" s="59">
        <f ca="1">AVERAGE(OFFSET($AM$3,0,0,'Données projet'!$E$10+1,1))-AVERAGE(OFFSET($H$3,0,0,'Données projet'!$E$10+1,1))</f>
        <v>626.09203985591455</v>
      </c>
      <c r="AO69" s="59">
        <f t="shared" ref="AO69:AO132" si="90">$AO$3</f>
        <v>327.65191296575199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99.905542195731527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99.905542195731527</v>
      </c>
      <c r="AY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10</v>
      </c>
      <c r="BD69" s="12">
        <f>IF('Données projet'!$A$88&gt;35,BD68+BC69-BL68,IF(A69&lt;'Données projet'!$A$88,$BA$205^A69,IF(A69='Données projet'!$A$88,'Données projet'!$B$88,BD68+BC69-BL68)))</f>
        <v>275.99999999999994</v>
      </c>
      <c r="BE69" s="13">
        <f>BD69*VLOOKUP('Données projet'!$B$11,Paramètres!$A$1:$I$89,3,0)*VLOOKUP('Données projet'!$B$11,Paramètres!$A$1:$I$89,5,0)</f>
        <v>236.80799999999999</v>
      </c>
      <c r="BF69" s="13">
        <f t="shared" ref="BF69:BF132" si="91">EXP(-1.0587+0.8836*LN(BE69)+0.284)</f>
        <v>57.752221878398714</v>
      </c>
      <c r="BG69" s="20">
        <f t="shared" si="61"/>
        <v>513.02571977154435</v>
      </c>
      <c r="BH69" s="59">
        <f t="shared" si="62"/>
        <v>777.47877888873143</v>
      </c>
      <c r="BI69" s="59">
        <f ca="1">AVERAGE(OFFSET($BH$3,0,0,'Données projet'!$E$11+1,1))-AVERAGE(OFFSET($H$3,0,0,'Données projet'!$E$11+1,1))</f>
        <v>481.23392184981651</v>
      </c>
      <c r="BJ69" s="59">
        <f t="shared" ref="BJ69:BJ132" si="92">$BJ$3</f>
        <v>275.88160405468193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73.187135953554915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73.187135953554915</v>
      </c>
      <c r="BT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>
        <f>VLOOKUP(A69,'Données projet'!$A$113:$I$133,2,0)</f>
        <v>440.2</v>
      </c>
      <c r="BW69" s="12">
        <f>VLOOKUP(A69,'Données projet'!$A$113:$I$133,9,0)</f>
        <v>15.928750000000001</v>
      </c>
      <c r="BX69" s="12">
        <f t="array" ref="BX69">INDEX(BW:BW,MIN(IF(ISNUMBER(BW69:BW265),ROW(BW69:BW265),"")))</f>
        <v>15.928750000000001</v>
      </c>
      <c r="BY69" s="12">
        <f>IF('Données projet'!$A$114&gt;35,BY68+BX69-CG68,IF(A69&lt;'Données projet'!$A$114,$BV$205^A69,IF(A69='Données projet'!$A$114,'Données projet'!$B$114,BY68+BX69-CG68)))</f>
        <v>440.19999999999942</v>
      </c>
      <c r="BZ69" s="13">
        <f>BY69*VLOOKUP('Données projet'!$B$12,Paramètres!$A$1:$I$89,3,0)*VLOOKUP('Données projet'!$B$12,Paramètres!$A$1:$I$89,5,0)</f>
        <v>206.01359999999971</v>
      </c>
      <c r="CA69" s="13">
        <f t="shared" ref="CA69:CA132" si="93">EXP(-1.0587+0.8836*LN(BZ69)+0.284)</f>
        <v>51.063487709141434</v>
      </c>
      <c r="CB69" s="20">
        <f t="shared" si="64"/>
        <v>447.74259442675412</v>
      </c>
      <c r="CC69" s="59">
        <f t="shared" si="65"/>
        <v>712.19565354394126</v>
      </c>
      <c r="CD69" s="59">
        <f ca="1">AVERAGE(OFFSET($CC$3,0,0,'Données projet'!$E$12+1,1))-AVERAGE(OFFSET($H$3,0,0,'Données projet'!$E$12+1,1))</f>
        <v>331.86732359395467</v>
      </c>
      <c r="CE69" s="59">
        <f t="shared" ref="CE69:CE132" si="94">$CE$3</f>
        <v>208.64489375183106</v>
      </c>
      <c r="CF69" s="15">
        <f>IF(ISNA(VLOOKUP(A69,'Données projet'!$A$113:$I$133,3,0)),0,VLOOKUP(A69,'Données projet'!$A$113:$I$133,3,0))</f>
        <v>4</v>
      </c>
      <c r="CG69" s="15">
        <f>IF(ISNA(VLOOKUP(A69,'Données projet'!$A$113:$I$133,4,0)),0,VLOOKUP(A69,'Données projet'!$A$113:$I$133,4,0))</f>
        <v>87.73</v>
      </c>
      <c r="CH69" s="16">
        <f>IF(ISNA(VLOOKUP(A69,'Données projet'!$A$113:$I$133,5,0)),0%,VLOOKUP(A69,'Données projet'!$A$113:$I$133,5,0)*VLOOKUP('Données projet'!$B$12,Paramètres!$A$1:$I$89,7,0))</f>
        <v>0.55000000000000004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104.27806922996035</v>
      </c>
      <c r="CL69" s="21">
        <f>EXP(-LN(2)/25)*CL68+(1-EXP(-LN(2)/25))/(LN(2)/25)*Calculateur!CG69*Calculateur!CI69*VLOOKUP('Données projet'!$B$12,Paramètres!$A$1:$I$89,3,0)*0.475*44/12</f>
        <v>0</v>
      </c>
      <c r="CM69" s="21">
        <f>EXP(-LN(2)/2)*CM68+(1-EXP(-LN(2)/2))/(LN(2)/2)*CG69*CJ69*VLOOKUP('Données projet'!$B$12,Paramètres!$A$1:$I$89,3,0)*0.475*44/12</f>
        <v>0</v>
      </c>
      <c r="CN69" s="22">
        <f t="shared" si="66"/>
        <v>104.27806922996035</v>
      </c>
      <c r="CO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4.5999999999999996</v>
      </c>
      <c r="CT69" s="12">
        <f>IF('Données projet'!$A$140&gt;35,CT68+CS69-DB68,IF(A69&lt;'Données projet'!$A$140,$CQ$205^A69,IF(A69='Données projet'!$A$140,'Données projet'!$B$140,CT68+CS69-DB68)))</f>
        <v>297.59999999999985</v>
      </c>
      <c r="CU69" s="17">
        <f>CT69*VLOOKUP('Données projet'!$B$13,Paramètres!$A$1:$I$89,3,0)*VLOOKUP('Données projet'!$B$13,Paramètres!$A$1:$I$89,5,0)</f>
        <v>218.20031999999989</v>
      </c>
      <c r="CV69" s="13">
        <f t="shared" ref="CV69:CV132" si="95">EXP(-1.0587+0.8836*LN(CU69)+0.284)</f>
        <v>53.723547368945667</v>
      </c>
      <c r="CW69" s="20">
        <f t="shared" si="67"/>
        <v>473.60073566758007</v>
      </c>
      <c r="CX69" s="59">
        <f t="shared" si="68"/>
        <v>738.05379478476721</v>
      </c>
      <c r="CY69" s="59">
        <f ca="1">AVERAGE(OFFSET($CX$3,0,0,'Données projet'!$E$13+1,1))-AVERAGE(OFFSET($H$3,0,0,'Données projet'!$E$13+1,1))</f>
        <v>352.45777291109863</v>
      </c>
      <c r="CZ69" s="59">
        <f t="shared" ref="CZ69:CZ132" si="96">$CZ$3</f>
        <v>340.92165104349181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37.493229442085358</v>
      </c>
      <c r="DG69" s="21">
        <f>EXP(-LN(2)/25)*DG68+(1-EXP(-LN(2)/25))/(LN(2)/25)*Calculateur!DB69*Calculateur!DD69*VLOOKUP('Données projet'!$B$13,Paramètres!$A$1:$I$89,3,0)*0.475*44/12</f>
        <v>0</v>
      </c>
      <c r="DH69" s="21">
        <f>EXP(-LN(2)/2)*DH68+(1-EXP(-LN(2)/2))/(LN(2)/2)*DB69*DE69*VLOOKUP('Données projet'!$B$13,Paramètres!$A$1:$I$89,3,0)*0.475*44/12</f>
        <v>0</v>
      </c>
      <c r="DI69" s="22">
        <f t="shared" si="69"/>
        <v>37.493229442085358</v>
      </c>
      <c r="DJ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11.28875</v>
      </c>
      <c r="DO69" s="12">
        <f>IF('Données projet'!$A$166&gt;35,DO68+DN69-DW68,IF(A69&lt;'Données projet'!$A$166,$DL$205^A69,IF(A69='Données projet'!$A$166,'Données projet'!$B$166,DO68+DN69-DW68)))</f>
        <v>292.24624999999997</v>
      </c>
      <c r="DP69" s="17">
        <f>DO69*VLOOKUP('Données projet'!$B$14,Paramètres!$A$1:$I$89,3,0)*VLOOKUP('Données projet'!$B$14,Paramètres!$A$1:$I$89,5,0)</f>
        <v>196.03878449999999</v>
      </c>
      <c r="DQ69" s="13">
        <f t="shared" ref="DQ69:DQ132" si="97">EXP(-1.0587+0.8836*LN(DP69)+0.284)</f>
        <v>48.872601476766818</v>
      </c>
      <c r="DR69" s="20">
        <f t="shared" si="70"/>
        <v>426.55399724286889</v>
      </c>
      <c r="DS69" s="59">
        <f t="shared" si="71"/>
        <v>691.00705636005591</v>
      </c>
      <c r="DT69" s="59">
        <f ca="1">AVERAGE(OFFSET($DS$3,0,0,'Données projet'!$E$14+1,1))-AVERAGE(OFFSET($H$3,0,0,'Données projet'!$E$14+1,1))</f>
        <v>441.20130048888439</v>
      </c>
      <c r="DU69" s="59">
        <f t="shared" ref="DU69:DU132" si="98">$DU$3</f>
        <v>237.47732532183946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81.461442098058029</v>
      </c>
      <c r="EB69" s="21">
        <f>EXP(-LN(2)/25)*EB68+(1-EXP(-LN(2)/25))/(LN(2)/25)*Calculateur!DW69*Calculateur!DY69*VLOOKUP('Données projet'!$B$14,Paramètres!$A$1:$I$89,3,0)*0.475*44/12</f>
        <v>0</v>
      </c>
      <c r="EC69" s="21">
        <f>EXP(-LN(2)/2)*EC68+(1-EXP(-LN(2)/2))/(LN(2)/2)*DW69*DZ69*VLOOKUP('Données projet'!$B$14,Paramètres!$A$1:$I$89,3,0)*0.475*44/12</f>
        <v>0</v>
      </c>
      <c r="ED69" s="22">
        <f t="shared" si="72"/>
        <v>81.461442098058029</v>
      </c>
      <c r="EE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4.5999999999999996</v>
      </c>
      <c r="EJ69" s="12">
        <f>IF('Données projet'!$A$192&gt;35,EJ68+EI69-ER68,IF(A69&lt;'Données projet'!$A$192,$EG$205^A69,IF(A69='Données projet'!$A$192,'Données projet'!$B$192,EJ68+EI69-ER68)))</f>
        <v>297.59999999999985</v>
      </c>
      <c r="EK69" s="17">
        <f>EJ69*VLOOKUP('Données projet'!$B$15,Paramètres!$A$1:$I$89,3,0)*VLOOKUP('Données projet'!$B$15,Paramètres!$A$1:$I$89,5,0)</f>
        <v>236.7705599999999</v>
      </c>
      <c r="EL69" s="13">
        <f t="shared" ref="EL69:EL132" si="99">EXP(-1.0587+0.8836*LN(EK69)+0.284)</f>
        <v>57.744153841586879</v>
      </c>
      <c r="EM69" s="20">
        <f t="shared" si="73"/>
        <v>512.9464599407637</v>
      </c>
      <c r="EN69" s="59">
        <f t="shared" si="74"/>
        <v>777.39951905795078</v>
      </c>
      <c r="EO69" s="59">
        <f ca="1">AVERAGE(OFFSET($EN$3,0,0,'Données projet'!$E$15+1,1))-AVERAGE(OFFSET($H$3,0,0,'Données projet'!$E$15+1,1))</f>
        <v>377.27600411578322</v>
      </c>
      <c r="EP69" s="59">
        <f t="shared" ref="EP69:EP132" si="100">$EP$3</f>
        <v>364.58250627635425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>
        <f>EXP(-LN(2)/35)*EV68+(1-EXP(-LN(2)/35))/(LN(2)/35)*ER69*ES69*VLOOKUP('Données projet'!$B$15,Paramètres!$A$1:$I$89,3,0)*0.475*44/12</f>
        <v>50.145571094486257</v>
      </c>
      <c r="EW69" s="21">
        <f>EXP(-LN(2)/25)*EW68+(1-EXP(-LN(2)/25))/(LN(2)/25)*Calculateur!ER69*Calculateur!ET69*VLOOKUP('Données projet'!$B$15,Paramètres!$A$1:$I$89,3,0)*0.475*44/12</f>
        <v>0</v>
      </c>
      <c r="EX69" s="21">
        <f>EXP(-LN(2)/2)*EX68+(1-EXP(-LN(2)/2))/(LN(2)/2)*ER69*EU69*VLOOKUP('Données projet'!$B$15,Paramètres!$A$1:$I$89,3,0)*0.475*44/12</f>
        <v>0</v>
      </c>
      <c r="EY69" s="22">
        <f t="shared" si="75"/>
        <v>50.145571094486257</v>
      </c>
      <c r="EZ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4.5999999999999996</v>
      </c>
      <c r="FE69" s="12">
        <f>IF('Données projet'!$A$218&gt;35,FE68+FD69-FM68,IF(A69&lt;'Données projet'!$A$218,$FB$205^A69,IF(A69='Données projet'!$A$218,'Données projet'!$B$218,FE68+FD69-FM68)))</f>
        <v>297.59999999999985</v>
      </c>
      <c r="FF69" s="17">
        <f>FE69*VLOOKUP('Données projet'!$B$16,Paramètres!$A$1:$I$89,3,0)*VLOOKUP('Données projet'!$B$16,Paramètres!$A$1:$I$89,5,0)</f>
        <v>241.41311999999988</v>
      </c>
      <c r="FG69" s="13">
        <f t="shared" ref="FG69:FG132" si="101">EXP(-1.0587+0.8836*LN(FF69)+0.284)</f>
        <v>58.743466172863258</v>
      </c>
      <c r="FH69" s="20">
        <f t="shared" si="76"/>
        <v>522.77272091773659</v>
      </c>
      <c r="FI69" s="59">
        <f t="shared" si="77"/>
        <v>787.22578003492367</v>
      </c>
      <c r="FJ69" s="59">
        <f ca="1">AVERAGE(OFFSET($FI$3,0,0,'Données projet'!$E$16+1,1))-AVERAGE(OFFSET($H$3,0,0,'Données projet'!$E$16+1,1))</f>
        <v>383.47399633251354</v>
      </c>
      <c r="FK69" s="59">
        <f t="shared" ref="FK69:FK132" si="102">$FK$3</f>
        <v>370.49129421395628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>
        <f>EXP(-LN(2)/35)*FQ68+(1-EXP(-LN(2)/35))/(LN(2)/35)*FM69*FN69*VLOOKUP('Données projet'!$B$16,Paramètres!$A$1:$I$89,3,0)*0.475*44/12</f>
        <v>51.12881758653505</v>
      </c>
      <c r="FR69" s="21">
        <f>EXP(-LN(2)/25)*FR68+(1-EXP(-LN(2)/25))/(LN(2)/25)*Calculateur!FM69*Calculateur!FO69*VLOOKUP('Données projet'!$B$16,Paramètres!$A$1:$I$89,3,0)*0.475*44/12</f>
        <v>0</v>
      </c>
      <c r="FS69" s="21">
        <f>EXP(-LN(2)/2)*FS68+(1-EXP(-LN(2)/2))/(LN(2)/2)*FM69*FP69*VLOOKUP('Données projet'!$B$16,Paramètres!$A$1:$I$89,3,0)*0.475*44/12</f>
        <v>0</v>
      </c>
      <c r="FT69" s="22">
        <f t="shared" si="78"/>
        <v>51.12881758653505</v>
      </c>
      <c r="FU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11.28875</v>
      </c>
      <c r="FZ69" s="12">
        <f>IF('Données projet'!$A$244&gt;35,FZ68+FY69-GH68,IF(A69&lt;'Données projet'!$A$244,$FW$205^A69,IF(A69='Données projet'!$A$244,'Données projet'!$B$244,FZ68+FY69-GH68)))</f>
        <v>292.24624999999997</v>
      </c>
      <c r="GA69" s="17">
        <f>FZ69*VLOOKUP('Données projet'!$B$17,Paramètres!$A$1:$I$89,3,0)*VLOOKUP('Données projet'!$B$17,Paramètres!$A$1:$I$89,5,0)</f>
        <v>278.10153149999996</v>
      </c>
      <c r="GB69" s="13">
        <f t="shared" ref="GB69:GB132" si="103">EXP(-1.0587+0.8836*LN(GA69)+0.284)</f>
        <v>66.565649193638038</v>
      </c>
      <c r="GC69" s="20">
        <f t="shared" si="79"/>
        <v>600.29533970808609</v>
      </c>
      <c r="GD69" s="59">
        <f t="shared" si="80"/>
        <v>864.74839882527317</v>
      </c>
      <c r="GE69" s="59">
        <f ca="1">AVERAGE(OFFSET($GD$3,0,0,'Données projet'!$E$17+1,1))-AVERAGE(OFFSET($H$3,0,0,'Données projet'!$E$17+1,1))</f>
        <v>592.58528889137358</v>
      </c>
      <c r="GF69" s="59">
        <f t="shared" ref="GF69:GF132" si="104">$GF$3</f>
        <v>311.31528020403709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>
        <f>EXP(-LN(2)/35)*GL68+(1-EXP(-LN(2)/35))/(LN(2)/35)*GH69*GI69*VLOOKUP('Données projet'!$B$17,Paramètres!$A$1:$I$89,3,0)*0.475*44/12</f>
        <v>93.757508829840376</v>
      </c>
      <c r="GM69" s="21">
        <f>EXP(-LN(2)/25)*GM68+(1-EXP(-LN(2)/25))/(LN(2)/25)*Calculateur!GH69*Calculateur!GJ69*VLOOKUP('Données projet'!$B$17,Paramètres!$A$1:$I$89,3,0)*0.475*44/12</f>
        <v>0</v>
      </c>
      <c r="GN69" s="21">
        <f>EXP(-LN(2)/2)*GN68+(1-EXP(-LN(2)/2))/(LN(2)/2)*GH69*GK69*VLOOKUP('Données projet'!$B$17,Paramètres!$A$1:$I$89,3,0)*0.475*44/12</f>
        <v>0</v>
      </c>
      <c r="GO69" s="21">
        <f t="shared" si="81"/>
        <v>93.757508829840376</v>
      </c>
      <c r="GP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8.6666666666666661</v>
      </c>
      <c r="GU69" s="12">
        <f>IF('Données projet'!$A$270&gt;35,GU68+GT69-HC68,IF(A69&lt;'Données projet'!$A$270,$GR$205^A69,IF(A69='Données projet'!$A$270,'Données projet'!$B$270,GU68+GT69-HC68)))</f>
        <v>302</v>
      </c>
      <c r="GV69" s="17">
        <f>GU69*VLOOKUP('Données projet'!$B$18,Paramètres!$A$1:$I$89,3,0)*VLOOKUP('Données projet'!$B$18,Paramètres!$A$1:$I$89,5,0)</f>
        <v>235.56</v>
      </c>
      <c r="GW69" s="13">
        <f t="shared" ref="GW69:GW132" si="105">EXP(-1.0587+0.8836*LN(GV69)+0.284)</f>
        <v>57.483207143847721</v>
      </c>
      <c r="GX69" s="20">
        <f t="shared" si="82"/>
        <v>510.38358577553481</v>
      </c>
      <c r="GY69" s="59">
        <f t="shared" si="83"/>
        <v>774.83664489272189</v>
      </c>
      <c r="GZ69" s="59">
        <f ca="1">AVERAGE(OFFSET($GY$3,0,0,'Données projet'!$E$18+1,1))-AVERAGE(OFFSET($H$3,0,0,'Données projet'!$E$18+1,1))</f>
        <v>308.85018589589453</v>
      </c>
      <c r="HA69" s="59">
        <f t="shared" ref="HA69:HA132" si="106">$HA$3</f>
        <v>302.59481222418219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>
        <f>EXP(-LN(2)/35)*HG68+(1-EXP(-LN(2)/35))/(LN(2)/35)*HC69*HD69*VLOOKUP('Données projet'!$B$18,Paramètres!$A$1:$I$89,3,0)*0.475*44/12</f>
        <v>53.464121620297853</v>
      </c>
      <c r="HH69" s="21">
        <f>EXP(-LN(2)/25)*HH68+(1-EXP(-LN(2)/25))/(LN(2)/25)*Calculateur!HC69*Calculateur!HE69*VLOOKUP('Données projet'!$B$18,Paramètres!$A$1:$I$89,3,0)*0.475*44/12</f>
        <v>0</v>
      </c>
      <c r="HI69" s="21">
        <f>EXP(-LN(2)/2)*HI68+(1-EXP(-LN(2)/2))/(LN(2)/2)*HC69*HF69*VLOOKUP('Données projet'!$B$18,Paramètres!$A$1:$I$89,3,0)*0.475*44/12</f>
        <v>0</v>
      </c>
      <c r="HJ69" s="22">
        <f t="shared" si="84"/>
        <v>53.464121620297853</v>
      </c>
    </row>
    <row r="70" spans="1:218" x14ac:dyDescent="0.35">
      <c r="A70" s="10">
        <f t="shared" si="85"/>
        <v>67</v>
      </c>
      <c r="B70" s="72">
        <f>'Scénario référence'!$B$16*5+'Scénario référence'!$B$17*0+'Scénario référence'!$B$18*5</f>
        <v>5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66">
        <f t="shared" si="56"/>
        <v>183.33333333333334</v>
      </c>
      <c r="I70" s="6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11.28875</v>
      </c>
      <c r="N70" s="13">
        <f>IF('Données projet'!$A$36&gt;35,N69+M70-V69,IF(A70&lt;'Données projet'!$A$36,$K$205^A70,IF(A70='Données projet'!$A$36,'Données projet'!$B$36,N69+M70-V69)))</f>
        <v>303.53499999999997</v>
      </c>
      <c r="O70" s="13">
        <f>N70*VLOOKUP('Données projet'!$B$9,Paramètres!$A$1:$I$89,3,0)*VLOOKUP('Données projet'!$B$9,Paramètres!$A$1:$I$89,5,0)</f>
        <v>274.63846799999993</v>
      </c>
      <c r="P70" s="13">
        <f t="shared" si="87"/>
        <v>65.832691250400728</v>
      </c>
      <c r="Q70" s="20">
        <f t="shared" si="54"/>
        <v>592.98726902778117</v>
      </c>
      <c r="R70" s="59">
        <f t="shared" si="55"/>
        <v>857.94133633599813</v>
      </c>
      <c r="S70" s="59">
        <f ca="1">AVERAGE(OFFSET($R$3,0,0,'Données projet'!$E$9+1,1))-AVERAGE(OFFSET($H$3,0,0,'Données projet'!$E$9+1,1))</f>
        <v>567.42635821507474</v>
      </c>
      <c r="T70" s="59">
        <f t="shared" si="88"/>
        <v>299.04735309930152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87.398375631983811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87.398375631983811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11.28875</v>
      </c>
      <c r="AI70" s="13">
        <f>IF('Données projet'!$A$62&gt;35,AI69+AH70-AQ69,IF(A70&lt;'Données projet'!$A$62,$AF$205^A70,IF(A70='Données projet'!$A$62,'Données projet'!$B$62,AI69+AH70-AQ69)))</f>
        <v>303.53499999999997</v>
      </c>
      <c r="AJ70" s="13">
        <f>AI70*VLOOKUP('Données projet'!$B$10,Paramètres!$A$1:$I$89,3,0)*VLOOKUP('Données projet'!$B$10,Paramètres!$A$1:$I$89,5,0)</f>
        <v>307.78449000000001</v>
      </c>
      <c r="AK70" s="13">
        <f t="shared" si="89"/>
        <v>72.805950538466206</v>
      </c>
      <c r="AL70" s="20">
        <f t="shared" si="58"/>
        <v>662.86168393782873</v>
      </c>
      <c r="AM70" s="59">
        <f t="shared" si="59"/>
        <v>927.81575124604569</v>
      </c>
      <c r="AN70" s="59">
        <f ca="1">AVERAGE(OFFSET($AM$3,0,0,'Données projet'!$E$10+1,1))-AVERAGE(OFFSET($H$3,0,0,'Données projet'!$E$10+1,1))</f>
        <v>626.09203985591455</v>
      </c>
      <c r="AO70" s="59">
        <f t="shared" si="90"/>
        <v>327.65191296575199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97.946455449637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97.946455449637</v>
      </c>
      <c r="AY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10</v>
      </c>
      <c r="BD70" s="12">
        <f>IF('Données projet'!$A$88&gt;35,BD69+BC70-BL69,IF(A70&lt;'Données projet'!$A$88,$BA$205^A70,IF(A70='Données projet'!$A$88,'Données projet'!$B$88,BD69+BC70-BL69)))</f>
        <v>285.99999999999994</v>
      </c>
      <c r="BE70" s="13">
        <f>BD70*VLOOKUP('Données projet'!$B$11,Paramètres!$A$1:$I$89,3,0)*VLOOKUP('Données projet'!$B$11,Paramètres!$A$1:$I$89,5,0)</f>
        <v>245.38799999999998</v>
      </c>
      <c r="BF70" s="13">
        <f t="shared" si="91"/>
        <v>59.597282764919569</v>
      </c>
      <c r="BG70" s="20">
        <f t="shared" si="61"/>
        <v>531.18270081556818</v>
      </c>
      <c r="BH70" s="59">
        <f t="shared" si="62"/>
        <v>796.13676812378503</v>
      </c>
      <c r="BI70" s="59">
        <f ca="1">AVERAGE(OFFSET($BH$3,0,0,'Données projet'!$E$11+1,1))-AVERAGE(OFFSET($H$3,0,0,'Données projet'!$E$11+1,1))</f>
        <v>481.23392184981651</v>
      </c>
      <c r="BJ70" s="59">
        <f t="shared" si="92"/>
        <v>275.88160405468193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71.751980857250828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71.751980857250828</v>
      </c>
      <c r="BT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15.211111111111116</v>
      </c>
      <c r="BY70" s="12">
        <f>IF('Données projet'!$A$114&gt;35,BY69+BX70-CG69,IF(A70&lt;'Données projet'!$A$114,$BV$205^A70,IF(A70='Données projet'!$A$114,'Données projet'!$B$114,BY69+BX70-CG69)))</f>
        <v>367.68111111111051</v>
      </c>
      <c r="BZ70" s="13">
        <f>BY70*VLOOKUP('Données projet'!$B$12,Paramètres!$A$1:$I$89,3,0)*VLOOKUP('Données projet'!$B$12,Paramètres!$A$1:$I$89,5,0)</f>
        <v>172.07475999999974</v>
      </c>
      <c r="CA70" s="13">
        <f t="shared" si="93"/>
        <v>43.554372236184811</v>
      </c>
      <c r="CB70" s="20">
        <f t="shared" si="64"/>
        <v>375.55407197802145</v>
      </c>
      <c r="CC70" s="59">
        <f t="shared" si="65"/>
        <v>640.50813928623836</v>
      </c>
      <c r="CD70" s="59">
        <f ca="1">AVERAGE(OFFSET($CC$3,0,0,'Données projet'!$E$12+1,1))-AVERAGE(OFFSET($H$3,0,0,'Données projet'!$E$12+1,1))</f>
        <v>331.86732359395467</v>
      </c>
      <c r="CE70" s="59">
        <f t="shared" si="94"/>
        <v>208.64489375183106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102.23323989570275</v>
      </c>
      <c r="CL70" s="21">
        <f>EXP(-LN(2)/25)*CL69+(1-EXP(-LN(2)/25))/(LN(2)/25)*Calculateur!CG70*Calculateur!CI70*VLOOKUP('Données projet'!$B$12,Paramètres!$A$1:$I$89,3,0)*0.475*44/12</f>
        <v>0</v>
      </c>
      <c r="CM70" s="21">
        <f>EXP(-LN(2)/2)*CM69+(1-EXP(-LN(2)/2))/(LN(2)/2)*CG70*CJ70*VLOOKUP('Données projet'!$B$12,Paramètres!$A$1:$I$89,3,0)*0.475*44/12</f>
        <v>0</v>
      </c>
      <c r="CN70" s="22">
        <f t="shared" si="66"/>
        <v>102.23323989570275</v>
      </c>
      <c r="CO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4.5999999999999996</v>
      </c>
      <c r="CT70" s="12">
        <f>IF('Données projet'!$A$140&gt;35,CT69+CS70-DB69,IF(A70&lt;'Données projet'!$A$140,$CQ$205^A70,IF(A70='Données projet'!$A$140,'Données projet'!$B$140,CT69+CS70-DB69)))</f>
        <v>302.19999999999987</v>
      </c>
      <c r="CU70" s="17">
        <f>CT70*VLOOKUP('Données projet'!$B$13,Paramètres!$A$1:$I$89,3,0)*VLOOKUP('Données projet'!$B$13,Paramètres!$A$1:$I$89,5,0)</f>
        <v>221.57303999999991</v>
      </c>
      <c r="CV70" s="13">
        <f t="shared" si="95"/>
        <v>54.456636294321989</v>
      </c>
      <c r="CW70" s="20">
        <f t="shared" si="67"/>
        <v>480.75168621261065</v>
      </c>
      <c r="CX70" s="59">
        <f t="shared" si="68"/>
        <v>745.70575352082756</v>
      </c>
      <c r="CY70" s="59">
        <f ca="1">AVERAGE(OFFSET($CX$3,0,0,'Données projet'!$E$13+1,1))-AVERAGE(OFFSET($H$3,0,0,'Données projet'!$E$13+1,1))</f>
        <v>352.45777291109863</v>
      </c>
      <c r="CZ70" s="59">
        <f t="shared" si="96"/>
        <v>340.92165104349181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36.758010081337936</v>
      </c>
      <c r="DG70" s="21">
        <f>EXP(-LN(2)/25)*DG69+(1-EXP(-LN(2)/25))/(LN(2)/25)*Calculateur!DB70*Calculateur!DD70*VLOOKUP('Données projet'!$B$13,Paramètres!$A$1:$I$89,3,0)*0.475*44/12</f>
        <v>0</v>
      </c>
      <c r="DH70" s="21">
        <f>EXP(-LN(2)/2)*DH69+(1-EXP(-LN(2)/2))/(LN(2)/2)*DB70*DE70*VLOOKUP('Données projet'!$B$13,Paramètres!$A$1:$I$89,3,0)*0.475*44/12</f>
        <v>0</v>
      </c>
      <c r="DI70" s="22">
        <f t="shared" si="69"/>
        <v>36.758010081337936</v>
      </c>
      <c r="DJ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11.28875</v>
      </c>
      <c r="DO70" s="12">
        <f>IF('Données projet'!$A$166&gt;35,DO69+DN70-DW69,IF(A70&lt;'Données projet'!$A$166,$DL$205^A70,IF(A70='Données projet'!$A$166,'Données projet'!$B$166,DO69+DN70-DW69)))</f>
        <v>303.53499999999997</v>
      </c>
      <c r="DP70" s="17">
        <f>DO70*VLOOKUP('Données projet'!$B$14,Paramètres!$A$1:$I$89,3,0)*VLOOKUP('Données projet'!$B$14,Paramètres!$A$1:$I$89,5,0)</f>
        <v>203.611278</v>
      </c>
      <c r="DQ70" s="13">
        <f t="shared" si="97"/>
        <v>50.536988846507398</v>
      </c>
      <c r="DR70" s="20">
        <f t="shared" si="70"/>
        <v>442.64156475766708</v>
      </c>
      <c r="DS70" s="59">
        <f t="shared" si="71"/>
        <v>707.59563206588405</v>
      </c>
      <c r="DT70" s="59">
        <f ca="1">AVERAGE(OFFSET($DS$3,0,0,'Données projet'!$E$14+1,1))-AVERAGE(OFFSET($H$3,0,0,'Données projet'!$E$14+1,1))</f>
        <v>441.20130048888439</v>
      </c>
      <c r="DU70" s="59">
        <f t="shared" si="98"/>
        <v>237.47732532183946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79.864032905088649</v>
      </c>
      <c r="EB70" s="21">
        <f>EXP(-LN(2)/25)*EB69+(1-EXP(-LN(2)/25))/(LN(2)/25)*Calculateur!DW70*Calculateur!DY70*VLOOKUP('Données projet'!$B$14,Paramètres!$A$1:$I$89,3,0)*0.475*44/12</f>
        <v>0</v>
      </c>
      <c r="EC70" s="21">
        <f>EXP(-LN(2)/2)*EC69+(1-EXP(-LN(2)/2))/(LN(2)/2)*DW70*DZ70*VLOOKUP('Données projet'!$B$14,Paramètres!$A$1:$I$89,3,0)*0.475*44/12</f>
        <v>0</v>
      </c>
      <c r="ED70" s="22">
        <f t="shared" si="72"/>
        <v>79.864032905088649</v>
      </c>
      <c r="EE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4.5999999999999996</v>
      </c>
      <c r="EJ70" s="12">
        <f>IF('Données projet'!$A$192&gt;35,EJ69+EI70-ER69,IF(A70&lt;'Données projet'!$A$192,$EG$205^A70,IF(A70='Données projet'!$A$192,'Données projet'!$B$192,EJ69+EI70-ER69)))</f>
        <v>302.19999999999987</v>
      </c>
      <c r="EK70" s="17">
        <f>EJ70*VLOOKUP('Données projet'!$B$15,Paramètres!$A$1:$I$89,3,0)*VLOOKUP('Données projet'!$B$15,Paramètres!$A$1:$I$89,5,0)</f>
        <v>240.43031999999991</v>
      </c>
      <c r="EL70" s="13">
        <f t="shared" si="99"/>
        <v>58.532106271380506</v>
      </c>
      <c r="EM70" s="20">
        <f t="shared" si="73"/>
        <v>520.69289242265415</v>
      </c>
      <c r="EN70" s="59">
        <f t="shared" si="74"/>
        <v>785.646959730871</v>
      </c>
      <c r="EO70" s="59">
        <f ca="1">AVERAGE(OFFSET($EN$3,0,0,'Données projet'!$E$15+1,1))-AVERAGE(OFFSET($H$3,0,0,'Données projet'!$E$15+1,1))</f>
        <v>377.27600411578322</v>
      </c>
      <c r="EP70" s="59">
        <f t="shared" si="100"/>
        <v>364.58250627635425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>
        <f>EXP(-LN(2)/35)*EV69+(1-EXP(-LN(2)/35))/(LN(2)/35)*ER70*ES70*VLOOKUP('Données projet'!$B$15,Paramètres!$A$1:$I$89,3,0)*0.475*44/12</f>
        <v>49.162247031101657</v>
      </c>
      <c r="EW70" s="21">
        <f>EXP(-LN(2)/25)*EW69+(1-EXP(-LN(2)/25))/(LN(2)/25)*Calculateur!ER70*Calculateur!ET70*VLOOKUP('Données projet'!$B$15,Paramètres!$A$1:$I$89,3,0)*0.475*44/12</f>
        <v>0</v>
      </c>
      <c r="EX70" s="21">
        <f>EXP(-LN(2)/2)*EX69+(1-EXP(-LN(2)/2))/(LN(2)/2)*ER70*EU70*VLOOKUP('Données projet'!$B$15,Paramètres!$A$1:$I$89,3,0)*0.475*44/12</f>
        <v>0</v>
      </c>
      <c r="EY70" s="22">
        <f t="shared" si="75"/>
        <v>49.162247031101657</v>
      </c>
      <c r="EZ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4.5999999999999996</v>
      </c>
      <c r="FE70" s="12">
        <f>IF('Données projet'!$A$218&gt;35,FE69+FD70-FM69,IF(A70&lt;'Données projet'!$A$218,$FB$205^A70,IF(A70='Données projet'!$A$218,'Données projet'!$B$218,FE69+FD70-FM69)))</f>
        <v>302.19999999999987</v>
      </c>
      <c r="FF70" s="17">
        <f>FE70*VLOOKUP('Données projet'!$B$16,Paramètres!$A$1:$I$89,3,0)*VLOOKUP('Données projet'!$B$16,Paramètres!$A$1:$I$89,5,0)</f>
        <v>245.14463999999992</v>
      </c>
      <c r="FG70" s="13">
        <f t="shared" si="101"/>
        <v>59.545054798309039</v>
      </c>
      <c r="FH70" s="20">
        <f t="shared" si="76"/>
        <v>530.66788510705476</v>
      </c>
      <c r="FI70" s="59">
        <f t="shared" si="77"/>
        <v>795.62195241527161</v>
      </c>
      <c r="FJ70" s="59">
        <f ca="1">AVERAGE(OFFSET($FI$3,0,0,'Données projet'!$E$16+1,1))-AVERAGE(OFFSET($H$3,0,0,'Données projet'!$E$16+1,1))</f>
        <v>383.47399633251354</v>
      </c>
      <c r="FK70" s="59">
        <f t="shared" si="102"/>
        <v>370.49129421395628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>
        <f>EXP(-LN(2)/35)*FQ69+(1-EXP(-LN(2)/35))/(LN(2)/35)*FM70*FN70*VLOOKUP('Données projet'!$B$16,Paramètres!$A$1:$I$89,3,0)*0.475*44/12</f>
        <v>50.126212659162512</v>
      </c>
      <c r="FR70" s="21">
        <f>EXP(-LN(2)/25)*FR69+(1-EXP(-LN(2)/25))/(LN(2)/25)*Calculateur!FM70*Calculateur!FO70*VLOOKUP('Données projet'!$B$16,Paramètres!$A$1:$I$89,3,0)*0.475*44/12</f>
        <v>0</v>
      </c>
      <c r="FS70" s="21">
        <f>EXP(-LN(2)/2)*FS69+(1-EXP(-LN(2)/2))/(LN(2)/2)*FM70*FP70*VLOOKUP('Données projet'!$B$16,Paramètres!$A$1:$I$89,3,0)*0.475*44/12</f>
        <v>0</v>
      </c>
      <c r="FT70" s="22">
        <f t="shared" si="78"/>
        <v>50.126212659162512</v>
      </c>
      <c r="FU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11.28875</v>
      </c>
      <c r="FZ70" s="12">
        <f>IF('Données projet'!$A$244&gt;35,FZ69+FY70-GH69,IF(A70&lt;'Données projet'!$A$244,$FW$205^A70,IF(A70='Données projet'!$A$244,'Données projet'!$B$244,FZ69+FY70-GH69)))</f>
        <v>303.53499999999997</v>
      </c>
      <c r="GA70" s="17">
        <f>FZ70*VLOOKUP('Données projet'!$B$17,Paramètres!$A$1:$I$89,3,0)*VLOOKUP('Données projet'!$B$17,Paramètres!$A$1:$I$89,5,0)</f>
        <v>288.84390599999995</v>
      </c>
      <c r="GB70" s="13">
        <f t="shared" si="103"/>
        <v>68.832584499489144</v>
      </c>
      <c r="GC70" s="20">
        <f t="shared" si="79"/>
        <v>622.95322095327685</v>
      </c>
      <c r="GD70" s="59">
        <f t="shared" si="80"/>
        <v>887.9072882614937</v>
      </c>
      <c r="GE70" s="59">
        <f ca="1">AVERAGE(OFFSET($GD$3,0,0,'Données projet'!$E$17+1,1))-AVERAGE(OFFSET($H$3,0,0,'Données projet'!$E$17+1,1))</f>
        <v>592.58528889137358</v>
      </c>
      <c r="GF70" s="59">
        <f t="shared" si="104"/>
        <v>311.31528020403709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>
        <f>EXP(-LN(2)/35)*GL69+(1-EXP(-LN(2)/35))/(LN(2)/35)*GH70*GI70*VLOOKUP('Données projet'!$B$17,Paramètres!$A$1:$I$89,3,0)*0.475*44/12</f>
        <v>91.918981268120902</v>
      </c>
      <c r="GM70" s="21">
        <f>EXP(-LN(2)/25)*GM69+(1-EXP(-LN(2)/25))/(LN(2)/25)*Calculateur!GH70*Calculateur!GJ70*VLOOKUP('Données projet'!$B$17,Paramètres!$A$1:$I$89,3,0)*0.475*44/12</f>
        <v>0</v>
      </c>
      <c r="GN70" s="21">
        <f>EXP(-LN(2)/2)*GN69+(1-EXP(-LN(2)/2))/(LN(2)/2)*GH70*GK70*VLOOKUP('Données projet'!$B$17,Paramètres!$A$1:$I$89,3,0)*0.475*44/12</f>
        <v>0</v>
      </c>
      <c r="GO70" s="21">
        <f t="shared" si="81"/>
        <v>91.918981268120902</v>
      </c>
      <c r="GP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8.6666666666666661</v>
      </c>
      <c r="GU70" s="12">
        <f>IF('Données projet'!$A$270&gt;35,GU69+GT70-HC69,IF(A70&lt;'Données projet'!$A$270,$GR$205^A70,IF(A70='Données projet'!$A$270,'Données projet'!$B$270,GU69+GT70-HC69)))</f>
        <v>310.66666666666669</v>
      </c>
      <c r="GV70" s="17">
        <f>GU70*VLOOKUP('Données projet'!$B$18,Paramètres!$A$1:$I$89,3,0)*VLOOKUP('Données projet'!$B$18,Paramètres!$A$1:$I$89,5,0)</f>
        <v>242.32000000000002</v>
      </c>
      <c r="GW70" s="13">
        <f t="shared" si="105"/>
        <v>58.938409961900859</v>
      </c>
      <c r="GX70" s="20">
        <f t="shared" si="82"/>
        <v>524.69173068364398</v>
      </c>
      <c r="GY70" s="59">
        <f t="shared" si="83"/>
        <v>789.64579799186095</v>
      </c>
      <c r="GZ70" s="59">
        <f ca="1">AVERAGE(OFFSET($GY$3,0,0,'Données projet'!$E$18+1,1))-AVERAGE(OFFSET($H$3,0,0,'Données projet'!$E$18+1,1))</f>
        <v>308.85018589589453</v>
      </c>
      <c r="HA70" s="59">
        <f t="shared" si="106"/>
        <v>302.59481222418219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>
        <f>EXP(-LN(2)/35)*HG69+(1-EXP(-LN(2)/35))/(LN(2)/35)*HC70*HD70*VLOOKUP('Données projet'!$B$18,Paramètres!$A$1:$I$89,3,0)*0.475*44/12</f>
        <v>52.415722805218039</v>
      </c>
      <c r="HH70" s="21">
        <f>EXP(-LN(2)/25)*HH69+(1-EXP(-LN(2)/25))/(LN(2)/25)*Calculateur!HC70*Calculateur!HE70*VLOOKUP('Données projet'!$B$18,Paramètres!$A$1:$I$89,3,0)*0.475*44/12</f>
        <v>0</v>
      </c>
      <c r="HI70" s="21">
        <f>EXP(-LN(2)/2)*HI69+(1-EXP(-LN(2)/2))/(LN(2)/2)*HC70*HF70*VLOOKUP('Données projet'!$B$18,Paramètres!$A$1:$I$89,3,0)*0.475*44/12</f>
        <v>0</v>
      </c>
      <c r="HJ70" s="22">
        <f t="shared" si="84"/>
        <v>52.415722805218039</v>
      </c>
    </row>
    <row r="71" spans="1:218" x14ac:dyDescent="0.35">
      <c r="A71" s="10">
        <f t="shared" si="85"/>
        <v>68</v>
      </c>
      <c r="B71" s="72">
        <f>'Scénario référence'!$B$16*5+'Scénario référence'!$B$17*0+'Scénario référence'!$B$18*5</f>
        <v>5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66">
        <f t="shared" si="56"/>
        <v>183.33333333333334</v>
      </c>
      <c r="I71" s="6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11.28875</v>
      </c>
      <c r="N71" s="13">
        <f>IF('Données projet'!$A$36&gt;35,N70+M71-V70,IF(A71&lt;'Données projet'!$A$36,$K$205^A71,IF(A71='Données projet'!$A$36,'Données projet'!$B$36,N70+M71-V70)))</f>
        <v>314.82374999999996</v>
      </c>
      <c r="O71" s="13">
        <f>N71*VLOOKUP('Données projet'!$B$9,Paramètres!$A$1:$I$89,3,0)*VLOOKUP('Données projet'!$B$9,Paramètres!$A$1:$I$89,5,0)</f>
        <v>284.85252899999995</v>
      </c>
      <c r="P71" s="13">
        <f t="shared" si="87"/>
        <v>67.991460031008771</v>
      </c>
      <c r="Q71" s="20">
        <f t="shared" si="54"/>
        <v>614.53661422900689</v>
      </c>
      <c r="R71" s="59">
        <f t="shared" si="55"/>
        <v>879.98299835622572</v>
      </c>
      <c r="S71" s="59">
        <f ca="1">AVERAGE(OFFSET($R$3,0,0,'Données projet'!$E$9+1,1))-AVERAGE(OFFSET($H$3,0,0,'Données projet'!$E$9+1,1))</f>
        <v>567.42635821507474</v>
      </c>
      <c r="T71" s="59">
        <f t="shared" si="88"/>
        <v>299.04735309930152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85.684546793586037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85.684546793586037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11.28875</v>
      </c>
      <c r="AI71" s="13">
        <f>IF('Données projet'!$A$62&gt;35,AI70+AH71-AQ70,IF(A71&lt;'Données projet'!$A$62,$AF$205^A71,IF(A71='Données projet'!$A$62,'Données projet'!$B$62,AI70+AH71-AQ70)))</f>
        <v>314.82374999999996</v>
      </c>
      <c r="AJ71" s="13">
        <f>AI71*VLOOKUP('Données projet'!$B$10,Paramètres!$A$1:$I$89,3,0)*VLOOKUP('Données projet'!$B$10,Paramètres!$A$1:$I$89,5,0)</f>
        <v>319.23128250000002</v>
      </c>
      <c r="AK71" s="13">
        <f t="shared" si="89"/>
        <v>75.193384654855564</v>
      </c>
      <c r="AL71" s="20">
        <f t="shared" si="58"/>
        <v>686.95629529470671</v>
      </c>
      <c r="AM71" s="59">
        <f t="shared" si="59"/>
        <v>952.40267942192554</v>
      </c>
      <c r="AN71" s="59">
        <f ca="1">AVERAGE(OFFSET($AM$3,0,0,'Données projet'!$E$10+1,1))-AVERAGE(OFFSET($H$3,0,0,'Données projet'!$E$10+1,1))</f>
        <v>626.09203985591455</v>
      </c>
      <c r="AO71" s="59">
        <f t="shared" si="90"/>
        <v>327.65191296575199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96.025785199708466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96.025785199708466</v>
      </c>
      <c r="AY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10</v>
      </c>
      <c r="BD71" s="12">
        <f>IF('Données projet'!$A$88&gt;35,BD70+BC71-BL70,IF(A71&lt;'Données projet'!$A$88,$BA$205^A71,IF(A71='Données projet'!$A$88,'Données projet'!$B$88,BD70+BC71-BL70)))</f>
        <v>295.99999999999994</v>
      </c>
      <c r="BE71" s="13">
        <f>BD71*VLOOKUP('Données projet'!$B$11,Paramètres!$A$1:$I$89,3,0)*VLOOKUP('Données projet'!$B$11,Paramètres!$A$1:$I$89,5,0)</f>
        <v>253.96799999999999</v>
      </c>
      <c r="BF71" s="13">
        <f t="shared" si="91"/>
        <v>61.434848029666512</v>
      </c>
      <c r="BG71" s="20">
        <f t="shared" si="61"/>
        <v>549.32662698500246</v>
      </c>
      <c r="BH71" s="59">
        <f t="shared" si="62"/>
        <v>814.7730111122213</v>
      </c>
      <c r="BI71" s="59">
        <f ca="1">AVERAGE(OFFSET($BH$3,0,0,'Données projet'!$E$11+1,1))-AVERAGE(OFFSET($H$3,0,0,'Données projet'!$E$11+1,1))</f>
        <v>481.23392184981651</v>
      </c>
      <c r="BJ71" s="59">
        <f t="shared" si="92"/>
        <v>275.88160405468193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70.344968277027093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70.344968277027093</v>
      </c>
      <c r="BT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15.211111111111116</v>
      </c>
      <c r="BY71" s="12">
        <f>IF('Données projet'!$A$114&gt;35,BY70+BX71-CG70,IF(A71&lt;'Données projet'!$A$114,$BV$205^A71,IF(A71='Données projet'!$A$114,'Données projet'!$B$114,BY70+BX71-CG70)))</f>
        <v>382.89222222222162</v>
      </c>
      <c r="BZ71" s="13">
        <f>BY71*VLOOKUP('Données projet'!$B$12,Paramètres!$A$1:$I$89,3,0)*VLOOKUP('Données projet'!$B$12,Paramètres!$A$1:$I$89,5,0)</f>
        <v>179.19355999999974</v>
      </c>
      <c r="CA71" s="13">
        <f t="shared" si="93"/>
        <v>45.14272126309222</v>
      </c>
      <c r="CB71" s="20">
        <f t="shared" si="64"/>
        <v>390.71902319988516</v>
      </c>
      <c r="CC71" s="59">
        <f t="shared" si="65"/>
        <v>656.16540732710405</v>
      </c>
      <c r="CD71" s="59">
        <f ca="1">AVERAGE(OFFSET($CC$3,0,0,'Données projet'!$E$12+1,1))-AVERAGE(OFFSET($H$3,0,0,'Données projet'!$E$12+1,1))</f>
        <v>331.86732359395467</v>
      </c>
      <c r="CE71" s="59">
        <f t="shared" si="94"/>
        <v>208.64489375183106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100.2285084174672</v>
      </c>
      <c r="CL71" s="21">
        <f>EXP(-LN(2)/25)*CL70+(1-EXP(-LN(2)/25))/(LN(2)/25)*Calculateur!CG71*Calculateur!CI71*VLOOKUP('Données projet'!$B$12,Paramètres!$A$1:$I$89,3,0)*0.475*44/12</f>
        <v>0</v>
      </c>
      <c r="CM71" s="21">
        <f>EXP(-LN(2)/2)*CM70+(1-EXP(-LN(2)/2))/(LN(2)/2)*CG71*CJ71*VLOOKUP('Données projet'!$B$12,Paramètres!$A$1:$I$89,3,0)*0.475*44/12</f>
        <v>0</v>
      </c>
      <c r="CN71" s="22">
        <f t="shared" si="66"/>
        <v>100.2285084174672</v>
      </c>
      <c r="CO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4.5999999999999996</v>
      </c>
      <c r="CT71" s="12">
        <f>IF('Données projet'!$A$140&gt;35,CT70+CS71-DB70,IF(A71&lt;'Données projet'!$A$140,$CQ$205^A71,IF(A71='Données projet'!$A$140,'Données projet'!$B$140,CT70+CS71-DB70)))</f>
        <v>306.7999999999999</v>
      </c>
      <c r="CU71" s="17">
        <f>CT71*VLOOKUP('Données projet'!$B$13,Paramètres!$A$1:$I$89,3,0)*VLOOKUP('Données projet'!$B$13,Paramètres!$A$1:$I$89,5,0)</f>
        <v>224.94575999999992</v>
      </c>
      <c r="CV71" s="13">
        <f t="shared" si="95"/>
        <v>55.188427424815572</v>
      </c>
      <c r="CW71" s="20">
        <f t="shared" si="67"/>
        <v>487.90037643155364</v>
      </c>
      <c r="CX71" s="59">
        <f t="shared" si="68"/>
        <v>753.34676055877253</v>
      </c>
      <c r="CY71" s="59">
        <f ca="1">AVERAGE(OFFSET($CX$3,0,0,'Données projet'!$E$13+1,1))-AVERAGE(OFFSET($H$3,0,0,'Données projet'!$E$13+1,1))</f>
        <v>352.45777291109863</v>
      </c>
      <c r="CZ71" s="59">
        <f t="shared" si="96"/>
        <v>340.92165104349181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36.037207923815238</v>
      </c>
      <c r="DG71" s="21">
        <f>EXP(-LN(2)/25)*DG70+(1-EXP(-LN(2)/25))/(LN(2)/25)*Calculateur!DB71*Calculateur!DD71*VLOOKUP('Données projet'!$B$13,Paramètres!$A$1:$I$89,3,0)*0.475*44/12</f>
        <v>0</v>
      </c>
      <c r="DH71" s="21">
        <f>EXP(-LN(2)/2)*DH70+(1-EXP(-LN(2)/2))/(LN(2)/2)*DB71*DE71*VLOOKUP('Données projet'!$B$13,Paramètres!$A$1:$I$89,3,0)*0.475*44/12</f>
        <v>0</v>
      </c>
      <c r="DI71" s="22">
        <f t="shared" si="69"/>
        <v>36.037207923815238</v>
      </c>
      <c r="DJ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11.28875</v>
      </c>
      <c r="DO71" s="12">
        <f>IF('Données projet'!$A$166&gt;35,DO70+DN71-DW70,IF(A71&lt;'Données projet'!$A$166,$DL$205^A71,IF(A71='Données projet'!$A$166,'Données projet'!$B$166,DO70+DN71-DW70)))</f>
        <v>314.82374999999996</v>
      </c>
      <c r="DP71" s="17">
        <f>DO71*VLOOKUP('Données projet'!$B$14,Paramètres!$A$1:$I$89,3,0)*VLOOKUP('Données projet'!$B$14,Paramètres!$A$1:$I$89,5,0)</f>
        <v>211.18377149999995</v>
      </c>
      <c r="DQ71" s="13">
        <f t="shared" si="97"/>
        <v>52.194184864407035</v>
      </c>
      <c r="DR71" s="20">
        <f t="shared" si="70"/>
        <v>458.71660733467547</v>
      </c>
      <c r="DS71" s="59">
        <f t="shared" si="71"/>
        <v>724.16299146189431</v>
      </c>
      <c r="DT71" s="59">
        <f ca="1">AVERAGE(OFFSET($DS$3,0,0,'Données projet'!$E$14+1,1))-AVERAGE(OFFSET($H$3,0,0,'Données projet'!$E$14+1,1))</f>
        <v>441.20130048888439</v>
      </c>
      <c r="DU71" s="59">
        <f t="shared" si="98"/>
        <v>237.47732532183946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78.297947932070002</v>
      </c>
      <c r="EB71" s="21">
        <f>EXP(-LN(2)/25)*EB70+(1-EXP(-LN(2)/25))/(LN(2)/25)*Calculateur!DW71*Calculateur!DY71*VLOOKUP('Données projet'!$B$14,Paramètres!$A$1:$I$89,3,0)*0.475*44/12</f>
        <v>0</v>
      </c>
      <c r="EC71" s="21">
        <f>EXP(-LN(2)/2)*EC70+(1-EXP(-LN(2)/2))/(LN(2)/2)*DW71*DZ71*VLOOKUP('Données projet'!$B$14,Paramètres!$A$1:$I$89,3,0)*0.475*44/12</f>
        <v>0</v>
      </c>
      <c r="ED71" s="22">
        <f t="shared" si="72"/>
        <v>78.297947932070002</v>
      </c>
      <c r="EE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4.5999999999999996</v>
      </c>
      <c r="EJ71" s="12">
        <f>IF('Données projet'!$A$192&gt;35,EJ70+EI71-ER70,IF(A71&lt;'Données projet'!$A$192,$EG$205^A71,IF(A71='Données projet'!$A$192,'Données projet'!$B$192,EJ70+EI71-ER70)))</f>
        <v>306.7999999999999</v>
      </c>
      <c r="EK71" s="17">
        <f>EJ71*VLOOKUP('Données projet'!$B$15,Paramètres!$A$1:$I$89,3,0)*VLOOKUP('Données projet'!$B$15,Paramètres!$A$1:$I$89,5,0)</f>
        <v>244.09007999999994</v>
      </c>
      <c r="EL71" s="13">
        <f t="shared" si="99"/>
        <v>59.318663780863893</v>
      </c>
      <c r="EM71" s="20">
        <f t="shared" si="73"/>
        <v>528.43689541833794</v>
      </c>
      <c r="EN71" s="59">
        <f t="shared" si="74"/>
        <v>793.88327954555677</v>
      </c>
      <c r="EO71" s="59">
        <f ca="1">AVERAGE(OFFSET($EN$3,0,0,'Données projet'!$E$15+1,1))-AVERAGE(OFFSET($H$3,0,0,'Données projet'!$E$15+1,1))</f>
        <v>377.27600411578322</v>
      </c>
      <c r="EP71" s="59">
        <f t="shared" si="100"/>
        <v>364.58250627635425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>
        <f>EXP(-LN(2)/35)*EV70+(1-EXP(-LN(2)/35))/(LN(2)/35)*ER71*ES71*VLOOKUP('Données projet'!$B$15,Paramètres!$A$1:$I$89,3,0)*0.475*44/12</f>
        <v>48.198205352831572</v>
      </c>
      <c r="EW71" s="21">
        <f>EXP(-LN(2)/25)*EW70+(1-EXP(-LN(2)/25))/(LN(2)/25)*Calculateur!ER71*Calculateur!ET71*VLOOKUP('Données projet'!$B$15,Paramètres!$A$1:$I$89,3,0)*0.475*44/12</f>
        <v>0</v>
      </c>
      <c r="EX71" s="21">
        <f>EXP(-LN(2)/2)*EX70+(1-EXP(-LN(2)/2))/(LN(2)/2)*ER71*EU71*VLOOKUP('Données projet'!$B$15,Paramètres!$A$1:$I$89,3,0)*0.475*44/12</f>
        <v>0</v>
      </c>
      <c r="EY71" s="22">
        <f t="shared" si="75"/>
        <v>48.198205352831572</v>
      </c>
      <c r="EZ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4.5999999999999996</v>
      </c>
      <c r="FE71" s="12">
        <f>IF('Données projet'!$A$218&gt;35,FE70+FD71-FM70,IF(A71&lt;'Données projet'!$A$218,$FB$205^A71,IF(A71='Données projet'!$A$218,'Données projet'!$B$218,FE70+FD71-FM70)))</f>
        <v>306.7999999999999</v>
      </c>
      <c r="FF71" s="17">
        <f>FE71*VLOOKUP('Données projet'!$B$16,Paramètres!$A$1:$I$89,3,0)*VLOOKUP('Données projet'!$B$16,Paramètres!$A$1:$I$89,5,0)</f>
        <v>248.87615999999991</v>
      </c>
      <c r="FG71" s="13">
        <f t="shared" si="101"/>
        <v>60.345224363146883</v>
      </c>
      <c r="FH71" s="20">
        <f t="shared" si="76"/>
        <v>538.56057776581395</v>
      </c>
      <c r="FI71" s="59">
        <f t="shared" si="77"/>
        <v>804.00696189303278</v>
      </c>
      <c r="FJ71" s="59">
        <f ca="1">AVERAGE(OFFSET($FI$3,0,0,'Données projet'!$E$16+1,1))-AVERAGE(OFFSET($H$3,0,0,'Données projet'!$E$16+1,1))</f>
        <v>383.47399633251354</v>
      </c>
      <c r="FK71" s="59">
        <f t="shared" si="102"/>
        <v>370.49129421395628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>
        <f>EXP(-LN(2)/35)*FQ70+(1-EXP(-LN(2)/35))/(LN(2)/35)*FM71*FN71*VLOOKUP('Données projet'!$B$16,Paramètres!$A$1:$I$89,3,0)*0.475*44/12</f>
        <v>49.143268202887128</v>
      </c>
      <c r="FR71" s="21">
        <f>EXP(-LN(2)/25)*FR70+(1-EXP(-LN(2)/25))/(LN(2)/25)*Calculateur!FM71*Calculateur!FO71*VLOOKUP('Données projet'!$B$16,Paramètres!$A$1:$I$89,3,0)*0.475*44/12</f>
        <v>0</v>
      </c>
      <c r="FS71" s="21">
        <f>EXP(-LN(2)/2)*FS70+(1-EXP(-LN(2)/2))/(LN(2)/2)*FM71*FP71*VLOOKUP('Données projet'!$B$16,Paramètres!$A$1:$I$89,3,0)*0.475*44/12</f>
        <v>0</v>
      </c>
      <c r="FT71" s="22">
        <f t="shared" si="78"/>
        <v>49.143268202887128</v>
      </c>
      <c r="FU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11.28875</v>
      </c>
      <c r="FZ71" s="12">
        <f>IF('Données projet'!$A$244&gt;35,FZ70+FY71-GH70,IF(A71&lt;'Données projet'!$A$244,$FW$205^A71,IF(A71='Données projet'!$A$244,'Données projet'!$B$244,FZ70+FY71-GH70)))</f>
        <v>314.82374999999996</v>
      </c>
      <c r="GA71" s="17">
        <f>FZ71*VLOOKUP('Données projet'!$B$17,Paramètres!$A$1:$I$89,3,0)*VLOOKUP('Données projet'!$B$17,Paramètres!$A$1:$I$89,5,0)</f>
        <v>299.58628049999993</v>
      </c>
      <c r="GB71" s="13">
        <f t="shared" si="103"/>
        <v>71.089725012564571</v>
      </c>
      <c r="GC71" s="20">
        <f t="shared" si="79"/>
        <v>645.59404293438308</v>
      </c>
      <c r="GD71" s="59">
        <f t="shared" si="80"/>
        <v>911.04042706160192</v>
      </c>
      <c r="GE71" s="59">
        <f ca="1">AVERAGE(OFFSET($GD$3,0,0,'Données projet'!$E$17+1,1))-AVERAGE(OFFSET($H$3,0,0,'Données projet'!$E$17+1,1))</f>
        <v>592.58528889137358</v>
      </c>
      <c r="GF71" s="59">
        <f t="shared" si="104"/>
        <v>311.31528020403709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>
        <f>EXP(-LN(2)/35)*GL70+(1-EXP(-LN(2)/35))/(LN(2)/35)*GH71*GI71*VLOOKUP('Données projet'!$B$17,Paramètres!$A$1:$I$89,3,0)*0.475*44/12</f>
        <v>90.116506110495664</v>
      </c>
      <c r="GM71" s="21">
        <f>EXP(-LN(2)/25)*GM70+(1-EXP(-LN(2)/25))/(LN(2)/25)*Calculateur!GH71*Calculateur!GJ71*VLOOKUP('Données projet'!$B$17,Paramètres!$A$1:$I$89,3,0)*0.475*44/12</f>
        <v>0</v>
      </c>
      <c r="GN71" s="21">
        <f>EXP(-LN(2)/2)*GN70+(1-EXP(-LN(2)/2))/(LN(2)/2)*GH71*GK71*VLOOKUP('Données projet'!$B$17,Paramètres!$A$1:$I$89,3,0)*0.475*44/12</f>
        <v>0</v>
      </c>
      <c r="GO71" s="21">
        <f t="shared" si="81"/>
        <v>90.116506110495664</v>
      </c>
      <c r="GP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8.6666666666666661</v>
      </c>
      <c r="GU71" s="12">
        <f>IF('Données projet'!$A$270&gt;35,GU70+GT71-HC70,IF(A71&lt;'Données projet'!$A$270,$GR$205^A71,IF(A71='Données projet'!$A$270,'Données projet'!$B$270,GU70+GT71-HC70)))</f>
        <v>319.33333333333337</v>
      </c>
      <c r="GV71" s="17">
        <f>GU71*VLOOKUP('Données projet'!$B$18,Paramètres!$A$1:$I$89,3,0)*VLOOKUP('Données projet'!$B$18,Paramètres!$A$1:$I$89,5,0)</f>
        <v>249.08000000000004</v>
      </c>
      <c r="GW71" s="13">
        <f t="shared" si="105"/>
        <v>60.388894447487807</v>
      </c>
      <c r="GX71" s="20">
        <f t="shared" si="82"/>
        <v>538.99165782937473</v>
      </c>
      <c r="GY71" s="59">
        <f t="shared" si="83"/>
        <v>804.43804195659357</v>
      </c>
      <c r="GZ71" s="59">
        <f ca="1">AVERAGE(OFFSET($GY$3,0,0,'Données projet'!$E$18+1,1))-AVERAGE(OFFSET($H$3,0,0,'Données projet'!$E$18+1,1))</f>
        <v>308.85018589589453</v>
      </c>
      <c r="HA71" s="59">
        <f t="shared" si="106"/>
        <v>302.59481222418219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>
        <f>EXP(-LN(2)/35)*HG70+(1-EXP(-LN(2)/35))/(LN(2)/35)*HC71*HD71*VLOOKUP('Données projet'!$B$18,Paramètres!$A$1:$I$89,3,0)*0.475*44/12</f>
        <v>51.387882451441804</v>
      </c>
      <c r="HH71" s="21">
        <f>EXP(-LN(2)/25)*HH70+(1-EXP(-LN(2)/25))/(LN(2)/25)*Calculateur!HC71*Calculateur!HE71*VLOOKUP('Données projet'!$B$18,Paramètres!$A$1:$I$89,3,0)*0.475*44/12</f>
        <v>0</v>
      </c>
      <c r="HI71" s="21">
        <f>EXP(-LN(2)/2)*HI70+(1-EXP(-LN(2)/2))/(LN(2)/2)*HC71*HF71*VLOOKUP('Données projet'!$B$18,Paramètres!$A$1:$I$89,3,0)*0.475*44/12</f>
        <v>0</v>
      </c>
      <c r="HJ71" s="22">
        <f t="shared" si="84"/>
        <v>51.387882451441804</v>
      </c>
    </row>
    <row r="72" spans="1:218" x14ac:dyDescent="0.35">
      <c r="A72" s="10">
        <f t="shared" si="85"/>
        <v>69</v>
      </c>
      <c r="B72" s="72">
        <f>'Scénario référence'!$B$16*5+'Scénario référence'!$B$17*0+'Scénario référence'!$B$18*5</f>
        <v>5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66">
        <f t="shared" si="56"/>
        <v>183.33333333333334</v>
      </c>
      <c r="I72" s="6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11.28875</v>
      </c>
      <c r="N72" s="13">
        <f>IF('Données projet'!$A$36&gt;35,N71+M72-V71,IF(A72&lt;'Données projet'!$A$36,$K$205^A72,IF(A72='Données projet'!$A$36,'Données projet'!$B$36,N71+M72-V71)))</f>
        <v>326.11249999999995</v>
      </c>
      <c r="O72" s="13">
        <f>N72*VLOOKUP('Données projet'!$B$9,Paramètres!$A$1:$I$89,3,0)*VLOOKUP('Données projet'!$B$9,Paramètres!$A$1:$I$89,5,0)</f>
        <v>295.06658999999991</v>
      </c>
      <c r="P72" s="13">
        <f t="shared" si="87"/>
        <v>70.141235290018514</v>
      </c>
      <c r="Q72" s="20">
        <f t="shared" si="54"/>
        <v>636.07029571344879</v>
      </c>
      <c r="R72" s="59">
        <f t="shared" si="55"/>
        <v>902.00045606351534</v>
      </c>
      <c r="S72" s="59">
        <f ca="1">AVERAGE(OFFSET($R$3,0,0,'Données projet'!$E$9+1,1))-AVERAGE(OFFSET($H$3,0,0,'Données projet'!$E$9+1,1))</f>
        <v>567.42635821507474</v>
      </c>
      <c r="T72" s="59">
        <f t="shared" si="88"/>
        <v>299.04735309930152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84.004325093376877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84.004325093376877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11.28875</v>
      </c>
      <c r="AI72" s="13">
        <f>IF('Données projet'!$A$62&gt;35,AI71+AH72-AQ71,IF(A72&lt;'Données projet'!$A$62,$AF$205^A72,IF(A72='Données projet'!$A$62,'Données projet'!$B$62,AI71+AH72-AQ71)))</f>
        <v>326.11249999999995</v>
      </c>
      <c r="AJ72" s="13">
        <f>AI72*VLOOKUP('Données projet'!$B$10,Paramètres!$A$1:$I$89,3,0)*VLOOKUP('Données projet'!$B$10,Paramètres!$A$1:$I$89,5,0)</f>
        <v>330.67807499999998</v>
      </c>
      <c r="AK72" s="13">
        <f t="shared" si="89"/>
        <v>77.570872620233771</v>
      </c>
      <c r="AL72" s="20">
        <f t="shared" si="58"/>
        <v>711.03358377190716</v>
      </c>
      <c r="AM72" s="59">
        <f t="shared" si="59"/>
        <v>976.96374412197372</v>
      </c>
      <c r="AN72" s="59">
        <f ca="1">AVERAGE(OFFSET($AM$3,0,0,'Données projet'!$E$10+1,1))-AVERAGE(OFFSET($H$3,0,0,'Données projet'!$E$10+1,1))</f>
        <v>626.09203985591455</v>
      </c>
      <c r="AO72" s="59">
        <f t="shared" si="90"/>
        <v>327.65191296575199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94.142778121887858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94.142778121887858</v>
      </c>
      <c r="AY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10</v>
      </c>
      <c r="BD72" s="12">
        <f>IF('Données projet'!$A$88&gt;35,BD71+BC72-BL71,IF(A72&lt;'Données projet'!$A$88,$BA$205^A72,IF(A72='Données projet'!$A$88,'Données projet'!$B$88,BD71+BC72-BL71)))</f>
        <v>305.99999999999994</v>
      </c>
      <c r="BE72" s="13">
        <f>BD72*VLOOKUP('Données projet'!$B$11,Paramètres!$A$1:$I$89,3,0)*VLOOKUP('Données projet'!$B$11,Paramètres!$A$1:$I$89,5,0)</f>
        <v>262.548</v>
      </c>
      <c r="BF72" s="13">
        <f t="shared" si="91"/>
        <v>63.265199933079444</v>
      </c>
      <c r="BG72" s="20">
        <f t="shared" si="61"/>
        <v>567.45798988344666</v>
      </c>
      <c r="BH72" s="59">
        <f t="shared" si="62"/>
        <v>833.38815023351322</v>
      </c>
      <c r="BI72" s="59">
        <f ca="1">AVERAGE(OFFSET($BH$3,0,0,'Données projet'!$E$11+1,1))-AVERAGE(OFFSET($H$3,0,0,'Données projet'!$E$11+1,1))</f>
        <v>481.23392184981651</v>
      </c>
      <c r="BJ72" s="59">
        <f t="shared" si="92"/>
        <v>275.88160405468193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68.965546355308604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68.965546355308604</v>
      </c>
      <c r="BT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15.211111111111116</v>
      </c>
      <c r="BY72" s="12">
        <f>IF('Données projet'!$A$114&gt;35,BY71+BX72-CG71,IF(A72&lt;'Données projet'!$A$114,$BV$205^A72,IF(A72='Données projet'!$A$114,'Données projet'!$B$114,BY71+BX72-CG71)))</f>
        <v>398.10333333333273</v>
      </c>
      <c r="BZ72" s="13">
        <f>BY72*VLOOKUP('Données projet'!$B$12,Paramètres!$A$1:$I$89,3,0)*VLOOKUP('Données projet'!$B$12,Paramètres!$A$1:$I$89,5,0)</f>
        <v>186.31235999999973</v>
      </c>
      <c r="CA72" s="13">
        <f t="shared" si="93"/>
        <v>46.723740353090498</v>
      </c>
      <c r="CB72" s="20">
        <f t="shared" si="64"/>
        <v>405.87120811496544</v>
      </c>
      <c r="CC72" s="59">
        <f t="shared" si="65"/>
        <v>671.80136846503206</v>
      </c>
      <c r="CD72" s="59">
        <f ca="1">AVERAGE(OFFSET($CC$3,0,0,'Données projet'!$E$12+1,1))-AVERAGE(OFFSET($H$3,0,0,'Données projet'!$E$12+1,1))</f>
        <v>331.86732359395467</v>
      </c>
      <c r="CE72" s="59">
        <f t="shared" si="94"/>
        <v>208.64489375183106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98.263088500754378</v>
      </c>
      <c r="CL72" s="21">
        <f>EXP(-LN(2)/25)*CL71+(1-EXP(-LN(2)/25))/(LN(2)/25)*Calculateur!CG72*Calculateur!CI72*VLOOKUP('Données projet'!$B$12,Paramètres!$A$1:$I$89,3,0)*0.475*44/12</f>
        <v>0</v>
      </c>
      <c r="CM72" s="21">
        <f>EXP(-LN(2)/2)*CM71+(1-EXP(-LN(2)/2))/(LN(2)/2)*CG72*CJ72*VLOOKUP('Données projet'!$B$12,Paramètres!$A$1:$I$89,3,0)*0.475*44/12</f>
        <v>0</v>
      </c>
      <c r="CN72" s="22">
        <f t="shared" si="66"/>
        <v>98.263088500754378</v>
      </c>
      <c r="CO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4.5999999999999996</v>
      </c>
      <c r="CT72" s="12">
        <f>IF('Données projet'!$A$140&gt;35,CT71+CS72-DB71,IF(A72&lt;'Données projet'!$A$140,$CQ$205^A72,IF(A72='Données projet'!$A$140,'Données projet'!$B$140,CT71+CS72-DB71)))</f>
        <v>311.39999999999992</v>
      </c>
      <c r="CU72" s="17">
        <f>CT72*VLOOKUP('Données projet'!$B$13,Paramètres!$A$1:$I$89,3,0)*VLOOKUP('Données projet'!$B$13,Paramètres!$A$1:$I$89,5,0)</f>
        <v>228.31847999999994</v>
      </c>
      <c r="CV72" s="13">
        <f t="shared" si="95"/>
        <v>55.918942466546987</v>
      </c>
      <c r="CW72" s="20">
        <f t="shared" si="67"/>
        <v>495.04684412923598</v>
      </c>
      <c r="CX72" s="59">
        <f t="shared" si="68"/>
        <v>760.97700447930254</v>
      </c>
      <c r="CY72" s="59">
        <f ca="1">AVERAGE(OFFSET($CX$3,0,0,'Données projet'!$E$13+1,1))-AVERAGE(OFFSET($H$3,0,0,'Données projet'!$E$13+1,1))</f>
        <v>352.45777291109863</v>
      </c>
      <c r="CZ72" s="59">
        <f t="shared" si="96"/>
        <v>340.92165104349181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35.330540256955658</v>
      </c>
      <c r="DG72" s="21">
        <f>EXP(-LN(2)/25)*DG71+(1-EXP(-LN(2)/25))/(LN(2)/25)*Calculateur!DB72*Calculateur!DD72*VLOOKUP('Données projet'!$B$13,Paramètres!$A$1:$I$89,3,0)*0.475*44/12</f>
        <v>0</v>
      </c>
      <c r="DH72" s="21">
        <f>EXP(-LN(2)/2)*DH71+(1-EXP(-LN(2)/2))/(LN(2)/2)*DB72*DE72*VLOOKUP('Données projet'!$B$13,Paramètres!$A$1:$I$89,3,0)*0.475*44/12</f>
        <v>0</v>
      </c>
      <c r="DI72" s="22">
        <f t="shared" si="69"/>
        <v>35.330540256955658</v>
      </c>
      <c r="DJ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11.28875</v>
      </c>
      <c r="DO72" s="12">
        <f>IF('Données projet'!$A$166&gt;35,DO71+DN72-DW71,IF(A72&lt;'Données projet'!$A$166,$DL$205^A72,IF(A72='Données projet'!$A$166,'Données projet'!$B$166,DO71+DN72-DW71)))</f>
        <v>326.11249999999995</v>
      </c>
      <c r="DP72" s="17">
        <f>DO72*VLOOKUP('Données projet'!$B$14,Paramètres!$A$1:$I$89,3,0)*VLOOKUP('Données projet'!$B$14,Paramètres!$A$1:$I$89,5,0)</f>
        <v>218.75626499999996</v>
      </c>
      <c r="DQ72" s="13">
        <f t="shared" si="97"/>
        <v>53.844476933947966</v>
      </c>
      <c r="DR72" s="20">
        <f t="shared" si="70"/>
        <v>474.77962553495922</v>
      </c>
      <c r="DS72" s="59">
        <f t="shared" si="71"/>
        <v>740.70978588502578</v>
      </c>
      <c r="DT72" s="59">
        <f ca="1">AVERAGE(OFFSET($DS$3,0,0,'Données projet'!$E$14+1,1))-AVERAGE(OFFSET($H$3,0,0,'Données projet'!$E$14+1,1))</f>
        <v>441.20130048888439</v>
      </c>
      <c r="DU72" s="59">
        <f t="shared" si="98"/>
        <v>237.47732532183946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76.762572930154732</v>
      </c>
      <c r="EB72" s="21">
        <f>EXP(-LN(2)/25)*EB71+(1-EXP(-LN(2)/25))/(LN(2)/25)*Calculateur!DW72*Calculateur!DY72*VLOOKUP('Données projet'!$B$14,Paramètres!$A$1:$I$89,3,0)*0.475*44/12</f>
        <v>0</v>
      </c>
      <c r="EC72" s="21">
        <f>EXP(-LN(2)/2)*EC71+(1-EXP(-LN(2)/2))/(LN(2)/2)*DW72*DZ72*VLOOKUP('Données projet'!$B$14,Paramètres!$A$1:$I$89,3,0)*0.475*44/12</f>
        <v>0</v>
      </c>
      <c r="ED72" s="22">
        <f t="shared" si="72"/>
        <v>76.762572930154732</v>
      </c>
      <c r="EE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4.5999999999999996</v>
      </c>
      <c r="EJ72" s="12">
        <f>IF('Données projet'!$A$192&gt;35,EJ71+EI72-ER71,IF(A72&lt;'Données projet'!$A$192,$EG$205^A72,IF(A72='Données projet'!$A$192,'Données projet'!$B$192,EJ71+EI72-ER71)))</f>
        <v>311.39999999999992</v>
      </c>
      <c r="EK72" s="17">
        <f>EJ72*VLOOKUP('Données projet'!$B$15,Paramètres!$A$1:$I$89,3,0)*VLOOKUP('Données projet'!$B$15,Paramètres!$A$1:$I$89,5,0)</f>
        <v>247.74983999999995</v>
      </c>
      <c r="EL72" s="13">
        <f t="shared" si="99"/>
        <v>60.103849700617872</v>
      </c>
      <c r="EM72" s="20">
        <f t="shared" si="73"/>
        <v>536.17850956190932</v>
      </c>
      <c r="EN72" s="59">
        <f t="shared" si="74"/>
        <v>802.10866991197588</v>
      </c>
      <c r="EO72" s="59">
        <f ca="1">AVERAGE(OFFSET($EN$3,0,0,'Données projet'!$E$15+1,1))-AVERAGE(OFFSET($H$3,0,0,'Données projet'!$E$15+1,1))</f>
        <v>377.27600411578322</v>
      </c>
      <c r="EP72" s="59">
        <f t="shared" si="100"/>
        <v>364.58250627635425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>
        <f>EXP(-LN(2)/35)*EV71+(1-EXP(-LN(2)/35))/(LN(2)/35)*ER72*ES72*VLOOKUP('Données projet'!$B$15,Paramètres!$A$1:$I$89,3,0)*0.475*44/12</f>
        <v>47.253067943864998</v>
      </c>
      <c r="EW72" s="21">
        <f>EXP(-LN(2)/25)*EW71+(1-EXP(-LN(2)/25))/(LN(2)/25)*Calculateur!ER72*Calculateur!ET72*VLOOKUP('Données projet'!$B$15,Paramètres!$A$1:$I$89,3,0)*0.475*44/12</f>
        <v>0</v>
      </c>
      <c r="EX72" s="21">
        <f>EXP(-LN(2)/2)*EX71+(1-EXP(-LN(2)/2))/(LN(2)/2)*ER72*EU72*VLOOKUP('Données projet'!$B$15,Paramètres!$A$1:$I$89,3,0)*0.475*44/12</f>
        <v>0</v>
      </c>
      <c r="EY72" s="22">
        <f t="shared" si="75"/>
        <v>47.253067943864998</v>
      </c>
      <c r="EZ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4.5999999999999996</v>
      </c>
      <c r="FE72" s="12">
        <f>IF('Données projet'!$A$218&gt;35,FE71+FD72-FM71,IF(A72&lt;'Données projet'!$A$218,$FB$205^A72,IF(A72='Données projet'!$A$218,'Données projet'!$B$218,FE71+FD72-FM71)))</f>
        <v>311.39999999999992</v>
      </c>
      <c r="FF72" s="17">
        <f>FE72*VLOOKUP('Données projet'!$B$16,Paramètres!$A$1:$I$89,3,0)*VLOOKUP('Données projet'!$B$16,Paramètres!$A$1:$I$89,5,0)</f>
        <v>252.60767999999996</v>
      </c>
      <c r="FG72" s="13">
        <f t="shared" si="101"/>
        <v>61.143998601713257</v>
      </c>
      <c r="FH72" s="20">
        <f t="shared" si="76"/>
        <v>546.4508402313171</v>
      </c>
      <c r="FI72" s="59">
        <f t="shared" si="77"/>
        <v>812.38100058138366</v>
      </c>
      <c r="FJ72" s="59">
        <f ca="1">AVERAGE(OFFSET($FI$3,0,0,'Données projet'!$E$16+1,1))-AVERAGE(OFFSET($H$3,0,0,'Données projet'!$E$16+1,1))</f>
        <v>383.47399633251354</v>
      </c>
      <c r="FK72" s="59">
        <f t="shared" si="102"/>
        <v>370.49129421395628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>
        <f>EXP(-LN(2)/35)*FQ71+(1-EXP(-LN(2)/35))/(LN(2)/35)*FM72*FN72*VLOOKUP('Données projet'!$B$16,Paramètres!$A$1:$I$89,3,0)*0.475*44/12</f>
        <v>48.179598687862388</v>
      </c>
      <c r="FR72" s="21">
        <f>EXP(-LN(2)/25)*FR71+(1-EXP(-LN(2)/25))/(LN(2)/25)*Calculateur!FM72*Calculateur!FO72*VLOOKUP('Données projet'!$B$16,Paramètres!$A$1:$I$89,3,0)*0.475*44/12</f>
        <v>0</v>
      </c>
      <c r="FS72" s="21">
        <f>EXP(-LN(2)/2)*FS71+(1-EXP(-LN(2)/2))/(LN(2)/2)*FM72*FP72*VLOOKUP('Données projet'!$B$16,Paramètres!$A$1:$I$89,3,0)*0.475*44/12</f>
        <v>0</v>
      </c>
      <c r="FT72" s="22">
        <f t="shared" si="78"/>
        <v>48.179598687862388</v>
      </c>
      <c r="FU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11.28875</v>
      </c>
      <c r="FZ72" s="12">
        <f>IF('Données projet'!$A$244&gt;35,FZ71+FY72-GH71,IF(A72&lt;'Données projet'!$A$244,$FW$205^A72,IF(A72='Données projet'!$A$244,'Données projet'!$B$244,FZ71+FY72-GH71)))</f>
        <v>326.11249999999995</v>
      </c>
      <c r="GA72" s="17">
        <f>FZ72*VLOOKUP('Données projet'!$B$17,Paramètres!$A$1:$I$89,3,0)*VLOOKUP('Données projet'!$B$17,Paramètres!$A$1:$I$89,5,0)</f>
        <v>310.32865499999991</v>
      </c>
      <c r="GB72" s="13">
        <f t="shared" si="103"/>
        <v>73.337462183263924</v>
      </c>
      <c r="GC72" s="20">
        <f t="shared" si="79"/>
        <v>668.21848742751774</v>
      </c>
      <c r="GD72" s="59">
        <f t="shared" si="80"/>
        <v>934.1486477775843</v>
      </c>
      <c r="GE72" s="59">
        <f ca="1">AVERAGE(OFFSET($GD$3,0,0,'Données projet'!$E$17+1,1))-AVERAGE(OFFSET($H$3,0,0,'Données projet'!$E$17+1,1))</f>
        <v>592.58528889137358</v>
      </c>
      <c r="GF72" s="59">
        <f t="shared" si="104"/>
        <v>311.31528020403709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>
        <f>EXP(-LN(2)/35)*GL71+(1-EXP(-LN(2)/35))/(LN(2)/35)*GH72*GI72*VLOOKUP('Données projet'!$B$17,Paramètres!$A$1:$I$89,3,0)*0.475*44/12</f>
        <v>88.349376391310159</v>
      </c>
      <c r="GM72" s="21">
        <f>EXP(-LN(2)/25)*GM71+(1-EXP(-LN(2)/25))/(LN(2)/25)*Calculateur!GH72*Calculateur!GJ72*VLOOKUP('Données projet'!$B$17,Paramètres!$A$1:$I$89,3,0)*0.475*44/12</f>
        <v>0</v>
      </c>
      <c r="GN72" s="21">
        <f>EXP(-LN(2)/2)*GN71+(1-EXP(-LN(2)/2))/(LN(2)/2)*GH72*GK72*VLOOKUP('Données projet'!$B$17,Paramètres!$A$1:$I$89,3,0)*0.475*44/12</f>
        <v>0</v>
      </c>
      <c r="GO72" s="21">
        <f t="shared" si="81"/>
        <v>88.349376391310159</v>
      </c>
      <c r="GP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>
        <f>VLOOKUP(A72,'Données projet'!$A$269:$I$289,2,0)</f>
        <v>328</v>
      </c>
      <c r="GS72" s="12">
        <f>VLOOKUP(A72,'Données projet'!$A$269:$I$289,9,0)</f>
        <v>8.6666666666666661</v>
      </c>
      <c r="GT72" s="12">
        <f t="array" ref="GT72">INDEX(GS:GS,MIN(IF(ISNUMBER(GS72:GS268),ROW(GS72:GS268),"")))</f>
        <v>8.6666666666666661</v>
      </c>
      <c r="GU72" s="12">
        <f>IF('Données projet'!$A$270&gt;35,GU71+GT72-HC71,IF(A72&lt;'Données projet'!$A$270,$GR$205^A72,IF(A72='Données projet'!$A$270,'Données projet'!$B$270,GU71+GT72-HC71)))</f>
        <v>328.00000000000006</v>
      </c>
      <c r="GV72" s="17">
        <f>GU72*VLOOKUP('Données projet'!$B$18,Paramètres!$A$1:$I$89,3,0)*VLOOKUP('Données projet'!$B$18,Paramètres!$A$1:$I$89,5,0)</f>
        <v>255.84000000000006</v>
      </c>
      <c r="GW72" s="13">
        <f t="shared" si="105"/>
        <v>61.834803371075836</v>
      </c>
      <c r="GX72" s="20">
        <f t="shared" si="82"/>
        <v>553.28361587129041</v>
      </c>
      <c r="GY72" s="59">
        <f t="shared" si="83"/>
        <v>819.21377622135697</v>
      </c>
      <c r="GZ72" s="59">
        <f ca="1">AVERAGE(OFFSET($GY$3,0,0,'Données projet'!$E$18+1,1))-AVERAGE(OFFSET($H$3,0,0,'Données projet'!$E$18+1,1))</f>
        <v>308.85018589589453</v>
      </c>
      <c r="HA72" s="59">
        <f t="shared" si="106"/>
        <v>302.59481222418219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>
        <f>EXP(-LN(2)/35)*HG71+(1-EXP(-LN(2)/35))/(LN(2)/35)*HC72*HD72*VLOOKUP('Données projet'!$B$18,Paramètres!$A$1:$I$89,3,0)*0.475*44/12</f>
        <v>50.380197420082411</v>
      </c>
      <c r="HH72" s="21">
        <f>EXP(-LN(2)/25)*HH71+(1-EXP(-LN(2)/25))/(LN(2)/25)*Calculateur!HC72*Calculateur!HE72*VLOOKUP('Données projet'!$B$18,Paramètres!$A$1:$I$89,3,0)*0.475*44/12</f>
        <v>0</v>
      </c>
      <c r="HI72" s="21">
        <f>EXP(-LN(2)/2)*HI71+(1-EXP(-LN(2)/2))/(LN(2)/2)*HC72*HF72*VLOOKUP('Données projet'!$B$18,Paramètres!$A$1:$I$89,3,0)*0.475*44/12</f>
        <v>0</v>
      </c>
      <c r="HJ72" s="22">
        <f t="shared" si="84"/>
        <v>50.380197420082411</v>
      </c>
    </row>
    <row r="73" spans="1:218" x14ac:dyDescent="0.35">
      <c r="A73" s="10">
        <f t="shared" si="85"/>
        <v>70</v>
      </c>
      <c r="B73" s="72">
        <f>'Scénario référence'!$B$16*5+'Scénario référence'!$B$17*0+'Scénario référence'!$B$18*5</f>
        <v>5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66">
        <f t="shared" si="56"/>
        <v>183.33333333333334</v>
      </c>
      <c r="I73" s="6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11.28875</v>
      </c>
      <c r="N73" s="13">
        <f>IF('Données projet'!$A$36&gt;35,N72+M73-V72,IF(A73&lt;'Données projet'!$A$36,$K$205^A73,IF(A73='Données projet'!$A$36,'Données projet'!$B$36,N72+M73-V72)))</f>
        <v>337.40124999999995</v>
      </c>
      <c r="O73" s="13">
        <f>N73*VLOOKUP('Données projet'!$B$9,Paramètres!$A$1:$I$89,3,0)*VLOOKUP('Données projet'!$B$9,Paramètres!$A$1:$I$89,5,0)</f>
        <v>305.28065099999998</v>
      </c>
      <c r="P73" s="13">
        <f t="shared" si="87"/>
        <v>72.282364027590162</v>
      </c>
      <c r="Q73" s="20">
        <f t="shared" si="54"/>
        <v>657.58891783971956</v>
      </c>
      <c r="R73" s="59">
        <f t="shared" si="55"/>
        <v>923.9944619767291</v>
      </c>
      <c r="S73" s="59">
        <f ca="1">AVERAGE(OFFSET($R$3,0,0,'Données projet'!$E$9+1,1))-AVERAGE(OFFSET($H$3,0,0,'Données projet'!$E$9+1,1))</f>
        <v>567.42635821507474</v>
      </c>
      <c r="T73" s="59">
        <f t="shared" si="88"/>
        <v>299.04735309930152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82.357051515874772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82.357051515874772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11.28875</v>
      </c>
      <c r="AI73" s="13">
        <f>IF('Données projet'!$A$62&gt;35,AI72+AH73-AQ72,IF(A73&lt;'Données projet'!$A$62,$AF$205^A73,IF(A73='Données projet'!$A$62,'Données projet'!$B$62,AI72+AH73-AQ72)))</f>
        <v>337.40124999999995</v>
      </c>
      <c r="AJ73" s="13">
        <f>AI73*VLOOKUP('Données projet'!$B$10,Paramètres!$A$1:$I$89,3,0)*VLOOKUP('Données projet'!$B$10,Paramètres!$A$1:$I$89,5,0)</f>
        <v>342.12486749999994</v>
      </c>
      <c r="AK73" s="13">
        <f t="shared" si="89"/>
        <v>79.938798190391537</v>
      </c>
      <c r="AL73" s="20">
        <f t="shared" si="58"/>
        <v>735.09421774409839</v>
      </c>
      <c r="AM73" s="59">
        <f t="shared" si="59"/>
        <v>1001.4997618811078</v>
      </c>
      <c r="AN73" s="59">
        <f ca="1">AVERAGE(OFFSET($AM$3,0,0,'Données projet'!$E$10+1,1))-AVERAGE(OFFSET($H$3,0,0,'Données projet'!$E$10+1,1))</f>
        <v>626.09203985591455</v>
      </c>
      <c r="AO73" s="59">
        <f t="shared" si="90"/>
        <v>327.65191296575199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92.296695664342394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92.296695664342394</v>
      </c>
      <c r="AY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316</v>
      </c>
      <c r="BB73" s="12">
        <f>VLOOKUP(A73,'Données projet'!$A$87:$I$107,9,0)</f>
        <v>10</v>
      </c>
      <c r="BC73" s="12">
        <f t="array" ref="BC73">INDEX(BB:BB,MIN(IF(ISNUMBER(BB73:BB269),ROW(BB73:BB269),"")))</f>
        <v>10</v>
      </c>
      <c r="BD73" s="12">
        <f>IF('Données projet'!$A$88&gt;35,BD72+BC73-BL72,IF(A73&lt;'Données projet'!$A$88,$BA$205^A73,IF(A73='Données projet'!$A$88,'Données projet'!$B$88,BD72+BC73-BL72)))</f>
        <v>315.99999999999994</v>
      </c>
      <c r="BE73" s="13">
        <f>BD73*VLOOKUP('Données projet'!$B$11,Paramètres!$A$1:$I$89,3,0)*VLOOKUP('Données projet'!$B$11,Paramètres!$A$1:$I$89,5,0)</f>
        <v>271.12799999999999</v>
      </c>
      <c r="BF73" s="13">
        <f t="shared" si="91"/>
        <v>65.088601240045278</v>
      </c>
      <c r="BG73" s="20">
        <f t="shared" si="61"/>
        <v>585.57724715974553</v>
      </c>
      <c r="BH73" s="59">
        <f t="shared" si="62"/>
        <v>851.98279129675507</v>
      </c>
      <c r="BI73" s="59">
        <f ca="1">AVERAGE(OFFSET($BH$3,0,0,'Données projet'!$E$11+1,1))-AVERAGE(OFFSET($H$3,0,0,'Données projet'!$E$11+1,1))</f>
        <v>481.23392184981651</v>
      </c>
      <c r="BJ73" s="59">
        <f t="shared" si="92"/>
        <v>275.88160405468193</v>
      </c>
      <c r="BK73" s="15">
        <f>IF(ISNA(VLOOKUP(A73,'Données projet'!$A$87:$I$107,3,0)),0,VLOOKUP(A73,'Données projet'!$A$87:$I$107,3,0))</f>
        <v>10</v>
      </c>
      <c r="BL73" s="15">
        <f>IF(ISNA(VLOOKUP(A73,'Données projet'!$A$87:$I$107,4,0)),0,VLOOKUP(A73,'Données projet'!$A$87:$I$107,4,0))</f>
        <v>28</v>
      </c>
      <c r="BM73" s="16">
        <f>IF(ISNA(VLOOKUP(A73,'Données projet'!$A$87:$I$107,5,0)),0%,VLOOKUP(A73,'Données projet'!$A$87:$I$107,5,0)*VLOOKUP('Données projet'!$B$11,Paramètres!$A$1:$I$89,7,0))</f>
        <v>0.53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81.688818866997508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81.688818866997508</v>
      </c>
      <c r="BT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15.211111111111116</v>
      </c>
      <c r="BY73" s="12">
        <f>IF('Données projet'!$A$114&gt;35,BY72+BX73-CG72,IF(A73&lt;'Données projet'!$A$114,$BV$205^A73,IF(A73='Données projet'!$A$114,'Données projet'!$B$114,BY72+BX73-CG72)))</f>
        <v>413.31444444444384</v>
      </c>
      <c r="BZ73" s="13">
        <f>BY73*VLOOKUP('Données projet'!$B$12,Paramètres!$A$1:$I$89,3,0)*VLOOKUP('Données projet'!$B$12,Paramètres!$A$1:$I$89,5,0)</f>
        <v>193.43115999999972</v>
      </c>
      <c r="CA73" s="13">
        <f t="shared" si="93"/>
        <v>48.297741635801991</v>
      </c>
      <c r="CB73" s="20">
        <f t="shared" si="64"/>
        <v>421.01117034902131</v>
      </c>
      <c r="CC73" s="59">
        <f t="shared" si="65"/>
        <v>687.41671448603074</v>
      </c>
      <c r="CD73" s="59">
        <f ca="1">AVERAGE(OFFSET($CC$3,0,0,'Données projet'!$E$12+1,1))-AVERAGE(OFFSET($H$3,0,0,'Données projet'!$E$12+1,1))</f>
        <v>331.86732359395467</v>
      </c>
      <c r="CE73" s="59">
        <f t="shared" si="94"/>
        <v>208.64489375183106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96.336209269820529</v>
      </c>
      <c r="CL73" s="21">
        <f>EXP(-LN(2)/25)*CL72+(1-EXP(-LN(2)/25))/(LN(2)/25)*Calculateur!CG73*Calculateur!CI73*VLOOKUP('Données projet'!$B$12,Paramètres!$A$1:$I$89,3,0)*0.475*44/12</f>
        <v>0</v>
      </c>
      <c r="CM73" s="21">
        <f>EXP(-LN(2)/2)*CM72+(1-EXP(-LN(2)/2))/(LN(2)/2)*CG73*CJ73*VLOOKUP('Données projet'!$B$12,Paramètres!$A$1:$I$89,3,0)*0.475*44/12</f>
        <v>0</v>
      </c>
      <c r="CN73" s="22">
        <f t="shared" si="66"/>
        <v>96.336209269820529</v>
      </c>
      <c r="CO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>
        <f>VLOOKUP(A73,'Données projet'!$A$139:$I$159,2,0)</f>
        <v>316</v>
      </c>
      <c r="CR73" s="12">
        <f>VLOOKUP(A73,'Données projet'!$A$139:$I$159,9,0)</f>
        <v>4.5999999999999996</v>
      </c>
      <c r="CS73" s="12">
        <f t="array" ref="CS73">INDEX(CR:CR,MIN(IF(ISNUMBER(CR73:CR269),ROW(CR73:CR269),"")))</f>
        <v>4.5999999999999996</v>
      </c>
      <c r="CT73" s="12">
        <f>IF('Données projet'!$A$140&gt;35,CT72+CS73-DB72,IF(A73&lt;'Données projet'!$A$140,$CQ$205^A73,IF(A73='Données projet'!$A$140,'Données projet'!$B$140,CT72+CS73-DB72)))</f>
        <v>315.99999999999994</v>
      </c>
      <c r="CU73" s="17">
        <f>CT73*VLOOKUP('Données projet'!$B$13,Paramètres!$A$1:$I$89,3,0)*VLOOKUP('Données projet'!$B$13,Paramètres!$A$1:$I$89,5,0)</f>
        <v>231.69119999999992</v>
      </c>
      <c r="CV73" s="13">
        <f t="shared" si="95"/>
        <v>56.648202447537749</v>
      </c>
      <c r="CW73" s="20">
        <f t="shared" si="67"/>
        <v>502.19112592946141</v>
      </c>
      <c r="CX73" s="59">
        <f t="shared" si="68"/>
        <v>768.59667006647089</v>
      </c>
      <c r="CY73" s="59">
        <f ca="1">AVERAGE(OFFSET($CX$3,0,0,'Données projet'!$E$13+1,1))-AVERAGE(OFFSET($H$3,0,0,'Données projet'!$E$13+1,1))</f>
        <v>352.45777291109863</v>
      </c>
      <c r="CZ73" s="59">
        <f t="shared" si="96"/>
        <v>340.92165104349181</v>
      </c>
      <c r="DA73" s="15">
        <f>IF(ISNA(VLOOKUP(A73,'Données projet'!$A$139:$I$159,3,0)),0,VLOOKUP(A73,'Données projet'!$A$139:$I$159,3,0))</f>
        <v>12</v>
      </c>
      <c r="DB73" s="15">
        <f>IF(ISNA(VLOOKUP(A73,'Données projet'!$A$139:$I$159,4,0)),0,VLOOKUP(A73,'Données projet'!$A$139:$I$159,4,0))</f>
        <v>13</v>
      </c>
      <c r="DC73" s="16">
        <f>IF(ISNA(VLOOKUP(A73,'Données projet'!$A$139:$I$159,5,0)),0%,VLOOKUP(A73,'Données projet'!$A$139:$I$159,5,0)*VLOOKUP('Données projet'!$B$13,Paramètres!$A$1:$I$89,7,0))</f>
        <v>0.43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39.168597543927675</v>
      </c>
      <c r="DG73" s="21">
        <f>EXP(-LN(2)/25)*DG72+(1-EXP(-LN(2)/25))/(LN(2)/25)*Calculateur!DB73*Calculateur!DD73*VLOOKUP('Données projet'!$B$13,Paramètres!$A$1:$I$89,3,0)*0.475*44/12</f>
        <v>0</v>
      </c>
      <c r="DH73" s="21">
        <f>EXP(-LN(2)/2)*DH72+(1-EXP(-LN(2)/2))/(LN(2)/2)*DB73*DE73*VLOOKUP('Données projet'!$B$13,Paramètres!$A$1:$I$89,3,0)*0.475*44/12</f>
        <v>0</v>
      </c>
      <c r="DI73" s="22">
        <f t="shared" si="69"/>
        <v>39.168597543927675</v>
      </c>
      <c r="DJ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11.28875</v>
      </c>
      <c r="DO73" s="12">
        <f>IF('Données projet'!$A$166&gt;35,DO72+DN73-DW72,IF(A73&lt;'Données projet'!$A$166,$DL$205^A73,IF(A73='Données projet'!$A$166,'Données projet'!$B$166,DO72+DN73-DW72)))</f>
        <v>337.40124999999995</v>
      </c>
      <c r="DP73" s="17">
        <f>DO73*VLOOKUP('Données projet'!$B$14,Paramètres!$A$1:$I$89,3,0)*VLOOKUP('Données projet'!$B$14,Paramètres!$A$1:$I$89,5,0)</f>
        <v>226.32875849999996</v>
      </c>
      <c r="DQ73" s="13">
        <f t="shared" si="97"/>
        <v>55.488131432562078</v>
      </c>
      <c r="DR73" s="20">
        <f t="shared" si="70"/>
        <v>490.8310832992122</v>
      </c>
      <c r="DS73" s="59">
        <f t="shared" si="71"/>
        <v>757.23662743622162</v>
      </c>
      <c r="DT73" s="59">
        <f ca="1">AVERAGE(OFFSET($DS$3,0,0,'Données projet'!$E$14+1,1))-AVERAGE(OFFSET($H$3,0,0,'Données projet'!$E$14+1,1))</f>
        <v>441.20130048888439</v>
      </c>
      <c r="DU73" s="59">
        <f t="shared" si="98"/>
        <v>237.47732532183946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75.257305695540737</v>
      </c>
      <c r="EB73" s="21">
        <f>EXP(-LN(2)/25)*EB72+(1-EXP(-LN(2)/25))/(LN(2)/25)*Calculateur!DW73*Calculateur!DY73*VLOOKUP('Données projet'!$B$14,Paramètres!$A$1:$I$89,3,0)*0.475*44/12</f>
        <v>0</v>
      </c>
      <c r="EC73" s="21">
        <f>EXP(-LN(2)/2)*EC72+(1-EXP(-LN(2)/2))/(LN(2)/2)*DW73*DZ73*VLOOKUP('Données projet'!$B$14,Paramètres!$A$1:$I$89,3,0)*0.475*44/12</f>
        <v>0</v>
      </c>
      <c r="ED73" s="22">
        <f t="shared" si="72"/>
        <v>75.257305695540737</v>
      </c>
      <c r="EE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>
        <f>VLOOKUP(A73,'Données projet'!$A$191:$I$211,2,0)</f>
        <v>316</v>
      </c>
      <c r="EH73" s="12">
        <f>VLOOKUP(A73,'Données projet'!$A$191:$I$211,9,0)</f>
        <v>4.5999999999999996</v>
      </c>
      <c r="EI73" s="12">
        <f t="array" ref="EI73">INDEX(EH:EH,MIN(IF(ISNUMBER(EH73:EH269),ROW(EH73:EH269),"")))</f>
        <v>4.5999999999999996</v>
      </c>
      <c r="EJ73" s="12">
        <f>IF('Données projet'!$A$192&gt;35,EJ72+EI73-ER72,IF(A73&lt;'Données projet'!$A$192,$EG$205^A73,IF(A73='Données projet'!$A$192,'Données projet'!$B$192,EJ72+EI73-ER72)))</f>
        <v>315.99999999999994</v>
      </c>
      <c r="EK73" s="17">
        <f>EJ73*VLOOKUP('Données projet'!$B$15,Paramètres!$A$1:$I$89,3,0)*VLOOKUP('Données projet'!$B$15,Paramètres!$A$1:$I$89,5,0)</f>
        <v>251.40959999999995</v>
      </c>
      <c r="EL73" s="13">
        <f t="shared" si="99"/>
        <v>60.887686632376123</v>
      </c>
      <c r="EM73" s="20">
        <f t="shared" si="73"/>
        <v>543.917774218055</v>
      </c>
      <c r="EN73" s="59">
        <f t="shared" si="74"/>
        <v>810.32331835506443</v>
      </c>
      <c r="EO73" s="59">
        <f ca="1">AVERAGE(OFFSET($EN$3,0,0,'Données projet'!$E$15+1,1))-AVERAGE(OFFSET($H$3,0,0,'Données projet'!$E$15+1,1))</f>
        <v>377.27600411578322</v>
      </c>
      <c r="EP73" s="59">
        <f t="shared" si="100"/>
        <v>364.58250627635425</v>
      </c>
      <c r="EQ73" s="15">
        <f>IF(ISNA(VLOOKUP(A73,'Données projet'!$A$191:$I$211,3,0)),0,VLOOKUP(A73,'Données projet'!$A$191:$I$211,3,0))</f>
        <v>12</v>
      </c>
      <c r="ER73" s="15">
        <f>IF(ISNA(VLOOKUP(A73,'Données projet'!$A$191:$I$211,4,0)),0,VLOOKUP(A73,'Données projet'!$A$191:$I$211,4,0))</f>
        <v>13</v>
      </c>
      <c r="ES73" s="16">
        <f>IF(ISNA(VLOOKUP(A73,'Données projet'!$A$191:$I$211,5,0)),0%,VLOOKUP(A73,'Données projet'!$A$191:$I$211,5,0)*VLOOKUP('Données projet'!$B$15,Paramètres!$A$1:$I$89,7,0))</f>
        <v>0.53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>
        <f>EXP(-LN(2)/35)*EV72+(1-EXP(-LN(2)/35))/(LN(2)/35)*ER73*ES73*VLOOKUP('Données projet'!$B$15,Paramètres!$A$1:$I$89,3,0)*0.475*44/12</f>
        <v>52.386303394971065</v>
      </c>
      <c r="EW73" s="21">
        <f>EXP(-LN(2)/25)*EW72+(1-EXP(-LN(2)/25))/(LN(2)/25)*Calculateur!ER73*Calculateur!ET73*VLOOKUP('Données projet'!$B$15,Paramètres!$A$1:$I$89,3,0)*0.475*44/12</f>
        <v>0</v>
      </c>
      <c r="EX73" s="21">
        <f>EXP(-LN(2)/2)*EX72+(1-EXP(-LN(2)/2))/(LN(2)/2)*ER73*EU73*VLOOKUP('Données projet'!$B$15,Paramètres!$A$1:$I$89,3,0)*0.475*44/12</f>
        <v>0</v>
      </c>
      <c r="EY73" s="22">
        <f t="shared" si="75"/>
        <v>52.386303394971065</v>
      </c>
      <c r="EZ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>
        <f>VLOOKUP(A73,'Données projet'!$A$217:$I$237,2,0)</f>
        <v>316</v>
      </c>
      <c r="FC73" s="12">
        <f>VLOOKUP(A73,'Données projet'!$A$217:$I$237,9,0)</f>
        <v>4.5999999999999996</v>
      </c>
      <c r="FD73" s="12">
        <f t="array" ref="FD73">INDEX(FC:FC,MIN(IF(ISNUMBER(FC73:FC269),ROW(FC73:FC269),"")))</f>
        <v>4.5999999999999996</v>
      </c>
      <c r="FE73" s="12">
        <f>IF('Données projet'!$A$218&gt;35,FE72+FD73-FM72,IF(A73&lt;'Données projet'!$A$218,$FB$205^A73,IF(A73='Données projet'!$A$218,'Données projet'!$B$218,FE72+FD73-FM72)))</f>
        <v>315.99999999999994</v>
      </c>
      <c r="FF73" s="17">
        <f>FE73*VLOOKUP('Données projet'!$B$16,Paramètres!$A$1:$I$89,3,0)*VLOOKUP('Données projet'!$B$16,Paramètres!$A$1:$I$89,5,0)</f>
        <v>256.33919999999995</v>
      </c>
      <c r="FG73" s="13">
        <f t="shared" si="101"/>
        <v>61.941400506884484</v>
      </c>
      <c r="FH73" s="20">
        <f t="shared" si="76"/>
        <v>554.33871254949031</v>
      </c>
      <c r="FI73" s="59">
        <f t="shared" si="77"/>
        <v>820.74425668649974</v>
      </c>
      <c r="FJ73" s="59">
        <f ca="1">AVERAGE(OFFSET($FI$3,0,0,'Données projet'!$E$16+1,1))-AVERAGE(OFFSET($H$3,0,0,'Données projet'!$E$16+1,1))</f>
        <v>383.47399633251354</v>
      </c>
      <c r="FK73" s="59">
        <f t="shared" si="102"/>
        <v>370.49129421395628</v>
      </c>
      <c r="FL73" s="15">
        <f>IF(ISNA(VLOOKUP(A73,'Données projet'!$A$217:$I$237,3,0)),0,VLOOKUP(A73,'Données projet'!$A$217:$I$237,3,0))</f>
        <v>12</v>
      </c>
      <c r="FM73" s="15">
        <f>IF(ISNA(VLOOKUP(A73,'Données projet'!$A$217:$I$237,4,0)),0,VLOOKUP(A73,'Données projet'!$A$217:$I$237,4,0))</f>
        <v>13</v>
      </c>
      <c r="FN73" s="16">
        <f>IF(ISNA(VLOOKUP(A73,'Données projet'!$A$217:$I$237,5,0)),0%,VLOOKUP(A73,'Données projet'!$A$217:$I$237,5,0)*VLOOKUP('Données projet'!$B$16,Paramètres!$A$1:$I$89,7,0))</f>
        <v>0.53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>
        <f>EXP(-LN(2)/35)*FQ72+(1-EXP(-LN(2)/35))/(LN(2)/35)*FM73*FN73*VLOOKUP('Données projet'!$B$16,Paramètres!$A$1:$I$89,3,0)*0.475*44/12</f>
        <v>53.413485814480339</v>
      </c>
      <c r="FR73" s="21">
        <f>EXP(-LN(2)/25)*FR72+(1-EXP(-LN(2)/25))/(LN(2)/25)*Calculateur!FM73*Calculateur!FO73*VLOOKUP('Données projet'!$B$16,Paramètres!$A$1:$I$89,3,0)*0.475*44/12</f>
        <v>0</v>
      </c>
      <c r="FS73" s="21">
        <f>EXP(-LN(2)/2)*FS72+(1-EXP(-LN(2)/2))/(LN(2)/2)*FM73*FP73*VLOOKUP('Données projet'!$B$16,Paramètres!$A$1:$I$89,3,0)*0.475*44/12</f>
        <v>0</v>
      </c>
      <c r="FT73" s="22">
        <f t="shared" si="78"/>
        <v>53.413485814480339</v>
      </c>
      <c r="FU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11.28875</v>
      </c>
      <c r="FZ73" s="12">
        <f>IF('Données projet'!$A$244&gt;35,FZ72+FY73-GH72,IF(A73&lt;'Données projet'!$A$244,$FW$205^A73,IF(A73='Données projet'!$A$244,'Données projet'!$B$244,FZ72+FY73-GH72)))</f>
        <v>337.40124999999995</v>
      </c>
      <c r="GA73" s="17">
        <f>FZ73*VLOOKUP('Données projet'!$B$17,Paramètres!$A$1:$I$89,3,0)*VLOOKUP('Données projet'!$B$17,Paramètres!$A$1:$I$89,5,0)</f>
        <v>321.07102949999995</v>
      </c>
      <c r="GB73" s="13">
        <f t="shared" si="103"/>
        <v>75.576158824004594</v>
      </c>
      <c r="GC73" s="20">
        <f t="shared" si="79"/>
        <v>690.82718633097465</v>
      </c>
      <c r="GD73" s="59">
        <f t="shared" si="80"/>
        <v>957.23273046798408</v>
      </c>
      <c r="GE73" s="59">
        <f ca="1">AVERAGE(OFFSET($GD$3,0,0,'Données projet'!$E$17+1,1))-AVERAGE(OFFSET($H$3,0,0,'Données projet'!$E$17+1,1))</f>
        <v>592.58528889137358</v>
      </c>
      <c r="GF73" s="59">
        <f t="shared" si="104"/>
        <v>311.31528020403709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>
        <f>EXP(-LN(2)/35)*GL72+(1-EXP(-LN(2)/35))/(LN(2)/35)*GH73*GI73*VLOOKUP('Données projet'!$B$17,Paramètres!$A$1:$I$89,3,0)*0.475*44/12</f>
        <v>86.616899008075194</v>
      </c>
      <c r="GM73" s="21">
        <f>EXP(-LN(2)/25)*GM72+(1-EXP(-LN(2)/25))/(LN(2)/25)*Calculateur!GH73*Calculateur!GJ73*VLOOKUP('Données projet'!$B$17,Paramètres!$A$1:$I$89,3,0)*0.475*44/12</f>
        <v>0</v>
      </c>
      <c r="GN73" s="21">
        <f>EXP(-LN(2)/2)*GN72+(1-EXP(-LN(2)/2))/(LN(2)/2)*GH73*GK73*VLOOKUP('Données projet'!$B$17,Paramètres!$A$1:$I$89,3,0)*0.475*44/12</f>
        <v>0</v>
      </c>
      <c r="GO73" s="21">
        <f t="shared" si="81"/>
        <v>86.616899008075194</v>
      </c>
      <c r="GP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328.00000000000006</v>
      </c>
      <c r="GV73" s="17">
        <f>GU73*VLOOKUP('Données projet'!$B$18,Paramètres!$A$1:$I$89,3,0)*VLOOKUP('Données projet'!$B$18,Paramètres!$A$1:$I$89,5,0)</f>
        <v>255.84000000000006</v>
      </c>
      <c r="GW73" s="13">
        <f t="shared" si="105"/>
        <v>61.834803371075836</v>
      </c>
      <c r="GX73" s="20">
        <f t="shared" si="82"/>
        <v>553.28361587129041</v>
      </c>
      <c r="GY73" s="59">
        <f t="shared" si="83"/>
        <v>819.68916000829995</v>
      </c>
      <c r="GZ73" s="59">
        <f ca="1">AVERAGE(OFFSET($GY$3,0,0,'Données projet'!$E$18+1,1))-AVERAGE(OFFSET($H$3,0,0,'Données projet'!$E$18+1,1))</f>
        <v>308.85018589589453</v>
      </c>
      <c r="HA73" s="59">
        <f t="shared" si="106"/>
        <v>302.59481222418219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>
        <f>EXP(-LN(2)/35)*HG72+(1-EXP(-LN(2)/35))/(LN(2)/35)*HC73*HD73*VLOOKUP('Données projet'!$B$18,Paramètres!$A$1:$I$89,3,0)*0.475*44/12</f>
        <v>49.392272477560795</v>
      </c>
      <c r="HH73" s="21">
        <f>EXP(-LN(2)/25)*HH72+(1-EXP(-LN(2)/25))/(LN(2)/25)*Calculateur!HC73*Calculateur!HE73*VLOOKUP('Données projet'!$B$18,Paramètres!$A$1:$I$89,3,0)*0.475*44/12</f>
        <v>0</v>
      </c>
      <c r="HI73" s="21">
        <f>EXP(-LN(2)/2)*HI72+(1-EXP(-LN(2)/2))/(LN(2)/2)*HC73*HF73*VLOOKUP('Données projet'!$B$18,Paramètres!$A$1:$I$89,3,0)*0.475*44/12</f>
        <v>0</v>
      </c>
      <c r="HJ73" s="22">
        <f t="shared" si="84"/>
        <v>49.392272477560795</v>
      </c>
    </row>
    <row r="74" spans="1:218" x14ac:dyDescent="0.35">
      <c r="A74" s="10">
        <f t="shared" si="85"/>
        <v>71</v>
      </c>
      <c r="B74" s="72">
        <f>'Scénario référence'!$B$16*5+'Scénario référence'!$B$17*0+'Scénario référence'!$B$18*5</f>
        <v>5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66">
        <f t="shared" si="56"/>
        <v>183.33333333333334</v>
      </c>
      <c r="I74" s="6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>
        <f>VLOOKUP(A74,'Données projet'!$A$35:$I$55,2,0)</f>
        <v>348.69</v>
      </c>
      <c r="L74" s="12">
        <f>VLOOKUP(A74,'Données projet'!$A$35:$I$55,9,0)</f>
        <v>11.28875</v>
      </c>
      <c r="M74" s="12">
        <f t="array" ref="M74">INDEX(L:L,MIN(IF(ISNUMBER(L74:L270),ROW(L74:L270),"")))</f>
        <v>11.28875</v>
      </c>
      <c r="N74" s="13">
        <f>IF('Données projet'!$A$36&gt;35,N73+M74-V73,IF(A74&lt;'Données projet'!$A$36,$K$205^A74,IF(A74='Données projet'!$A$36,'Données projet'!$B$36,N73+M74-V73)))</f>
        <v>348.68999999999994</v>
      </c>
      <c r="O74" s="13">
        <f>N74*VLOOKUP('Données projet'!$B$9,Paramètres!$A$1:$I$89,3,0)*VLOOKUP('Données projet'!$B$9,Paramètres!$A$1:$I$89,5,0)</f>
        <v>315.49471199999994</v>
      </c>
      <c r="P74" s="13">
        <f t="shared" si="87"/>
        <v>74.415168706532612</v>
      </c>
      <c r="Q74" s="20">
        <f t="shared" si="54"/>
        <v>679.09304223054414</v>
      </c>
      <c r="R74" s="59">
        <f t="shared" si="55"/>
        <v>945.96572330859203</v>
      </c>
      <c r="S74" s="59">
        <f ca="1">AVERAGE(OFFSET($R$3,0,0,'Données projet'!$E$9+1,1))-AVERAGE(OFFSET($H$3,0,0,'Données projet'!$E$9+1,1))</f>
        <v>567.42635821507474</v>
      </c>
      <c r="T74" s="59">
        <f t="shared" si="88"/>
        <v>299.04735309930152</v>
      </c>
      <c r="U74" s="15">
        <f>IF(ISNA(VLOOKUP(A74,'Données projet'!$A$35:$I$55,3,0)),0,VLOOKUP(A74,'Données projet'!$A$35:$I$55,3,0))</f>
        <v>6</v>
      </c>
      <c r="V74" s="15">
        <f>IF(ISNA(VLOOKUP(A74,'Données projet'!$A$35:$I$55,4,0)),0,VLOOKUP(A74,'Données projet'!$A$35:$I$55,4,0))</f>
        <v>52.07</v>
      </c>
      <c r="W74" s="16">
        <f>IF(ISNA(VLOOKUP(A74,'Données projet'!$A$35:$I$55,5,0)),0%,VLOOKUP(A74,'Données projet'!$A$35:$I$55,5,0)*VLOOKUP('Données projet'!$B$9,Paramètres!$A$1:$I$89,7,0))</f>
        <v>0.43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103.13732072204741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103.13732072204741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>
        <f>VLOOKUP(A74,'Données projet'!$A$61:$I$81,2,0)</f>
        <v>348.69</v>
      </c>
      <c r="AG74" s="12">
        <f>VLOOKUP(A74,'Données projet'!$A$61:$I$81,9,0)</f>
        <v>11.28875</v>
      </c>
      <c r="AH74" s="12">
        <f t="array" ref="AH74">INDEX(AG:AG,MIN(IF(ISNUMBER(AG74:AG270),ROW(AG74:AG270),"")))</f>
        <v>11.28875</v>
      </c>
      <c r="AI74" s="13">
        <f>IF('Données projet'!$A$62&gt;35,AI73+AH74-AQ73,IF(A74&lt;'Données projet'!$A$62,$AF$205^A74,IF(A74='Données projet'!$A$62,'Données projet'!$B$62,AI73+AH74-AQ73)))</f>
        <v>348.68999999999994</v>
      </c>
      <c r="AJ74" s="13">
        <f>AI74*VLOOKUP('Données projet'!$B$10,Paramètres!$A$1:$I$89,3,0)*VLOOKUP('Données projet'!$B$10,Paramètres!$A$1:$I$89,5,0)</f>
        <v>353.57165999999995</v>
      </c>
      <c r="AK74" s="13">
        <f t="shared" si="89"/>
        <v>82.297517984675324</v>
      </c>
      <c r="AL74" s="20">
        <f t="shared" si="58"/>
        <v>759.13881832330935</v>
      </c>
      <c r="AM74" s="59">
        <f t="shared" si="59"/>
        <v>1026.0114994013572</v>
      </c>
      <c r="AN74" s="59">
        <f ca="1">AVERAGE(OFFSET($AM$3,0,0,'Données projet'!$E$10+1,1))-AVERAGE(OFFSET($H$3,0,0,'Données projet'!$E$10+1,1))</f>
        <v>626.09203985591455</v>
      </c>
      <c r="AO74" s="59">
        <f t="shared" si="90"/>
        <v>327.65191296575199</v>
      </c>
      <c r="AP74" s="15">
        <f>IF(ISNA(VLOOKUP(A74,'Données projet'!$A$61:$I$81,3,0)),0,VLOOKUP(A74,'Données projet'!$A$61:$I$81,3,0))</f>
        <v>6</v>
      </c>
      <c r="AQ74" s="15">
        <f>IF(ISNA(VLOOKUP(A74,'Données projet'!$A$61:$I$81,4,0)),0,VLOOKUP(A74,'Données projet'!$A$61:$I$81,4,0))</f>
        <v>52.07</v>
      </c>
      <c r="AR74" s="16">
        <f>IF(ISNA(VLOOKUP(A74,'Données projet'!$A$61:$I$81,5,0)),0%,VLOOKUP(A74,'Données projet'!$A$61:$I$81,5,0)*VLOOKUP('Données projet'!$B$10,Paramètres!$A$1:$I$89,7,0))</f>
        <v>0.43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115.58492839539792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115.58492839539792</v>
      </c>
      <c r="AY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9.4</v>
      </c>
      <c r="BD74" s="12">
        <f>IF('Données projet'!$A$88&gt;35,BD73+BC74-BL73,IF(A74&lt;'Données projet'!$A$88,$BA$205^A74,IF(A74='Données projet'!$A$88,'Données projet'!$B$88,BD73+BC74-BL73)))</f>
        <v>297.39999999999992</v>
      </c>
      <c r="BE74" s="13">
        <f>BD74*VLOOKUP('Données projet'!$B$11,Paramètres!$A$1:$I$89,3,0)*VLOOKUP('Données projet'!$B$11,Paramètres!$A$1:$I$89,5,0)</f>
        <v>255.16919999999996</v>
      </c>
      <c r="BF74" s="13">
        <f t="shared" si="91"/>
        <v>61.691525331424884</v>
      </c>
      <c r="BG74" s="20">
        <f t="shared" si="61"/>
        <v>551.86576328556498</v>
      </c>
      <c r="BH74" s="59">
        <f t="shared" si="62"/>
        <v>818.73844436361287</v>
      </c>
      <c r="BI74" s="59">
        <f ca="1">AVERAGE(OFFSET($BH$3,0,0,'Données projet'!$E$11+1,1))-AVERAGE(OFFSET($H$3,0,0,'Données projet'!$E$11+1,1))</f>
        <v>481.23392184981651</v>
      </c>
      <c r="BJ74" s="59">
        <f t="shared" si="92"/>
        <v>275.88160405468193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80.086950954275366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80.086950954275366</v>
      </c>
      <c r="BT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15.211111111111116</v>
      </c>
      <c r="BY74" s="12">
        <f>IF('Données projet'!$A$114&gt;35,BY73+BX74-CG73,IF(A74&lt;'Données projet'!$A$114,$BV$205^A74,IF(A74='Données projet'!$A$114,'Données projet'!$B$114,BY73+BX74-CG73)))</f>
        <v>428.52555555555494</v>
      </c>
      <c r="BZ74" s="13">
        <f>BY74*VLOOKUP('Données projet'!$B$12,Paramètres!$A$1:$I$89,3,0)*VLOOKUP('Données projet'!$B$12,Paramètres!$A$1:$I$89,5,0)</f>
        <v>200.54995999999971</v>
      </c>
      <c r="CA74" s="13">
        <f t="shared" si="93"/>
        <v>49.865012964548107</v>
      </c>
      <c r="CB74" s="20">
        <f t="shared" si="64"/>
        <v>436.13941124658749</v>
      </c>
      <c r="CC74" s="59">
        <f t="shared" si="65"/>
        <v>703.01209232463543</v>
      </c>
      <c r="CD74" s="59">
        <f ca="1">AVERAGE(OFFSET($CC$3,0,0,'Données projet'!$E$12+1,1))-AVERAGE(OFFSET($H$3,0,0,'Données projet'!$E$12+1,1))</f>
        <v>331.86732359395467</v>
      </c>
      <c r="CE74" s="59">
        <f t="shared" si="94"/>
        <v>208.64489375183106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94.447114965325</v>
      </c>
      <c r="CL74" s="21">
        <f>EXP(-LN(2)/25)*CL73+(1-EXP(-LN(2)/25))/(LN(2)/25)*Calculateur!CG74*Calculateur!CI74*VLOOKUP('Données projet'!$B$12,Paramètres!$A$1:$I$89,3,0)*0.475*44/12</f>
        <v>0</v>
      </c>
      <c r="CM74" s="21">
        <f>EXP(-LN(2)/2)*CM73+(1-EXP(-LN(2)/2))/(LN(2)/2)*CG74*CJ74*VLOOKUP('Données projet'!$B$12,Paramètres!$A$1:$I$89,3,0)*0.475*44/12</f>
        <v>0</v>
      </c>
      <c r="CN74" s="22">
        <f t="shared" si="66"/>
        <v>94.447114965325</v>
      </c>
      <c r="CO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4.2</v>
      </c>
      <c r="CT74" s="12">
        <f>IF('Données projet'!$A$140&gt;35,CT73+CS74-DB73,IF(A74&lt;'Données projet'!$A$140,$CQ$205^A74,IF(A74='Données projet'!$A$140,'Données projet'!$B$140,CT73+CS74-DB73)))</f>
        <v>307.19999999999993</v>
      </c>
      <c r="CU74" s="17">
        <f>CT74*VLOOKUP('Données projet'!$B$13,Paramètres!$A$1:$I$89,3,0)*VLOOKUP('Données projet'!$B$13,Paramètres!$A$1:$I$89,5,0)</f>
        <v>225.23903999999993</v>
      </c>
      <c r="CV74" s="13">
        <f t="shared" si="95"/>
        <v>55.252000822487368</v>
      </c>
      <c r="CW74" s="20">
        <f t="shared" si="67"/>
        <v>488.52189609916542</v>
      </c>
      <c r="CX74" s="59">
        <f t="shared" si="68"/>
        <v>755.39457717721336</v>
      </c>
      <c r="CY74" s="59">
        <f ca="1">AVERAGE(OFFSET($CX$3,0,0,'Données projet'!$E$13+1,1))-AVERAGE(OFFSET($H$3,0,0,'Données projet'!$E$13+1,1))</f>
        <v>352.45777291109863</v>
      </c>
      <c r="CZ74" s="59">
        <f t="shared" si="96"/>
        <v>340.92165104349181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38.400525236576762</v>
      </c>
      <c r="DG74" s="21">
        <f>EXP(-LN(2)/25)*DG73+(1-EXP(-LN(2)/25))/(LN(2)/25)*Calculateur!DB74*Calculateur!DD74*VLOOKUP('Données projet'!$B$13,Paramètres!$A$1:$I$89,3,0)*0.475*44/12</f>
        <v>0</v>
      </c>
      <c r="DH74" s="21">
        <f>EXP(-LN(2)/2)*DH73+(1-EXP(-LN(2)/2))/(LN(2)/2)*DB74*DE74*VLOOKUP('Données projet'!$B$13,Paramètres!$A$1:$I$89,3,0)*0.475*44/12</f>
        <v>0</v>
      </c>
      <c r="DI74" s="22">
        <f t="shared" si="69"/>
        <v>38.400525236576762</v>
      </c>
      <c r="DJ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>
        <f>VLOOKUP(A74,'Données projet'!$A$165:$I$185,2,0)</f>
        <v>348.69</v>
      </c>
      <c r="DM74" s="12">
        <f>VLOOKUP(A74,'Données projet'!$A$165:$I$185,9,0)</f>
        <v>11.28875</v>
      </c>
      <c r="DN74" s="12">
        <f t="array" ref="DN74">INDEX(DM:DM,MIN(IF(ISNUMBER(DM74:DM270),ROW(DM74:DM270),"")))</f>
        <v>11.28875</v>
      </c>
      <c r="DO74" s="12">
        <f>IF('Données projet'!$A$166&gt;35,DO73+DN74-DW73,IF(A74&lt;'Données projet'!$A$166,$DL$205^A74,IF(A74='Données projet'!$A$166,'Données projet'!$B$166,DO73+DN74-DW73)))</f>
        <v>348.68999999999994</v>
      </c>
      <c r="DP74" s="17">
        <f>DO74*VLOOKUP('Données projet'!$B$14,Paramètres!$A$1:$I$89,3,0)*VLOOKUP('Données projet'!$B$14,Paramètres!$A$1:$I$89,5,0)</f>
        <v>233.90125199999997</v>
      </c>
      <c r="DQ74" s="13">
        <f t="shared" si="97"/>
        <v>57.12539590138833</v>
      </c>
      <c r="DR74" s="20">
        <f t="shared" si="70"/>
        <v>506.87141176158457</v>
      </c>
      <c r="DS74" s="59">
        <f t="shared" si="71"/>
        <v>773.74409283963246</v>
      </c>
      <c r="DT74" s="59">
        <f ca="1">AVERAGE(OFFSET($DS$3,0,0,'Données projet'!$E$14+1,1))-AVERAGE(OFFSET($H$3,0,0,'Données projet'!$E$14+1,1))</f>
        <v>441.20130048888439</v>
      </c>
      <c r="DU74" s="59">
        <f t="shared" si="98"/>
        <v>237.47732532183946</v>
      </c>
      <c r="DV74" s="15">
        <f>IF(ISNA(VLOOKUP(A74,'Données projet'!$A$165:$I$185,3,0)),0,VLOOKUP(A74,'Données projet'!$A$165:$I$185,3,0))</f>
        <v>6</v>
      </c>
      <c r="DW74" s="15">
        <f>IF(ISNA(VLOOKUP(A74,'Données projet'!$A$165:$I$185,4,0)),0,VLOOKUP(A74,'Données projet'!$A$165:$I$185,4,0))</f>
        <v>52.07</v>
      </c>
      <c r="DX74" s="16">
        <f>IF(ISNA(VLOOKUP(A74,'Données projet'!$A$165:$I$185,5,0)),0%,VLOOKUP(A74,'Données projet'!$A$165:$I$185,5,0)*VLOOKUP('Données projet'!$B$14,Paramètres!$A$1:$I$89,7,0))</f>
        <v>0.53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94.246172383939864</v>
      </c>
      <c r="EB74" s="21">
        <f>EXP(-LN(2)/25)*EB73+(1-EXP(-LN(2)/25))/(LN(2)/25)*Calculateur!DW74*Calculateur!DY74*VLOOKUP('Données projet'!$B$14,Paramètres!$A$1:$I$89,3,0)*0.475*44/12</f>
        <v>0</v>
      </c>
      <c r="EC74" s="21">
        <f>EXP(-LN(2)/2)*EC73+(1-EXP(-LN(2)/2))/(LN(2)/2)*DW74*DZ74*VLOOKUP('Données projet'!$B$14,Paramètres!$A$1:$I$89,3,0)*0.475*44/12</f>
        <v>0</v>
      </c>
      <c r="ED74" s="22">
        <f t="shared" si="72"/>
        <v>94.246172383939864</v>
      </c>
      <c r="EE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4.2</v>
      </c>
      <c r="EJ74" s="12">
        <f>IF('Données projet'!$A$192&gt;35,EJ73+EI74-ER73,IF(A74&lt;'Données projet'!$A$192,$EG$205^A74,IF(A74='Données projet'!$A$192,'Données projet'!$B$192,EJ73+EI74-ER73)))</f>
        <v>307.19999999999993</v>
      </c>
      <c r="EK74" s="17">
        <f>EJ74*VLOOKUP('Données projet'!$B$15,Paramètres!$A$1:$I$89,3,0)*VLOOKUP('Données projet'!$B$15,Paramètres!$A$1:$I$89,5,0)</f>
        <v>244.40831999999995</v>
      </c>
      <c r="EL74" s="13">
        <f t="shared" si="99"/>
        <v>59.38699493610541</v>
      </c>
      <c r="EM74" s="20">
        <f t="shared" si="73"/>
        <v>529.11017351371675</v>
      </c>
      <c r="EN74" s="59">
        <f t="shared" si="74"/>
        <v>795.98285459176464</v>
      </c>
      <c r="EO74" s="59">
        <f ca="1">AVERAGE(OFFSET($EN$3,0,0,'Données projet'!$E$15+1,1))-AVERAGE(OFFSET($H$3,0,0,'Données projet'!$E$15+1,1))</f>
        <v>377.27600411578322</v>
      </c>
      <c r="EP74" s="59">
        <f t="shared" si="100"/>
        <v>364.58250627635425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>
        <f>EXP(-LN(2)/35)*EV73+(1-EXP(-LN(2)/35))/(LN(2)/35)*ER74*ES74*VLOOKUP('Données projet'!$B$15,Paramètres!$A$1:$I$89,3,0)*0.475*44/12</f>
        <v>51.359039937885704</v>
      </c>
      <c r="EW74" s="21">
        <f>EXP(-LN(2)/25)*EW73+(1-EXP(-LN(2)/25))/(LN(2)/25)*Calculateur!ER74*Calculateur!ET74*VLOOKUP('Données projet'!$B$15,Paramètres!$A$1:$I$89,3,0)*0.475*44/12</f>
        <v>0</v>
      </c>
      <c r="EX74" s="21">
        <f>EXP(-LN(2)/2)*EX73+(1-EXP(-LN(2)/2))/(LN(2)/2)*ER74*EU74*VLOOKUP('Données projet'!$B$15,Paramètres!$A$1:$I$89,3,0)*0.475*44/12</f>
        <v>0</v>
      </c>
      <c r="EY74" s="22">
        <f t="shared" si="75"/>
        <v>51.359039937885704</v>
      </c>
      <c r="EZ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4.2</v>
      </c>
      <c r="FE74" s="12">
        <f>IF('Données projet'!$A$218&gt;35,FE73+FD74-FM73,IF(A74&lt;'Données projet'!$A$218,$FB$205^A74,IF(A74='Données projet'!$A$218,'Données projet'!$B$218,FE73+FD74-FM73)))</f>
        <v>307.19999999999993</v>
      </c>
      <c r="FF74" s="17">
        <f>FE74*VLOOKUP('Données projet'!$B$16,Paramètres!$A$1:$I$89,3,0)*VLOOKUP('Données projet'!$B$16,Paramètres!$A$1:$I$89,5,0)</f>
        <v>249.20063999999996</v>
      </c>
      <c r="FG74" s="13">
        <f t="shared" si="101"/>
        <v>60.414738047899995</v>
      </c>
      <c r="FH74" s="20">
        <f t="shared" si="76"/>
        <v>539.24678343342578</v>
      </c>
      <c r="FI74" s="59">
        <f t="shared" si="77"/>
        <v>806.11946451147378</v>
      </c>
      <c r="FJ74" s="59">
        <f ca="1">AVERAGE(OFFSET($FI$3,0,0,'Données projet'!$E$16+1,1))-AVERAGE(OFFSET($H$3,0,0,'Données projet'!$E$16+1,1))</f>
        <v>383.47399633251354</v>
      </c>
      <c r="FK74" s="59">
        <f t="shared" si="102"/>
        <v>370.49129421395628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>
        <f>EXP(-LN(2)/35)*FQ73+(1-EXP(-LN(2)/35))/(LN(2)/35)*FM74*FN74*VLOOKUP('Données projet'!$B$16,Paramètres!$A$1:$I$89,3,0)*0.475*44/12</f>
        <v>52.366079936667816</v>
      </c>
      <c r="FR74" s="21">
        <f>EXP(-LN(2)/25)*FR73+(1-EXP(-LN(2)/25))/(LN(2)/25)*Calculateur!FM74*Calculateur!FO74*VLOOKUP('Données projet'!$B$16,Paramètres!$A$1:$I$89,3,0)*0.475*44/12</f>
        <v>0</v>
      </c>
      <c r="FS74" s="21">
        <f>EXP(-LN(2)/2)*FS73+(1-EXP(-LN(2)/2))/(LN(2)/2)*FM74*FP74*VLOOKUP('Données projet'!$B$16,Paramètres!$A$1:$I$89,3,0)*0.475*44/12</f>
        <v>0</v>
      </c>
      <c r="FT74" s="22">
        <f t="shared" si="78"/>
        <v>52.366079936667816</v>
      </c>
      <c r="FU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>
        <f>VLOOKUP(A74,'Données projet'!$A$243:$I$263,2,0)</f>
        <v>348.69</v>
      </c>
      <c r="FX74" s="12">
        <f>VLOOKUP(A74,'Données projet'!$A$243:$I$263,9,0)</f>
        <v>11.28875</v>
      </c>
      <c r="FY74" s="12">
        <f t="array" ref="FY74">INDEX(FX:FX,MIN(IF(ISNUMBER(FX74:FX270),ROW(FX74:FX270),"")))</f>
        <v>11.28875</v>
      </c>
      <c r="FZ74" s="12">
        <f>IF('Données projet'!$A$244&gt;35,FZ73+FY74-GH73,IF(A74&lt;'Données projet'!$A$244,$FW$205^A74,IF(A74='Données projet'!$A$244,'Données projet'!$B$244,FZ73+FY74-GH73)))</f>
        <v>348.68999999999994</v>
      </c>
      <c r="GA74" s="17">
        <f>FZ74*VLOOKUP('Données projet'!$B$17,Paramètres!$A$1:$I$89,3,0)*VLOOKUP('Données projet'!$B$17,Paramètres!$A$1:$I$89,5,0)</f>
        <v>331.81340399999993</v>
      </c>
      <c r="GB74" s="13">
        <f t="shared" si="103"/>
        <v>77.806152091723376</v>
      </c>
      <c r="GC74" s="20">
        <f t="shared" si="79"/>
        <v>713.42072685975143</v>
      </c>
      <c r="GD74" s="59">
        <f t="shared" si="80"/>
        <v>980.29340793779943</v>
      </c>
      <c r="GE74" s="59">
        <f ca="1">AVERAGE(OFFSET($GD$3,0,0,'Données projet'!$E$17+1,1))-AVERAGE(OFFSET($H$3,0,0,'Données projet'!$E$17+1,1))</f>
        <v>592.58528889137358</v>
      </c>
      <c r="GF74" s="59">
        <f t="shared" si="104"/>
        <v>311.31528020403709</v>
      </c>
      <c r="GG74" s="15">
        <f>IF(ISNA(VLOOKUP(A74,'Données projet'!$A$243:$I$263,3,0)),0,VLOOKUP(A74,'Données projet'!$A$243:$I$263,3,0))</f>
        <v>6</v>
      </c>
      <c r="GH74" s="15">
        <f>IF(ISNA(VLOOKUP(A74,'Données projet'!$A$243:$I$263,4,0)),0,VLOOKUP(A74,'Données projet'!$A$243:$I$263,4,0))</f>
        <v>52.07</v>
      </c>
      <c r="GI74" s="16">
        <f>IF(ISNA(VLOOKUP(A74,'Données projet'!$A$243:$I$263,5,0)),0%,VLOOKUP(A74,'Données projet'!$A$243:$I$263,5,0)*VLOOKUP('Données projet'!$B$17,Paramètres!$A$1:$I$89,7,0))</f>
        <v>0.43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>
        <f>EXP(-LN(2)/35)*GL73+(1-EXP(-LN(2)/35))/(LN(2)/35)*GH74*GI74*VLOOKUP('Données projet'!$B$17,Paramètres!$A$1:$I$89,3,0)*0.475*44/12</f>
        <v>108.47200972491193</v>
      </c>
      <c r="GM74" s="21">
        <f>EXP(-LN(2)/25)*GM73+(1-EXP(-LN(2)/25))/(LN(2)/25)*Calculateur!GH74*Calculateur!GJ74*VLOOKUP('Données projet'!$B$17,Paramètres!$A$1:$I$89,3,0)*0.475*44/12</f>
        <v>0</v>
      </c>
      <c r="GN74" s="21">
        <f>EXP(-LN(2)/2)*GN73+(1-EXP(-LN(2)/2))/(LN(2)/2)*GH74*GK74*VLOOKUP('Données projet'!$B$17,Paramètres!$A$1:$I$89,3,0)*0.475*44/12</f>
        <v>0</v>
      </c>
      <c r="GO74" s="21">
        <f t="shared" si="81"/>
        <v>108.47200972491193</v>
      </c>
      <c r="GP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328.00000000000006</v>
      </c>
      <c r="GV74" s="17">
        <f>GU74*VLOOKUP('Données projet'!$B$18,Paramètres!$A$1:$I$89,3,0)*VLOOKUP('Données projet'!$B$18,Paramètres!$A$1:$I$89,5,0)</f>
        <v>255.84000000000006</v>
      </c>
      <c r="GW74" s="13">
        <f t="shared" si="105"/>
        <v>61.834803371075836</v>
      </c>
      <c r="GX74" s="20">
        <f t="shared" si="82"/>
        <v>553.28361587129041</v>
      </c>
      <c r="GY74" s="59">
        <f t="shared" si="83"/>
        <v>820.15629694933841</v>
      </c>
      <c r="GZ74" s="59">
        <f ca="1">AVERAGE(OFFSET($GY$3,0,0,'Données projet'!$E$18+1,1))-AVERAGE(OFFSET($H$3,0,0,'Données projet'!$E$18+1,1))</f>
        <v>308.85018589589453</v>
      </c>
      <c r="HA74" s="59">
        <f t="shared" si="106"/>
        <v>302.59481222418219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>
        <f>EXP(-LN(2)/35)*HG73+(1-EXP(-LN(2)/35))/(LN(2)/35)*HC74*HD74*VLOOKUP('Données projet'!$B$18,Paramètres!$A$1:$I$89,3,0)*0.475*44/12</f>
        <v>48.423720140587314</v>
      </c>
      <c r="HH74" s="21">
        <f>EXP(-LN(2)/25)*HH73+(1-EXP(-LN(2)/25))/(LN(2)/25)*Calculateur!HC74*Calculateur!HE74*VLOOKUP('Données projet'!$B$18,Paramètres!$A$1:$I$89,3,0)*0.475*44/12</f>
        <v>0</v>
      </c>
      <c r="HI74" s="21">
        <f>EXP(-LN(2)/2)*HI73+(1-EXP(-LN(2)/2))/(LN(2)/2)*HC74*HF74*VLOOKUP('Données projet'!$B$18,Paramètres!$A$1:$I$89,3,0)*0.475*44/12</f>
        <v>0</v>
      </c>
      <c r="HJ74" s="22">
        <f t="shared" si="84"/>
        <v>48.423720140587314</v>
      </c>
    </row>
    <row r="75" spans="1:218" x14ac:dyDescent="0.35">
      <c r="A75" s="10">
        <f t="shared" si="85"/>
        <v>72</v>
      </c>
      <c r="B75" s="72">
        <f>'Scénario référence'!$B$16*5+'Scénario référence'!$B$17*0+'Scénario référence'!$B$18*5</f>
        <v>5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66">
        <f t="shared" si="56"/>
        <v>183.33333333333334</v>
      </c>
      <c r="I75" s="6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11.009999999999998</v>
      </c>
      <c r="N75" s="13">
        <f>IF('Données projet'!$A$36&gt;35,N74+M75-V74,IF(A75&lt;'Données projet'!$A$36,$K$205^A75,IF(A75='Données projet'!$A$36,'Données projet'!$B$36,N74+M75-V74)))</f>
        <v>307.62999999999994</v>
      </c>
      <c r="O75" s="13">
        <f>N75*VLOOKUP('Données projet'!$B$9,Paramètres!$A$1:$I$89,3,0)*VLOOKUP('Données projet'!$B$9,Paramètres!$A$1:$I$89,5,0)</f>
        <v>278.34362399999992</v>
      </c>
      <c r="P75" s="13">
        <f t="shared" si="87"/>
        <v>66.616848235919079</v>
      </c>
      <c r="Q75" s="20">
        <f t="shared" si="54"/>
        <v>600.80615581089216</v>
      </c>
      <c r="R75" s="59">
        <f t="shared" si="55"/>
        <v>868.13787004841333</v>
      </c>
      <c r="S75" s="59">
        <f ca="1">AVERAGE(OFFSET($R$3,0,0,'Données projet'!$E$9+1,1))-AVERAGE(OFFSET($H$3,0,0,'Données projet'!$E$9+1,1))</f>
        <v>567.42635821507474</v>
      </c>
      <c r="T75" s="59">
        <f t="shared" si="88"/>
        <v>299.04735309930152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101.11486077024209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101.11486077024209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11.009999999999998</v>
      </c>
      <c r="AI75" s="13">
        <f>IF('Données projet'!$A$62&gt;35,AI74+AH75-AQ74,IF(A75&lt;'Données projet'!$A$62,$AF$205^A75,IF(A75='Données projet'!$A$62,'Données projet'!$B$62,AI74+AH75-AQ74)))</f>
        <v>307.62999999999994</v>
      </c>
      <c r="AJ75" s="13">
        <f>AI75*VLOOKUP('Données projet'!$B$10,Paramètres!$A$1:$I$89,3,0)*VLOOKUP('Données projet'!$B$10,Paramètres!$A$1:$I$89,5,0)</f>
        <v>311.93681999999995</v>
      </c>
      <c r="AK75" s="13">
        <f t="shared" si="89"/>
        <v>73.673168536358688</v>
      </c>
      <c r="AL75" s="20">
        <f t="shared" si="58"/>
        <v>671.60406336749122</v>
      </c>
      <c r="AM75" s="59">
        <f t="shared" si="59"/>
        <v>938.93577760501239</v>
      </c>
      <c r="AN75" s="59">
        <f ca="1">AVERAGE(OFFSET($AM$3,0,0,'Données projet'!$E$10+1,1))-AVERAGE(OFFSET($H$3,0,0,'Données projet'!$E$10+1,1))</f>
        <v>626.09203985591455</v>
      </c>
      <c r="AO75" s="59">
        <f t="shared" si="90"/>
        <v>327.65191296575199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113.31837844940921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113.31837844940921</v>
      </c>
      <c r="AY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9.4</v>
      </c>
      <c r="BD75" s="12">
        <f>IF('Données projet'!$A$88&gt;35,BD74+BC75-BL74,IF(A75&lt;'Données projet'!$A$88,$BA$205^A75,IF(A75='Données projet'!$A$88,'Données projet'!$B$88,BD74+BC75-BL74)))</f>
        <v>306.7999999999999</v>
      </c>
      <c r="BE75" s="13">
        <f>BD75*VLOOKUP('Données projet'!$B$11,Paramètres!$A$1:$I$89,3,0)*VLOOKUP('Données projet'!$B$11,Paramètres!$A$1:$I$89,5,0)</f>
        <v>263.23439999999994</v>
      </c>
      <c r="BF75" s="13">
        <f t="shared" si="91"/>
        <v>63.411324464279403</v>
      </c>
      <c r="BG75" s="20">
        <f t="shared" si="61"/>
        <v>568.90797010861979</v>
      </c>
      <c r="BH75" s="59">
        <f t="shared" si="62"/>
        <v>836.23968434614085</v>
      </c>
      <c r="BI75" s="59">
        <f ca="1">AVERAGE(OFFSET($BH$3,0,0,'Données projet'!$E$11+1,1))-AVERAGE(OFFSET($H$3,0,0,'Données projet'!$E$11+1,1))</f>
        <v>481.23392184981651</v>
      </c>
      <c r="BJ75" s="59">
        <f t="shared" si="92"/>
        <v>275.88160405468193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78.516494694278748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78.516494694278748</v>
      </c>
      <c r="BT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15.211111111111116</v>
      </c>
      <c r="BY75" s="12">
        <f>IF('Données projet'!$A$114&gt;35,BY74+BX75-CG74,IF(A75&lt;'Données projet'!$A$114,$BV$205^A75,IF(A75='Données projet'!$A$114,'Données projet'!$B$114,BY74+BX75-CG74)))</f>
        <v>443.73666666666605</v>
      </c>
      <c r="BZ75" s="13">
        <f>BY75*VLOOKUP('Données projet'!$B$12,Paramètres!$A$1:$I$89,3,0)*VLOOKUP('Données projet'!$B$12,Paramètres!$A$1:$I$89,5,0)</f>
        <v>207.66875999999974</v>
      </c>
      <c r="CA75" s="13">
        <f t="shared" si="93"/>
        <v>51.425820598587329</v>
      </c>
      <c r="CB75" s="20">
        <f t="shared" si="64"/>
        <v>451.25639454253911</v>
      </c>
      <c r="CC75" s="59">
        <f t="shared" si="65"/>
        <v>718.58810878006022</v>
      </c>
      <c r="CD75" s="59">
        <f ca="1">AVERAGE(OFFSET($CC$3,0,0,'Données projet'!$E$12+1,1))-AVERAGE(OFFSET($H$3,0,0,'Données projet'!$E$12+1,1))</f>
        <v>331.86732359395467</v>
      </c>
      <c r="CE75" s="59">
        <f t="shared" si="94"/>
        <v>208.64489375183106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92.595064647906881</v>
      </c>
      <c r="CL75" s="21">
        <f>EXP(-LN(2)/25)*CL74+(1-EXP(-LN(2)/25))/(LN(2)/25)*Calculateur!CG75*Calculateur!CI75*VLOOKUP('Données projet'!$B$12,Paramètres!$A$1:$I$89,3,0)*0.475*44/12</f>
        <v>0</v>
      </c>
      <c r="CM75" s="21">
        <f>EXP(-LN(2)/2)*CM74+(1-EXP(-LN(2)/2))/(LN(2)/2)*CG75*CJ75*VLOOKUP('Données projet'!$B$12,Paramètres!$A$1:$I$89,3,0)*0.475*44/12</f>
        <v>0</v>
      </c>
      <c r="CN75" s="22">
        <f t="shared" si="66"/>
        <v>92.595064647906881</v>
      </c>
      <c r="CO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4.2</v>
      </c>
      <c r="CT75" s="12">
        <f>IF('Données projet'!$A$140&gt;35,CT74+CS75-DB74,IF(A75&lt;'Données projet'!$A$140,$CQ$205^A75,IF(A75='Données projet'!$A$140,'Données projet'!$B$140,CT74+CS75-DB74)))</f>
        <v>311.39999999999992</v>
      </c>
      <c r="CU75" s="17">
        <f>CT75*VLOOKUP('Données projet'!$B$13,Paramètres!$A$1:$I$89,3,0)*VLOOKUP('Données projet'!$B$13,Paramètres!$A$1:$I$89,5,0)</f>
        <v>228.31847999999994</v>
      </c>
      <c r="CV75" s="13">
        <f t="shared" si="95"/>
        <v>55.918942466546987</v>
      </c>
      <c r="CW75" s="20">
        <f t="shared" si="67"/>
        <v>495.04684412923598</v>
      </c>
      <c r="CX75" s="59">
        <f t="shared" si="68"/>
        <v>762.37855836675703</v>
      </c>
      <c r="CY75" s="59">
        <f ca="1">AVERAGE(OFFSET($CX$3,0,0,'Données projet'!$E$13+1,1))-AVERAGE(OFFSET($H$3,0,0,'Données projet'!$E$13+1,1))</f>
        <v>352.45777291109863</v>
      </c>
      <c r="CZ75" s="59">
        <f t="shared" si="96"/>
        <v>340.92165104349181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37.647514358695155</v>
      </c>
      <c r="DG75" s="21">
        <f>EXP(-LN(2)/25)*DG74+(1-EXP(-LN(2)/25))/(LN(2)/25)*Calculateur!DB75*Calculateur!DD75*VLOOKUP('Données projet'!$B$13,Paramètres!$A$1:$I$89,3,0)*0.475*44/12</f>
        <v>0</v>
      </c>
      <c r="DH75" s="21">
        <f>EXP(-LN(2)/2)*DH74+(1-EXP(-LN(2)/2))/(LN(2)/2)*DB75*DE75*VLOOKUP('Données projet'!$B$13,Paramètres!$A$1:$I$89,3,0)*0.475*44/12</f>
        <v>0</v>
      </c>
      <c r="DI75" s="22">
        <f t="shared" si="69"/>
        <v>37.647514358695155</v>
      </c>
      <c r="DJ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11.009999999999998</v>
      </c>
      <c r="DO75" s="12">
        <f>IF('Données projet'!$A$166&gt;35,DO74+DN75-DW74,IF(A75&lt;'Données projet'!$A$166,$DL$205^A75,IF(A75='Données projet'!$A$166,'Données projet'!$B$166,DO74+DN75-DW74)))</f>
        <v>307.62999999999994</v>
      </c>
      <c r="DP75" s="17">
        <f>DO75*VLOOKUP('Données projet'!$B$14,Paramètres!$A$1:$I$89,3,0)*VLOOKUP('Données projet'!$B$14,Paramètres!$A$1:$I$89,5,0)</f>
        <v>206.35820399999997</v>
      </c>
      <c r="DQ75" s="13">
        <f t="shared" si="97"/>
        <v>51.138953190944207</v>
      </c>
      <c r="DR75" s="20">
        <f t="shared" si="70"/>
        <v>448.47421544089434</v>
      </c>
      <c r="DS75" s="59">
        <f t="shared" si="71"/>
        <v>715.8059296784154</v>
      </c>
      <c r="DT75" s="59">
        <f ca="1">AVERAGE(OFFSET($DS$3,0,0,'Données projet'!$E$14+1,1))-AVERAGE(OFFSET($H$3,0,0,'Données projet'!$E$14+1,1))</f>
        <v>441.20130048888439</v>
      </c>
      <c r="DU75" s="59">
        <f t="shared" si="98"/>
        <v>237.47732532183946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92.398062427979838</v>
      </c>
      <c r="EB75" s="21">
        <f>EXP(-LN(2)/25)*EB74+(1-EXP(-LN(2)/25))/(LN(2)/25)*Calculateur!DW75*Calculateur!DY75*VLOOKUP('Données projet'!$B$14,Paramètres!$A$1:$I$89,3,0)*0.475*44/12</f>
        <v>0</v>
      </c>
      <c r="EC75" s="21">
        <f>EXP(-LN(2)/2)*EC74+(1-EXP(-LN(2)/2))/(LN(2)/2)*DW75*DZ75*VLOOKUP('Données projet'!$B$14,Paramètres!$A$1:$I$89,3,0)*0.475*44/12</f>
        <v>0</v>
      </c>
      <c r="ED75" s="22">
        <f t="shared" si="72"/>
        <v>92.398062427979838</v>
      </c>
      <c r="EE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4.2</v>
      </c>
      <c r="EJ75" s="12">
        <f>IF('Données projet'!$A$192&gt;35,EJ74+EI75-ER74,IF(A75&lt;'Données projet'!$A$192,$EG$205^A75,IF(A75='Données projet'!$A$192,'Données projet'!$B$192,EJ74+EI75-ER74)))</f>
        <v>311.39999999999992</v>
      </c>
      <c r="EK75" s="17">
        <f>EJ75*VLOOKUP('Données projet'!$B$15,Paramètres!$A$1:$I$89,3,0)*VLOOKUP('Données projet'!$B$15,Paramètres!$A$1:$I$89,5,0)</f>
        <v>247.74983999999995</v>
      </c>
      <c r="EL75" s="13">
        <f t="shared" si="99"/>
        <v>60.103849700617872</v>
      </c>
      <c r="EM75" s="20">
        <f t="shared" si="73"/>
        <v>536.17850956190932</v>
      </c>
      <c r="EN75" s="59">
        <f t="shared" si="74"/>
        <v>803.51022379943038</v>
      </c>
      <c r="EO75" s="59">
        <f ca="1">AVERAGE(OFFSET($EN$3,0,0,'Données projet'!$E$15+1,1))-AVERAGE(OFFSET($H$3,0,0,'Données projet'!$E$15+1,1))</f>
        <v>377.27600411578322</v>
      </c>
      <c r="EP75" s="59">
        <f t="shared" si="100"/>
        <v>364.58250627635425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>
        <f>EXP(-LN(2)/35)*EV74+(1-EXP(-LN(2)/35))/(LN(2)/35)*ER75*ES75*VLOOKUP('Données projet'!$B$15,Paramètres!$A$1:$I$89,3,0)*0.475*44/12</f>
        <v>50.351920490624948</v>
      </c>
      <c r="EW75" s="21">
        <f>EXP(-LN(2)/25)*EW74+(1-EXP(-LN(2)/25))/(LN(2)/25)*Calculateur!ER75*Calculateur!ET75*VLOOKUP('Données projet'!$B$15,Paramètres!$A$1:$I$89,3,0)*0.475*44/12</f>
        <v>0</v>
      </c>
      <c r="EX75" s="21">
        <f>EXP(-LN(2)/2)*EX74+(1-EXP(-LN(2)/2))/(LN(2)/2)*ER75*EU75*VLOOKUP('Données projet'!$B$15,Paramètres!$A$1:$I$89,3,0)*0.475*44/12</f>
        <v>0</v>
      </c>
      <c r="EY75" s="22">
        <f t="shared" si="75"/>
        <v>50.351920490624948</v>
      </c>
      <c r="EZ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4.2</v>
      </c>
      <c r="FE75" s="12">
        <f>IF('Données projet'!$A$218&gt;35,FE74+FD75-FM74,IF(A75&lt;'Données projet'!$A$218,$FB$205^A75,IF(A75='Données projet'!$A$218,'Données projet'!$B$218,FE74+FD75-FM74)))</f>
        <v>311.39999999999992</v>
      </c>
      <c r="FF75" s="17">
        <f>FE75*VLOOKUP('Données projet'!$B$16,Paramètres!$A$1:$I$89,3,0)*VLOOKUP('Données projet'!$B$16,Paramètres!$A$1:$I$89,5,0)</f>
        <v>252.60767999999996</v>
      </c>
      <c r="FG75" s="13">
        <f t="shared" si="101"/>
        <v>61.143998601713257</v>
      </c>
      <c r="FH75" s="20">
        <f t="shared" si="76"/>
        <v>546.4508402313171</v>
      </c>
      <c r="FI75" s="59">
        <f t="shared" si="77"/>
        <v>813.78255446883827</v>
      </c>
      <c r="FJ75" s="59">
        <f ca="1">AVERAGE(OFFSET($FI$3,0,0,'Données projet'!$E$16+1,1))-AVERAGE(OFFSET($H$3,0,0,'Données projet'!$E$16+1,1))</f>
        <v>383.47399633251354</v>
      </c>
      <c r="FK75" s="59">
        <f t="shared" si="102"/>
        <v>370.49129421395628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>
        <f>EXP(-LN(2)/35)*FQ74+(1-EXP(-LN(2)/35))/(LN(2)/35)*FM75*FN75*VLOOKUP('Données projet'!$B$16,Paramètres!$A$1:$I$89,3,0)*0.475*44/12</f>
        <v>51.339213049264693</v>
      </c>
      <c r="FR75" s="21">
        <f>EXP(-LN(2)/25)*FR74+(1-EXP(-LN(2)/25))/(LN(2)/25)*Calculateur!FM75*Calculateur!FO75*VLOOKUP('Données projet'!$B$16,Paramètres!$A$1:$I$89,3,0)*0.475*44/12</f>
        <v>0</v>
      </c>
      <c r="FS75" s="21">
        <f>EXP(-LN(2)/2)*FS74+(1-EXP(-LN(2)/2))/(LN(2)/2)*FM75*FP75*VLOOKUP('Données projet'!$B$16,Paramètres!$A$1:$I$89,3,0)*0.475*44/12</f>
        <v>0</v>
      </c>
      <c r="FT75" s="22">
        <f t="shared" si="78"/>
        <v>51.339213049264693</v>
      </c>
      <c r="FU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11.009999999999998</v>
      </c>
      <c r="FZ75" s="12">
        <f>IF('Données projet'!$A$244&gt;35,FZ74+FY75-GH74,IF(A75&lt;'Données projet'!$A$244,$FW$205^A75,IF(A75='Données projet'!$A$244,'Données projet'!$B$244,FZ74+FY75-GH74)))</f>
        <v>307.62999999999994</v>
      </c>
      <c r="GA75" s="17">
        <f>FZ75*VLOOKUP('Données projet'!$B$17,Paramètres!$A$1:$I$89,3,0)*VLOOKUP('Données projet'!$B$17,Paramètres!$A$1:$I$89,5,0)</f>
        <v>292.74070799999993</v>
      </c>
      <c r="GB75" s="13">
        <f t="shared" si="103"/>
        <v>69.652474298028039</v>
      </c>
      <c r="GC75" s="20">
        <f t="shared" si="79"/>
        <v>631.16812583573198</v>
      </c>
      <c r="GD75" s="59">
        <f t="shared" si="80"/>
        <v>898.49984007325315</v>
      </c>
      <c r="GE75" s="59">
        <f ca="1">AVERAGE(OFFSET($GD$3,0,0,'Données projet'!$E$17+1,1))-AVERAGE(OFFSET($H$3,0,0,'Données projet'!$E$17+1,1))</f>
        <v>592.58528889137358</v>
      </c>
      <c r="GF75" s="59">
        <f t="shared" si="104"/>
        <v>311.31528020403709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>
        <f>EXP(-LN(2)/35)*GL74+(1-EXP(-LN(2)/35))/(LN(2)/35)*GH75*GI75*VLOOKUP('Données projet'!$B$17,Paramètres!$A$1:$I$89,3,0)*0.475*44/12</f>
        <v>106.34493977559944</v>
      </c>
      <c r="GM75" s="21">
        <f>EXP(-LN(2)/25)*GM74+(1-EXP(-LN(2)/25))/(LN(2)/25)*Calculateur!GH75*Calculateur!GJ75*VLOOKUP('Données projet'!$B$17,Paramètres!$A$1:$I$89,3,0)*0.475*44/12</f>
        <v>0</v>
      </c>
      <c r="GN75" s="21">
        <f>EXP(-LN(2)/2)*GN74+(1-EXP(-LN(2)/2))/(LN(2)/2)*GH75*GK75*VLOOKUP('Données projet'!$B$17,Paramètres!$A$1:$I$89,3,0)*0.475*44/12</f>
        <v>0</v>
      </c>
      <c r="GO75" s="21">
        <f t="shared" si="81"/>
        <v>106.34493977559944</v>
      </c>
      <c r="GP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328.00000000000006</v>
      </c>
      <c r="GV75" s="17">
        <f>GU75*VLOOKUP('Données projet'!$B$18,Paramètres!$A$1:$I$89,3,0)*VLOOKUP('Données projet'!$B$18,Paramètres!$A$1:$I$89,5,0)</f>
        <v>255.84000000000006</v>
      </c>
      <c r="GW75" s="13">
        <f t="shared" si="105"/>
        <v>61.834803371075836</v>
      </c>
      <c r="GX75" s="20">
        <f t="shared" si="82"/>
        <v>553.28361587129041</v>
      </c>
      <c r="GY75" s="59">
        <f t="shared" si="83"/>
        <v>820.61533010881158</v>
      </c>
      <c r="GZ75" s="59">
        <f ca="1">AVERAGE(OFFSET($GY$3,0,0,'Données projet'!$E$18+1,1))-AVERAGE(OFFSET($H$3,0,0,'Données projet'!$E$18+1,1))</f>
        <v>308.85018589589453</v>
      </c>
      <c r="HA75" s="59">
        <f t="shared" si="106"/>
        <v>302.59481222418219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>
        <f>EXP(-LN(2)/35)*HG74+(1-EXP(-LN(2)/35))/(LN(2)/35)*HC75*HD75*VLOOKUP('Données projet'!$B$18,Paramètres!$A$1:$I$89,3,0)*0.475*44/12</f>
        <v>47.47416052418329</v>
      </c>
      <c r="HH75" s="21">
        <f>EXP(-LN(2)/25)*HH74+(1-EXP(-LN(2)/25))/(LN(2)/25)*Calculateur!HC75*Calculateur!HE75*VLOOKUP('Données projet'!$B$18,Paramètres!$A$1:$I$89,3,0)*0.475*44/12</f>
        <v>0</v>
      </c>
      <c r="HI75" s="21">
        <f>EXP(-LN(2)/2)*HI74+(1-EXP(-LN(2)/2))/(LN(2)/2)*HC75*HF75*VLOOKUP('Données projet'!$B$18,Paramètres!$A$1:$I$89,3,0)*0.475*44/12</f>
        <v>0</v>
      </c>
      <c r="HJ75" s="22">
        <f t="shared" si="84"/>
        <v>47.47416052418329</v>
      </c>
    </row>
    <row r="76" spans="1:218" x14ac:dyDescent="0.35">
      <c r="A76" s="10">
        <f t="shared" si="85"/>
        <v>73</v>
      </c>
      <c r="B76" s="72">
        <f>'Scénario référence'!$B$16*5+'Scénario référence'!$B$17*0+'Scénario référence'!$B$18*5</f>
        <v>5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66">
        <f t="shared" si="56"/>
        <v>183.33333333333334</v>
      </c>
      <c r="I76" s="6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11.009999999999998</v>
      </c>
      <c r="N76" s="13">
        <f>IF('Données projet'!$A$36&gt;35,N75+M76-V75,IF(A76&lt;'Données projet'!$A$36,$K$205^A76,IF(A76='Données projet'!$A$36,'Données projet'!$B$36,N75+M76-V75)))</f>
        <v>318.63999999999993</v>
      </c>
      <c r="O76" s="13">
        <f>N76*VLOOKUP('Données projet'!$B$9,Paramètres!$A$1:$I$89,3,0)*VLOOKUP('Données projet'!$B$9,Paramètres!$A$1:$I$89,5,0)</f>
        <v>288.30547199999995</v>
      </c>
      <c r="P76" s="13">
        <f t="shared" si="87"/>
        <v>68.719196733788849</v>
      </c>
      <c r="Q76" s="20">
        <f t="shared" si="54"/>
        <v>621.81796471134874</v>
      </c>
      <c r="R76" s="59">
        <f t="shared" si="55"/>
        <v>889.60074890927058</v>
      </c>
      <c r="S76" s="59">
        <f ca="1">AVERAGE(OFFSET($R$3,0,0,'Données projet'!$E$9+1,1))-AVERAGE(OFFSET($H$3,0,0,'Données projet'!$E$9+1,1))</f>
        <v>567.42635821507474</v>
      </c>
      <c r="T76" s="59">
        <f t="shared" si="88"/>
        <v>299.04735309930152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99.13206002451291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99.13206002451291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11.009999999999998</v>
      </c>
      <c r="AI76" s="13">
        <f>IF('Données projet'!$A$62&gt;35,AI75+AH76-AQ75,IF(A76&lt;'Données projet'!$A$62,$AF$205^A76,IF(A76='Données projet'!$A$62,'Données projet'!$B$62,AI75+AH76-AQ75)))</f>
        <v>318.63999999999993</v>
      </c>
      <c r="AJ76" s="13">
        <f>AI76*VLOOKUP('Données projet'!$B$10,Paramètres!$A$1:$I$89,3,0)*VLOOKUP('Données projet'!$B$10,Paramètres!$A$1:$I$89,5,0)</f>
        <v>323.10095999999993</v>
      </c>
      <c r="AK76" s="13">
        <f t="shared" si="89"/>
        <v>75.998206110294873</v>
      </c>
      <c r="AL76" s="20">
        <f t="shared" si="58"/>
        <v>695.09771430876344</v>
      </c>
      <c r="AM76" s="59">
        <f t="shared" si="59"/>
        <v>962.88049850668517</v>
      </c>
      <c r="AN76" s="59">
        <f ca="1">AVERAGE(OFFSET($AM$3,0,0,'Données projet'!$E$10+1,1))-AVERAGE(OFFSET($H$3,0,0,'Données projet'!$E$10+1,1))</f>
        <v>626.09203985591455</v>
      </c>
      <c r="AO76" s="59">
        <f t="shared" si="90"/>
        <v>327.65191296575199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111.09627416540238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111.09627416540238</v>
      </c>
      <c r="AY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9.4</v>
      </c>
      <c r="BD76" s="12">
        <f>IF('Données projet'!$A$88&gt;35,BD75+BC76-BL75,IF(A76&lt;'Données projet'!$A$88,$BA$205^A76,IF(A76='Données projet'!$A$88,'Données projet'!$B$88,BD75+BC76-BL75)))</f>
        <v>316.19999999999987</v>
      </c>
      <c r="BE76" s="13">
        <f>BD76*VLOOKUP('Données projet'!$B$11,Paramètres!$A$1:$I$89,3,0)*VLOOKUP('Données projet'!$B$11,Paramètres!$A$1:$I$89,5,0)</f>
        <v>271.29959999999994</v>
      </c>
      <c r="BF76" s="13">
        <f t="shared" si="91"/>
        <v>65.125000081857877</v>
      </c>
      <c r="BG76" s="20">
        <f t="shared" si="61"/>
        <v>585.93951180923568</v>
      </c>
      <c r="BH76" s="59">
        <f t="shared" si="62"/>
        <v>853.72229600715741</v>
      </c>
      <c r="BI76" s="59">
        <f ca="1">AVERAGE(OFFSET($BH$3,0,0,'Données projet'!$E$11+1,1))-AVERAGE(OFFSET($H$3,0,0,'Données projet'!$E$11+1,1))</f>
        <v>481.23392184981651</v>
      </c>
      <c r="BJ76" s="59">
        <f t="shared" si="92"/>
        <v>275.88160405468193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76.976834123656928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76.976834123656928</v>
      </c>
      <c r="BT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15.211111111111116</v>
      </c>
      <c r="BY76" s="12">
        <f>IF('Données projet'!$A$114&gt;35,BY75+BX76-CG75,IF(A76&lt;'Données projet'!$A$114,$BV$205^A76,IF(A76='Données projet'!$A$114,'Données projet'!$B$114,BY75+BX76-CG75)))</f>
        <v>458.94777777777716</v>
      </c>
      <c r="BZ76" s="13">
        <f>BY76*VLOOKUP('Données projet'!$B$12,Paramètres!$A$1:$I$89,3,0)*VLOOKUP('Données projet'!$B$12,Paramètres!$A$1:$I$89,5,0)</f>
        <v>214.78755999999973</v>
      </c>
      <c r="CA76" s="13">
        <f t="shared" si="93"/>
        <v>52.980411507236902</v>
      </c>
      <c r="CB76" s="20">
        <f t="shared" si="64"/>
        <v>466.36255037510381</v>
      </c>
      <c r="CC76" s="59">
        <f t="shared" si="65"/>
        <v>734.14533457302559</v>
      </c>
      <c r="CD76" s="59">
        <f ca="1">AVERAGE(OFFSET($CC$3,0,0,'Données projet'!$E$12+1,1))-AVERAGE(OFFSET($H$3,0,0,'Données projet'!$E$12+1,1))</f>
        <v>331.86732359395467</v>
      </c>
      <c r="CE76" s="59">
        <f t="shared" si="94"/>
        <v>208.64489375183106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90.779331907574175</v>
      </c>
      <c r="CL76" s="21">
        <f>EXP(-LN(2)/25)*CL75+(1-EXP(-LN(2)/25))/(LN(2)/25)*Calculateur!CG76*Calculateur!CI76*VLOOKUP('Données projet'!$B$12,Paramètres!$A$1:$I$89,3,0)*0.475*44/12</f>
        <v>0</v>
      </c>
      <c r="CM76" s="21">
        <f>EXP(-LN(2)/2)*CM75+(1-EXP(-LN(2)/2))/(LN(2)/2)*CG76*CJ76*VLOOKUP('Données projet'!$B$12,Paramètres!$A$1:$I$89,3,0)*0.475*44/12</f>
        <v>0</v>
      </c>
      <c r="CN76" s="22">
        <f t="shared" si="66"/>
        <v>90.779331907574175</v>
      </c>
      <c r="CO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4.2</v>
      </c>
      <c r="CT76" s="12">
        <f>IF('Données projet'!$A$140&gt;35,CT75+CS76-DB75,IF(A76&lt;'Données projet'!$A$140,$CQ$205^A76,IF(A76='Données projet'!$A$140,'Données projet'!$B$140,CT75+CS76-DB75)))</f>
        <v>315.59999999999991</v>
      </c>
      <c r="CU76" s="17">
        <f>CT76*VLOOKUP('Données projet'!$B$13,Paramètres!$A$1:$I$89,3,0)*VLOOKUP('Données projet'!$B$13,Paramètres!$A$1:$I$89,5,0)</f>
        <v>231.39791999999991</v>
      </c>
      <c r="CV76" s="13">
        <f t="shared" si="95"/>
        <v>56.584837838715806</v>
      </c>
      <c r="CW76" s="20">
        <f t="shared" si="67"/>
        <v>501.56996990242982</v>
      </c>
      <c r="CX76" s="59">
        <f t="shared" si="68"/>
        <v>769.3527541003516</v>
      </c>
      <c r="CY76" s="59">
        <f ca="1">AVERAGE(OFFSET($CX$3,0,0,'Données projet'!$E$13+1,1))-AVERAGE(OFFSET($H$3,0,0,'Données projet'!$E$13+1,1))</f>
        <v>352.45777291109863</v>
      </c>
      <c r="CZ76" s="59">
        <f t="shared" si="96"/>
        <v>340.92165104349181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36.909269564837523</v>
      </c>
      <c r="DG76" s="21">
        <f>EXP(-LN(2)/25)*DG75+(1-EXP(-LN(2)/25))/(LN(2)/25)*Calculateur!DB76*Calculateur!DD76*VLOOKUP('Données projet'!$B$13,Paramètres!$A$1:$I$89,3,0)*0.475*44/12</f>
        <v>0</v>
      </c>
      <c r="DH76" s="21">
        <f>EXP(-LN(2)/2)*DH75+(1-EXP(-LN(2)/2))/(LN(2)/2)*DB76*DE76*VLOOKUP('Données projet'!$B$13,Paramètres!$A$1:$I$89,3,0)*0.475*44/12</f>
        <v>0</v>
      </c>
      <c r="DI76" s="22">
        <f t="shared" si="69"/>
        <v>36.909269564837523</v>
      </c>
      <c r="DJ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11.009999999999998</v>
      </c>
      <c r="DO76" s="12">
        <f>IF('Données projet'!$A$166&gt;35,DO75+DN76-DW75,IF(A76&lt;'Données projet'!$A$166,$DL$205^A76,IF(A76='Données projet'!$A$166,'Données projet'!$B$166,DO75+DN76-DW75)))</f>
        <v>318.63999999999993</v>
      </c>
      <c r="DP76" s="17">
        <f>DO76*VLOOKUP('Données projet'!$B$14,Paramètres!$A$1:$I$89,3,0)*VLOOKUP('Données projet'!$B$14,Paramètres!$A$1:$I$89,5,0)</f>
        <v>213.74371199999996</v>
      </c>
      <c r="DQ76" s="13">
        <f t="shared" si="97"/>
        <v>52.752837730225643</v>
      </c>
      <c r="DR76" s="20">
        <f t="shared" si="70"/>
        <v>464.14815744680953</v>
      </c>
      <c r="DS76" s="59">
        <f t="shared" si="71"/>
        <v>731.93094164473132</v>
      </c>
      <c r="DT76" s="59">
        <f ca="1">AVERAGE(OFFSET($DS$3,0,0,'Données projet'!$E$14+1,1))-AVERAGE(OFFSET($H$3,0,0,'Données projet'!$E$14+1,1))</f>
        <v>441.20130048888439</v>
      </c>
      <c r="DU76" s="59">
        <f t="shared" si="98"/>
        <v>237.47732532183946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90.586192781020415</v>
      </c>
      <c r="EB76" s="21">
        <f>EXP(-LN(2)/25)*EB75+(1-EXP(-LN(2)/25))/(LN(2)/25)*Calculateur!DW76*Calculateur!DY76*VLOOKUP('Données projet'!$B$14,Paramètres!$A$1:$I$89,3,0)*0.475*44/12</f>
        <v>0</v>
      </c>
      <c r="EC76" s="21">
        <f>EXP(-LN(2)/2)*EC75+(1-EXP(-LN(2)/2))/(LN(2)/2)*DW76*DZ76*VLOOKUP('Données projet'!$B$14,Paramètres!$A$1:$I$89,3,0)*0.475*44/12</f>
        <v>0</v>
      </c>
      <c r="ED76" s="22">
        <f t="shared" si="72"/>
        <v>90.586192781020415</v>
      </c>
      <c r="EE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4.2</v>
      </c>
      <c r="EJ76" s="12">
        <f>IF('Données projet'!$A$192&gt;35,EJ75+EI76-ER75,IF(A76&lt;'Données projet'!$A$192,$EG$205^A76,IF(A76='Données projet'!$A$192,'Données projet'!$B$192,EJ75+EI76-ER75)))</f>
        <v>315.59999999999991</v>
      </c>
      <c r="EK76" s="17">
        <f>EJ76*VLOOKUP('Données projet'!$B$15,Paramètres!$A$1:$I$89,3,0)*VLOOKUP('Données projet'!$B$15,Paramètres!$A$1:$I$89,5,0)</f>
        <v>251.09135999999995</v>
      </c>
      <c r="EL76" s="13">
        <f t="shared" si="99"/>
        <v>60.81957989149403</v>
      </c>
      <c r="EM76" s="20">
        <f t="shared" si="73"/>
        <v>543.24488697768527</v>
      </c>
      <c r="EN76" s="59">
        <f t="shared" si="74"/>
        <v>811.02767117560711</v>
      </c>
      <c r="EO76" s="59">
        <f ca="1">AVERAGE(OFFSET($EN$3,0,0,'Données projet'!$E$15+1,1))-AVERAGE(OFFSET($H$3,0,0,'Données projet'!$E$15+1,1))</f>
        <v>377.27600411578322</v>
      </c>
      <c r="EP76" s="59">
        <f t="shared" si="100"/>
        <v>364.58250627635425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>
        <f>EXP(-LN(2)/35)*EV75+(1-EXP(-LN(2)/35))/(LN(2)/35)*ER76*ES76*VLOOKUP('Données projet'!$B$15,Paramètres!$A$1:$I$89,3,0)*0.475*44/12</f>
        <v>49.364550041442769</v>
      </c>
      <c r="EW76" s="21">
        <f>EXP(-LN(2)/25)*EW75+(1-EXP(-LN(2)/25))/(LN(2)/25)*Calculateur!ER76*Calculateur!ET76*VLOOKUP('Données projet'!$B$15,Paramètres!$A$1:$I$89,3,0)*0.475*44/12</f>
        <v>0</v>
      </c>
      <c r="EX76" s="21">
        <f>EXP(-LN(2)/2)*EX75+(1-EXP(-LN(2)/2))/(LN(2)/2)*ER76*EU76*VLOOKUP('Données projet'!$B$15,Paramètres!$A$1:$I$89,3,0)*0.475*44/12</f>
        <v>0</v>
      </c>
      <c r="EY76" s="22">
        <f t="shared" si="75"/>
        <v>49.364550041442769</v>
      </c>
      <c r="EZ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4.2</v>
      </c>
      <c r="FE76" s="12">
        <f>IF('Données projet'!$A$218&gt;35,FE75+FD76-FM75,IF(A76&lt;'Données projet'!$A$218,$FB$205^A76,IF(A76='Données projet'!$A$218,'Données projet'!$B$218,FE75+FD76-FM75)))</f>
        <v>315.59999999999991</v>
      </c>
      <c r="FF76" s="17">
        <f>FE76*VLOOKUP('Données projet'!$B$16,Paramètres!$A$1:$I$89,3,0)*VLOOKUP('Données projet'!$B$16,Paramètres!$A$1:$I$89,5,0)</f>
        <v>256.01471999999995</v>
      </c>
      <c r="FG76" s="13">
        <f t="shared" si="101"/>
        <v>61.872115120174627</v>
      </c>
      <c r="FH76" s="20">
        <f t="shared" si="76"/>
        <v>553.65290450097075</v>
      </c>
      <c r="FI76" s="59">
        <f t="shared" si="77"/>
        <v>821.43568869889259</v>
      </c>
      <c r="FJ76" s="59">
        <f ca="1">AVERAGE(OFFSET($FI$3,0,0,'Données projet'!$E$16+1,1))-AVERAGE(OFFSET($H$3,0,0,'Données projet'!$E$16+1,1))</f>
        <v>383.47399633251354</v>
      </c>
      <c r="FK76" s="59">
        <f t="shared" si="102"/>
        <v>370.49129421395628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>
        <f>EXP(-LN(2)/35)*FQ75+(1-EXP(-LN(2)/35))/(LN(2)/35)*FM76*FN76*VLOOKUP('Données projet'!$B$16,Paramètres!$A$1:$I$89,3,0)*0.475*44/12</f>
        <v>50.332482395196585</v>
      </c>
      <c r="FR76" s="21">
        <f>EXP(-LN(2)/25)*FR75+(1-EXP(-LN(2)/25))/(LN(2)/25)*Calculateur!FM76*Calculateur!FO76*VLOOKUP('Données projet'!$B$16,Paramètres!$A$1:$I$89,3,0)*0.475*44/12</f>
        <v>0</v>
      </c>
      <c r="FS76" s="21">
        <f>EXP(-LN(2)/2)*FS75+(1-EXP(-LN(2)/2))/(LN(2)/2)*FM76*FP76*VLOOKUP('Données projet'!$B$16,Paramètres!$A$1:$I$89,3,0)*0.475*44/12</f>
        <v>0</v>
      </c>
      <c r="FT76" s="22">
        <f t="shared" si="78"/>
        <v>50.332482395196585</v>
      </c>
      <c r="FU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11.009999999999998</v>
      </c>
      <c r="FZ76" s="12">
        <f>IF('Données projet'!$A$244&gt;35,FZ75+FY76-GH75,IF(A76&lt;'Données projet'!$A$244,$FW$205^A76,IF(A76='Données projet'!$A$244,'Données projet'!$B$244,FZ75+FY76-GH75)))</f>
        <v>318.63999999999993</v>
      </c>
      <c r="GA76" s="17">
        <f>FZ76*VLOOKUP('Données projet'!$B$17,Paramètres!$A$1:$I$89,3,0)*VLOOKUP('Données projet'!$B$17,Paramètres!$A$1:$I$89,5,0)</f>
        <v>303.21782399999995</v>
      </c>
      <c r="GB76" s="13">
        <f t="shared" si="103"/>
        <v>71.850623543918246</v>
      </c>
      <c r="GC76" s="20">
        <f t="shared" si="79"/>
        <v>653.24421280565741</v>
      </c>
      <c r="GD76" s="59">
        <f t="shared" si="80"/>
        <v>921.02699700357925</v>
      </c>
      <c r="GE76" s="59">
        <f ca="1">AVERAGE(OFFSET($GD$3,0,0,'Données projet'!$E$17+1,1))-AVERAGE(OFFSET($H$3,0,0,'Données projet'!$E$17+1,1))</f>
        <v>592.58528889137358</v>
      </c>
      <c r="GF76" s="59">
        <f t="shared" si="104"/>
        <v>311.31528020403709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>
        <f>EXP(-LN(2)/35)*GL75+(1-EXP(-LN(2)/35))/(LN(2)/35)*GH76*GI76*VLOOKUP('Données projet'!$B$17,Paramètres!$A$1:$I$89,3,0)*0.475*44/12</f>
        <v>104.25958037060842</v>
      </c>
      <c r="GM76" s="21">
        <f>EXP(-LN(2)/25)*GM75+(1-EXP(-LN(2)/25))/(LN(2)/25)*Calculateur!GH76*Calculateur!GJ76*VLOOKUP('Données projet'!$B$17,Paramètres!$A$1:$I$89,3,0)*0.475*44/12</f>
        <v>0</v>
      </c>
      <c r="GN76" s="21">
        <f>EXP(-LN(2)/2)*GN75+(1-EXP(-LN(2)/2))/(LN(2)/2)*GH76*GK76*VLOOKUP('Données projet'!$B$17,Paramètres!$A$1:$I$89,3,0)*0.475*44/12</f>
        <v>0</v>
      </c>
      <c r="GO76" s="21">
        <f t="shared" si="81"/>
        <v>104.25958037060842</v>
      </c>
      <c r="GP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328.00000000000006</v>
      </c>
      <c r="GV76" s="17">
        <f>GU76*VLOOKUP('Données projet'!$B$18,Paramètres!$A$1:$I$89,3,0)*VLOOKUP('Données projet'!$B$18,Paramètres!$A$1:$I$89,5,0)</f>
        <v>255.84000000000006</v>
      </c>
      <c r="GW76" s="13">
        <f t="shared" si="105"/>
        <v>61.834803371075836</v>
      </c>
      <c r="GX76" s="20">
        <f t="shared" si="82"/>
        <v>553.28361587129041</v>
      </c>
      <c r="GY76" s="59">
        <f t="shared" si="83"/>
        <v>821.06640006921225</v>
      </c>
      <c r="GZ76" s="59">
        <f ca="1">AVERAGE(OFFSET($GY$3,0,0,'Données projet'!$E$18+1,1))-AVERAGE(OFFSET($H$3,0,0,'Données projet'!$E$18+1,1))</f>
        <v>308.85018589589453</v>
      </c>
      <c r="HA76" s="59">
        <f t="shared" si="106"/>
        <v>302.59481222418219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>
        <f>EXP(-LN(2)/35)*HG75+(1-EXP(-LN(2)/35))/(LN(2)/35)*HC76*HD76*VLOOKUP('Données projet'!$B$18,Paramètres!$A$1:$I$89,3,0)*0.475*44/12</f>
        <v>46.543221192682772</v>
      </c>
      <c r="HH76" s="21">
        <f>EXP(-LN(2)/25)*HH75+(1-EXP(-LN(2)/25))/(LN(2)/25)*Calculateur!HC76*Calculateur!HE76*VLOOKUP('Données projet'!$B$18,Paramètres!$A$1:$I$89,3,0)*0.475*44/12</f>
        <v>0</v>
      </c>
      <c r="HI76" s="21">
        <f>EXP(-LN(2)/2)*HI75+(1-EXP(-LN(2)/2))/(LN(2)/2)*HC76*HF76*VLOOKUP('Données projet'!$B$18,Paramètres!$A$1:$I$89,3,0)*0.475*44/12</f>
        <v>0</v>
      </c>
      <c r="HJ76" s="22">
        <f t="shared" si="84"/>
        <v>46.543221192682772</v>
      </c>
    </row>
    <row r="77" spans="1:218" x14ac:dyDescent="0.35">
      <c r="A77" s="10">
        <f t="shared" si="85"/>
        <v>74</v>
      </c>
      <c r="B77" s="72">
        <f>'Scénario référence'!$B$16*5+'Scénario référence'!$B$17*0+'Scénario référence'!$B$18*5</f>
        <v>5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66">
        <f t="shared" si="56"/>
        <v>183.33333333333334</v>
      </c>
      <c r="I77" s="6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11.009999999999998</v>
      </c>
      <c r="N77" s="13">
        <f>IF('Données projet'!$A$36&gt;35,N76+M77-V76,IF(A77&lt;'Données projet'!$A$36,$K$205^A77,IF(A77='Données projet'!$A$36,'Données projet'!$B$36,N76+M77-V76)))</f>
        <v>329.64999999999992</v>
      </c>
      <c r="O77" s="13">
        <f>N77*VLOOKUP('Données projet'!$B$9,Paramètres!$A$1:$I$89,3,0)*VLOOKUP('Données projet'!$B$9,Paramètres!$A$1:$I$89,5,0)</f>
        <v>298.26731999999993</v>
      </c>
      <c r="P77" s="13">
        <f t="shared" si="87"/>
        <v>70.813104833271126</v>
      </c>
      <c r="Q77" s="20">
        <f t="shared" si="54"/>
        <v>642.81507325128052</v>
      </c>
      <c r="R77" s="59">
        <f t="shared" si="55"/>
        <v>911.04110235423138</v>
      </c>
      <c r="S77" s="59">
        <f ca="1">AVERAGE(OFFSET($R$3,0,0,'Données projet'!$E$9+1,1))-AVERAGE(OFFSET($H$3,0,0,'Données projet'!$E$9+1,1))</f>
        <v>567.42635821507474</v>
      </c>
      <c r="T77" s="59">
        <f t="shared" si="88"/>
        <v>299.04735309930152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97.188140792018444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97.188140792018444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11.009999999999998</v>
      </c>
      <c r="AI77" s="13">
        <f>IF('Données projet'!$A$62&gt;35,AI76+AH77-AQ76,IF(A77&lt;'Données projet'!$A$62,$AF$205^A77,IF(A77='Données projet'!$A$62,'Données projet'!$B$62,AI76+AH77-AQ76)))</f>
        <v>329.64999999999992</v>
      </c>
      <c r="AJ77" s="13">
        <f>AI77*VLOOKUP('Données projet'!$B$10,Paramètres!$A$1:$I$89,3,0)*VLOOKUP('Données projet'!$B$10,Paramètres!$A$1:$I$89,5,0)</f>
        <v>334.26509999999996</v>
      </c>
      <c r="AK77" s="13">
        <f t="shared" si="89"/>
        <v>78.313909245431049</v>
      </c>
      <c r="AL77" s="20">
        <f t="shared" si="58"/>
        <v>718.57510776912568</v>
      </c>
      <c r="AM77" s="59">
        <f t="shared" si="59"/>
        <v>986.80113687207654</v>
      </c>
      <c r="AN77" s="59">
        <f ca="1">AVERAGE(OFFSET($AM$3,0,0,'Données projet'!$E$10+1,1))-AVERAGE(OFFSET($H$3,0,0,'Données projet'!$E$10+1,1))</f>
        <v>626.09203985591455</v>
      </c>
      <c r="AO77" s="59">
        <f t="shared" si="90"/>
        <v>327.65191296575199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108.91774399105513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108.91774399105513</v>
      </c>
      <c r="AY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9.4</v>
      </c>
      <c r="BD77" s="12">
        <f>IF('Données projet'!$A$88&gt;35,BD76+BC77-BL76,IF(A77&lt;'Données projet'!$A$88,$BA$205^A77,IF(A77='Données projet'!$A$88,'Données projet'!$B$88,BD76+BC77-BL76)))</f>
        <v>325.59999999999985</v>
      </c>
      <c r="BE77" s="13">
        <f>BD77*VLOOKUP('Données projet'!$B$11,Paramètres!$A$1:$I$89,3,0)*VLOOKUP('Données projet'!$B$11,Paramètres!$A$1:$I$89,5,0)</f>
        <v>279.36479999999989</v>
      </c>
      <c r="BF77" s="13">
        <f t="shared" si="91"/>
        <v>66.832755122992182</v>
      </c>
      <c r="BG77" s="20">
        <f t="shared" si="61"/>
        <v>602.96074183921121</v>
      </c>
      <c r="BH77" s="59">
        <f t="shared" si="62"/>
        <v>871.18677094216207</v>
      </c>
      <c r="BI77" s="59">
        <f ca="1">AVERAGE(OFFSET($BH$3,0,0,'Données projet'!$E$11+1,1))-AVERAGE(OFFSET($H$3,0,0,'Données projet'!$E$11+1,1))</f>
        <v>481.23392184981651</v>
      </c>
      <c r="BJ77" s="59">
        <f t="shared" si="92"/>
        <v>275.88160405468193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75.467365357724788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75.467365357724788</v>
      </c>
      <c r="BT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15.211111111111116</v>
      </c>
      <c r="BY77" s="12">
        <f>IF('Données projet'!$A$114&gt;35,BY76+BX77-CG76,IF(A77&lt;'Données projet'!$A$114,$BV$205^A77,IF(A77='Données projet'!$A$114,'Données projet'!$B$114,BY76+BX77-CG76)))</f>
        <v>474.15888888888827</v>
      </c>
      <c r="BZ77" s="13">
        <f>BY77*VLOOKUP('Données projet'!$B$12,Paramètres!$A$1:$I$89,3,0)*VLOOKUP('Données projet'!$B$12,Paramètres!$A$1:$I$89,5,0)</f>
        <v>221.90635999999972</v>
      </c>
      <c r="CA77" s="13">
        <f t="shared" si="93"/>
        <v>54.529015359947387</v>
      </c>
      <c r="CB77" s="20">
        <f t="shared" si="64"/>
        <v>481.45827875190781</v>
      </c>
      <c r="CC77" s="59">
        <f t="shared" si="65"/>
        <v>749.68430785485862</v>
      </c>
      <c r="CD77" s="59">
        <f ca="1">AVERAGE(OFFSET($CC$3,0,0,'Données projet'!$E$12+1,1))-AVERAGE(OFFSET($H$3,0,0,'Données projet'!$E$12+1,1))</f>
        <v>331.86732359395467</v>
      </c>
      <c r="CE77" s="59">
        <f t="shared" si="94"/>
        <v>208.64489375183106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88.999204578791776</v>
      </c>
      <c r="CL77" s="21">
        <f>EXP(-LN(2)/25)*CL76+(1-EXP(-LN(2)/25))/(LN(2)/25)*Calculateur!CG77*Calculateur!CI77*VLOOKUP('Données projet'!$B$12,Paramètres!$A$1:$I$89,3,0)*0.475*44/12</f>
        <v>0</v>
      </c>
      <c r="CM77" s="21">
        <f>EXP(-LN(2)/2)*CM76+(1-EXP(-LN(2)/2))/(LN(2)/2)*CG77*CJ77*VLOOKUP('Données projet'!$B$12,Paramètres!$A$1:$I$89,3,0)*0.475*44/12</f>
        <v>0</v>
      </c>
      <c r="CN77" s="22">
        <f t="shared" si="66"/>
        <v>88.999204578791776</v>
      </c>
      <c r="CO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4.2</v>
      </c>
      <c r="CT77" s="12">
        <f>IF('Données projet'!$A$140&gt;35,CT76+CS77-DB76,IF(A77&lt;'Données projet'!$A$140,$CQ$205^A77,IF(A77='Données projet'!$A$140,'Données projet'!$B$140,CT76+CS77-DB76)))</f>
        <v>319.7999999999999</v>
      </c>
      <c r="CU77" s="17">
        <f>CT77*VLOOKUP('Données projet'!$B$13,Paramètres!$A$1:$I$89,3,0)*VLOOKUP('Données projet'!$B$13,Paramètres!$A$1:$I$89,5,0)</f>
        <v>234.47735999999995</v>
      </c>
      <c r="CV77" s="13">
        <f t="shared" si="95"/>
        <v>57.249702472380292</v>
      </c>
      <c r="CW77" s="20">
        <f t="shared" si="67"/>
        <v>508.09130047272885</v>
      </c>
      <c r="CX77" s="59">
        <f t="shared" si="68"/>
        <v>776.31732957567965</v>
      </c>
      <c r="CY77" s="59">
        <f ca="1">AVERAGE(OFFSET($CX$3,0,0,'Données projet'!$E$13+1,1))-AVERAGE(OFFSET($H$3,0,0,'Données projet'!$E$13+1,1))</f>
        <v>352.45777291109863</v>
      </c>
      <c r="CZ77" s="59">
        <f t="shared" si="96"/>
        <v>340.92165104349181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36.185501301102576</v>
      </c>
      <c r="DG77" s="21">
        <f>EXP(-LN(2)/25)*DG76+(1-EXP(-LN(2)/25))/(LN(2)/25)*Calculateur!DB77*Calculateur!DD77*VLOOKUP('Données projet'!$B$13,Paramètres!$A$1:$I$89,3,0)*0.475*44/12</f>
        <v>0</v>
      </c>
      <c r="DH77" s="21">
        <f>EXP(-LN(2)/2)*DH76+(1-EXP(-LN(2)/2))/(LN(2)/2)*DB77*DE77*VLOOKUP('Données projet'!$B$13,Paramètres!$A$1:$I$89,3,0)*0.475*44/12</f>
        <v>0</v>
      </c>
      <c r="DI77" s="22">
        <f t="shared" si="69"/>
        <v>36.185501301102576</v>
      </c>
      <c r="DJ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11.009999999999998</v>
      </c>
      <c r="DO77" s="12">
        <f>IF('Données projet'!$A$166&gt;35,DO76+DN77-DW76,IF(A77&lt;'Données projet'!$A$166,$DL$205^A77,IF(A77='Données projet'!$A$166,'Données projet'!$B$166,DO76+DN77-DW76)))</f>
        <v>329.64999999999992</v>
      </c>
      <c r="DP77" s="17">
        <f>DO77*VLOOKUP('Données projet'!$B$14,Paramètres!$A$1:$I$89,3,0)*VLOOKUP('Données projet'!$B$14,Paramètres!$A$1:$I$89,5,0)</f>
        <v>221.12921999999995</v>
      </c>
      <c r="DQ77" s="13">
        <f t="shared" si="97"/>
        <v>54.360242930579048</v>
      </c>
      <c r="DR77" s="20">
        <f t="shared" si="70"/>
        <v>479.81081460409172</v>
      </c>
      <c r="DS77" s="59">
        <f t="shared" si="71"/>
        <v>748.03684370704264</v>
      </c>
      <c r="DT77" s="59">
        <f ca="1">AVERAGE(OFFSET($DS$3,0,0,'Données projet'!$E$14+1,1))-AVERAGE(OFFSET($H$3,0,0,'Données projet'!$E$14+1,1))</f>
        <v>441.20130048888439</v>
      </c>
      <c r="DU77" s="59">
        <f t="shared" si="98"/>
        <v>237.47732532183946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88.809852792706508</v>
      </c>
      <c r="EB77" s="21">
        <f>EXP(-LN(2)/25)*EB76+(1-EXP(-LN(2)/25))/(LN(2)/25)*Calculateur!DW77*Calculateur!DY77*VLOOKUP('Données projet'!$B$14,Paramètres!$A$1:$I$89,3,0)*0.475*44/12</f>
        <v>0</v>
      </c>
      <c r="EC77" s="21">
        <f>EXP(-LN(2)/2)*EC76+(1-EXP(-LN(2)/2))/(LN(2)/2)*DW77*DZ77*VLOOKUP('Données projet'!$B$14,Paramètres!$A$1:$I$89,3,0)*0.475*44/12</f>
        <v>0</v>
      </c>
      <c r="ED77" s="22">
        <f t="shared" si="72"/>
        <v>88.809852792706508</v>
      </c>
      <c r="EE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4.2</v>
      </c>
      <c r="EJ77" s="12">
        <f>IF('Données projet'!$A$192&gt;35,EJ76+EI77-ER76,IF(A77&lt;'Données projet'!$A$192,$EG$205^A77,IF(A77='Données projet'!$A$192,'Données projet'!$B$192,EJ76+EI77-ER76)))</f>
        <v>319.7999999999999</v>
      </c>
      <c r="EK77" s="17">
        <f>EJ77*VLOOKUP('Données projet'!$B$15,Paramètres!$A$1:$I$89,3,0)*VLOOKUP('Données projet'!$B$15,Paramètres!$A$1:$I$89,5,0)</f>
        <v>254.43287999999995</v>
      </c>
      <c r="EL77" s="13">
        <f t="shared" si="99"/>
        <v>61.534202204620392</v>
      </c>
      <c r="EM77" s="20">
        <f t="shared" si="73"/>
        <v>550.30933483971376</v>
      </c>
      <c r="EN77" s="59">
        <f t="shared" si="74"/>
        <v>818.53536394266462</v>
      </c>
      <c r="EO77" s="59">
        <f ca="1">AVERAGE(OFFSET($EN$3,0,0,'Données projet'!$E$15+1,1))-AVERAGE(OFFSET($H$3,0,0,'Données projet'!$E$15+1,1))</f>
        <v>377.27600411578322</v>
      </c>
      <c r="EP77" s="59">
        <f t="shared" si="100"/>
        <v>364.58250627635425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>
        <f>EXP(-LN(2)/35)*EV76+(1-EXP(-LN(2)/35))/(LN(2)/35)*ER77*ES77*VLOOKUP('Données projet'!$B$15,Paramètres!$A$1:$I$89,3,0)*0.475*44/12</f>
        <v>48.396541324532542</v>
      </c>
      <c r="EW77" s="21">
        <f>EXP(-LN(2)/25)*EW76+(1-EXP(-LN(2)/25))/(LN(2)/25)*Calculateur!ER77*Calculateur!ET77*VLOOKUP('Données projet'!$B$15,Paramètres!$A$1:$I$89,3,0)*0.475*44/12</f>
        <v>0</v>
      </c>
      <c r="EX77" s="21">
        <f>EXP(-LN(2)/2)*EX76+(1-EXP(-LN(2)/2))/(LN(2)/2)*ER77*EU77*VLOOKUP('Données projet'!$B$15,Paramètres!$A$1:$I$89,3,0)*0.475*44/12</f>
        <v>0</v>
      </c>
      <c r="EY77" s="22">
        <f t="shared" si="75"/>
        <v>48.396541324532542</v>
      </c>
      <c r="EZ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4.2</v>
      </c>
      <c r="FE77" s="12">
        <f>IF('Données projet'!$A$218&gt;35,FE76+FD77-FM76,IF(A77&lt;'Données projet'!$A$218,$FB$205^A77,IF(A77='Données projet'!$A$218,'Données projet'!$B$218,FE76+FD77-FM76)))</f>
        <v>319.7999999999999</v>
      </c>
      <c r="FF77" s="17">
        <f>FE77*VLOOKUP('Données projet'!$B$16,Paramètres!$A$1:$I$89,3,0)*VLOOKUP('Données projet'!$B$16,Paramètres!$A$1:$I$89,5,0)</f>
        <v>259.42175999999995</v>
      </c>
      <c r="FG77" s="13">
        <f t="shared" si="101"/>
        <v>62.599104588107195</v>
      </c>
      <c r="FH77" s="20">
        <f t="shared" si="76"/>
        <v>560.85300582428658</v>
      </c>
      <c r="FI77" s="59">
        <f t="shared" si="77"/>
        <v>829.07903492723744</v>
      </c>
      <c r="FJ77" s="59">
        <f ca="1">AVERAGE(OFFSET($FI$3,0,0,'Données projet'!$E$16+1,1))-AVERAGE(OFFSET($H$3,0,0,'Données projet'!$E$16+1,1))</f>
        <v>383.47399633251354</v>
      </c>
      <c r="FK77" s="59">
        <f t="shared" si="102"/>
        <v>370.49129421395628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>
        <f>EXP(-LN(2)/35)*FQ76+(1-EXP(-LN(2)/35))/(LN(2)/35)*FM77*FN77*VLOOKUP('Données projet'!$B$16,Paramètres!$A$1:$I$89,3,0)*0.475*44/12</f>
        <v>49.345493115209692</v>
      </c>
      <c r="FR77" s="21">
        <f>EXP(-LN(2)/25)*FR76+(1-EXP(-LN(2)/25))/(LN(2)/25)*Calculateur!FM77*Calculateur!FO77*VLOOKUP('Données projet'!$B$16,Paramètres!$A$1:$I$89,3,0)*0.475*44/12</f>
        <v>0</v>
      </c>
      <c r="FS77" s="21">
        <f>EXP(-LN(2)/2)*FS76+(1-EXP(-LN(2)/2))/(LN(2)/2)*FM77*FP77*VLOOKUP('Données projet'!$B$16,Paramètres!$A$1:$I$89,3,0)*0.475*44/12</f>
        <v>0</v>
      </c>
      <c r="FT77" s="22">
        <f t="shared" si="78"/>
        <v>49.345493115209692</v>
      </c>
      <c r="FU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11.009999999999998</v>
      </c>
      <c r="FZ77" s="12">
        <f>IF('Données projet'!$A$244&gt;35,FZ76+FY77-GH76,IF(A77&lt;'Données projet'!$A$244,$FW$205^A77,IF(A77='Données projet'!$A$244,'Données projet'!$B$244,FZ76+FY77-GH76)))</f>
        <v>329.64999999999992</v>
      </c>
      <c r="GA77" s="17">
        <f>FZ77*VLOOKUP('Données projet'!$B$17,Paramètres!$A$1:$I$89,3,0)*VLOOKUP('Données projet'!$B$17,Paramètres!$A$1:$I$89,5,0)</f>
        <v>313.69493999999992</v>
      </c>
      <c r="GB77" s="13">
        <f t="shared" si="103"/>
        <v>74.03994777560689</v>
      </c>
      <c r="GC77" s="20">
        <f t="shared" si="79"/>
        <v>675.3049295425152</v>
      </c>
      <c r="GD77" s="59">
        <f t="shared" si="80"/>
        <v>943.53095864546606</v>
      </c>
      <c r="GE77" s="59">
        <f ca="1">AVERAGE(OFFSET($GD$3,0,0,'Données projet'!$E$17+1,1))-AVERAGE(OFFSET($H$3,0,0,'Données projet'!$E$17+1,1))</f>
        <v>592.58528889137358</v>
      </c>
      <c r="GF77" s="59">
        <f t="shared" si="104"/>
        <v>311.31528020403709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>
        <f>EXP(-LN(2)/35)*GL76+(1-EXP(-LN(2)/35))/(LN(2)/35)*GH77*GI77*VLOOKUP('Données projet'!$B$17,Paramètres!$A$1:$I$89,3,0)*0.475*44/12</f>
        <v>102.21511359160561</v>
      </c>
      <c r="GM77" s="21">
        <f>EXP(-LN(2)/25)*GM76+(1-EXP(-LN(2)/25))/(LN(2)/25)*Calculateur!GH77*Calculateur!GJ77*VLOOKUP('Données projet'!$B$17,Paramètres!$A$1:$I$89,3,0)*0.475*44/12</f>
        <v>0</v>
      </c>
      <c r="GN77" s="21">
        <f>EXP(-LN(2)/2)*GN76+(1-EXP(-LN(2)/2))/(LN(2)/2)*GH77*GK77*VLOOKUP('Données projet'!$B$17,Paramètres!$A$1:$I$89,3,0)*0.475*44/12</f>
        <v>0</v>
      </c>
      <c r="GO77" s="21">
        <f t="shared" si="81"/>
        <v>102.21511359160561</v>
      </c>
      <c r="GP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328.00000000000006</v>
      </c>
      <c r="GV77" s="17">
        <f>GU77*VLOOKUP('Données projet'!$B$18,Paramètres!$A$1:$I$89,3,0)*VLOOKUP('Données projet'!$B$18,Paramètres!$A$1:$I$89,5,0)</f>
        <v>255.84000000000006</v>
      </c>
      <c r="GW77" s="13">
        <f t="shared" si="105"/>
        <v>61.834803371075836</v>
      </c>
      <c r="GX77" s="20">
        <f t="shared" si="82"/>
        <v>553.28361587129041</v>
      </c>
      <c r="GY77" s="59">
        <f t="shared" si="83"/>
        <v>821.50964497424127</v>
      </c>
      <c r="GZ77" s="59">
        <f ca="1">AVERAGE(OFFSET($GY$3,0,0,'Données projet'!$E$18+1,1))-AVERAGE(OFFSET($H$3,0,0,'Données projet'!$E$18+1,1))</f>
        <v>308.85018589589453</v>
      </c>
      <c r="HA77" s="59">
        <f t="shared" si="106"/>
        <v>302.59481222418219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>
        <f>EXP(-LN(2)/35)*HG76+(1-EXP(-LN(2)/35))/(LN(2)/35)*HC77*HD77*VLOOKUP('Données projet'!$B$18,Paramètres!$A$1:$I$89,3,0)*0.475*44/12</f>
        <v>45.630537013656053</v>
      </c>
      <c r="HH77" s="21">
        <f>EXP(-LN(2)/25)*HH76+(1-EXP(-LN(2)/25))/(LN(2)/25)*Calculateur!HC77*Calculateur!HE77*VLOOKUP('Données projet'!$B$18,Paramètres!$A$1:$I$89,3,0)*0.475*44/12</f>
        <v>0</v>
      </c>
      <c r="HI77" s="21">
        <f>EXP(-LN(2)/2)*HI76+(1-EXP(-LN(2)/2))/(LN(2)/2)*HC77*HF77*VLOOKUP('Données projet'!$B$18,Paramètres!$A$1:$I$89,3,0)*0.475*44/12</f>
        <v>0</v>
      </c>
      <c r="HJ77" s="22">
        <f t="shared" si="84"/>
        <v>45.630537013656053</v>
      </c>
    </row>
    <row r="78" spans="1:218" x14ac:dyDescent="0.35">
      <c r="A78" s="10">
        <f t="shared" si="85"/>
        <v>75</v>
      </c>
      <c r="B78" s="72">
        <f>'Scénario référence'!$B$16*5+'Scénario référence'!$B$17*0+'Scénario référence'!$B$18*5</f>
        <v>5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66">
        <f t="shared" si="56"/>
        <v>183.33333333333334</v>
      </c>
      <c r="I78" s="6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11.009999999999998</v>
      </c>
      <c r="N78" s="13">
        <f>IF('Données projet'!$A$36&gt;35,N77+M78-V77,IF(A78&lt;'Données projet'!$A$36,$K$205^A78,IF(A78='Données projet'!$A$36,'Données projet'!$B$36,N77+M78-V77)))</f>
        <v>340.65999999999991</v>
      </c>
      <c r="O78" s="13">
        <f>N78*VLOOKUP('Données projet'!$B$9,Paramètres!$A$1:$I$89,3,0)*VLOOKUP('Données projet'!$B$9,Paramètres!$A$1:$I$89,5,0)</f>
        <v>308.2291679999999</v>
      </c>
      <c r="P78" s="13">
        <f t="shared" si="87"/>
        <v>72.898886756758046</v>
      </c>
      <c r="Q78" s="20">
        <f t="shared" si="54"/>
        <v>663.79802870135336</v>
      </c>
      <c r="R78" s="59">
        <f t="shared" si="55"/>
        <v>932.4596134011781</v>
      </c>
      <c r="S78" s="59">
        <f ca="1">AVERAGE(OFFSET($R$3,0,0,'Données projet'!$E$9+1,1))-AVERAGE(OFFSET($H$3,0,0,'Données projet'!$E$9+1,1))</f>
        <v>567.42635821507474</v>
      </c>
      <c r="T78" s="59">
        <f t="shared" si="88"/>
        <v>299.04735309930152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95.282340629999538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95.282340629999538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11.009999999999998</v>
      </c>
      <c r="AI78" s="13">
        <f>IF('Données projet'!$A$62&gt;35,AI77+AH78-AQ77,IF(A78&lt;'Données projet'!$A$62,$AF$205^A78,IF(A78='Données projet'!$A$62,'Données projet'!$B$62,AI77+AH78-AQ77)))</f>
        <v>340.65999999999991</v>
      </c>
      <c r="AJ78" s="13">
        <f>AI78*VLOOKUP('Données projet'!$B$10,Paramètres!$A$1:$I$89,3,0)*VLOOKUP('Données projet'!$B$10,Paramètres!$A$1:$I$89,5,0)</f>
        <v>345.42923999999994</v>
      </c>
      <c r="AK78" s="13">
        <f t="shared" si="89"/>
        <v>80.620625447838862</v>
      </c>
      <c r="AL78" s="20">
        <f t="shared" si="58"/>
        <v>742.03684898831909</v>
      </c>
      <c r="AM78" s="59">
        <f t="shared" si="59"/>
        <v>1010.698433688144</v>
      </c>
      <c r="AN78" s="59">
        <f ca="1">AVERAGE(OFFSET($AM$3,0,0,'Données projet'!$E$10+1,1))-AVERAGE(OFFSET($H$3,0,0,'Données projet'!$E$10+1,1))</f>
        <v>626.09203985591455</v>
      </c>
      <c r="AO78" s="59">
        <f t="shared" si="90"/>
        <v>327.65191296575199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106.78193346465464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106.78193346465464</v>
      </c>
      <c r="AY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>
        <f>VLOOKUP(A78,'Données projet'!$A$87:$I$107,2,0)</f>
        <v>335</v>
      </c>
      <c r="BB78" s="12">
        <f>VLOOKUP(A78,'Données projet'!$A$87:$I$107,9,0)</f>
        <v>9.4</v>
      </c>
      <c r="BC78" s="12">
        <f t="array" ref="BC78">INDEX(BB:BB,MIN(IF(ISNUMBER(BB78:BB274),ROW(BB78:BB274),"")))</f>
        <v>9.4</v>
      </c>
      <c r="BD78" s="12">
        <f>IF('Données projet'!$A$88&gt;35,BD77+BC78-BL77,IF(A78&lt;'Données projet'!$A$88,$BA$205^A78,IF(A78='Données projet'!$A$88,'Données projet'!$B$88,BD77+BC78-BL77)))</f>
        <v>334.99999999999983</v>
      </c>
      <c r="BE78" s="13">
        <f>BD78*VLOOKUP('Données projet'!$B$11,Paramètres!$A$1:$I$89,3,0)*VLOOKUP('Données projet'!$B$11,Paramètres!$A$1:$I$89,5,0)</f>
        <v>287.42999999999989</v>
      </c>
      <c r="BF78" s="13">
        <f t="shared" si="91"/>
        <v>68.534780142555746</v>
      </c>
      <c r="BG78" s="20">
        <f t="shared" si="61"/>
        <v>619.97199208161771</v>
      </c>
      <c r="BH78" s="59">
        <f t="shared" si="62"/>
        <v>888.63357678144257</v>
      </c>
      <c r="BI78" s="59">
        <f ca="1">AVERAGE(OFFSET($BH$3,0,0,'Données projet'!$E$11+1,1))-AVERAGE(OFFSET($H$3,0,0,'Données projet'!$E$11+1,1))</f>
        <v>481.23392184981651</v>
      </c>
      <c r="BJ78" s="59">
        <f t="shared" si="92"/>
        <v>275.88160405468193</v>
      </c>
      <c r="BK78" s="15">
        <f>IF(ISNA(VLOOKUP(A78,'Données projet'!$A$87:$I$107,3,0)),0,VLOOKUP(A78,'Données projet'!$A$87:$I$107,3,0))</f>
        <v>11</v>
      </c>
      <c r="BL78" s="15">
        <f>IF(ISNA(VLOOKUP(A78,'Données projet'!$A$87:$I$107,4,0)),0,VLOOKUP(A78,'Données projet'!$A$87:$I$107,4,0))</f>
        <v>28</v>
      </c>
      <c r="BM78" s="16">
        <f>IF(ISNA(VLOOKUP(A78,'Données projet'!$A$87:$I$107,5,0)),0%,VLOOKUP(A78,'Données projet'!$A$87:$I$107,5,0)*VLOOKUP('Données projet'!$B$11,Paramètres!$A$1:$I$89,7,0))</f>
        <v>0.53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88.063141164494326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88.063141164494326</v>
      </c>
      <c r="BT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>
        <f>VLOOKUP(A78,'Données projet'!$A$113:$I$133,2,0)</f>
        <v>489.37</v>
      </c>
      <c r="BW78" s="12">
        <f>VLOOKUP(A78,'Données projet'!$A$113:$I$133,9,0)</f>
        <v>15.211111111111116</v>
      </c>
      <c r="BX78" s="12">
        <f t="array" ref="BX78">INDEX(BW:BW,MIN(IF(ISNUMBER(BW78:BW274),ROW(BW78:BW274),"")))</f>
        <v>15.211111111111116</v>
      </c>
      <c r="BY78" s="12">
        <f>IF('Données projet'!$A$114&gt;35,BY77+BX78-CG77,IF(A78&lt;'Données projet'!$A$114,$BV$205^A78,IF(A78='Données projet'!$A$114,'Données projet'!$B$114,BY77+BX78-CG77)))</f>
        <v>489.36999999999938</v>
      </c>
      <c r="BZ78" s="13">
        <f>BY78*VLOOKUP('Données projet'!$B$12,Paramètres!$A$1:$I$89,3,0)*VLOOKUP('Données projet'!$B$12,Paramètres!$A$1:$I$89,5,0)</f>
        <v>229.02515999999972</v>
      </c>
      <c r="CA78" s="13">
        <f t="shared" si="93"/>
        <v>56.071846253835936</v>
      </c>
      <c r="CB78" s="20">
        <f t="shared" si="64"/>
        <v>496.54395255876375</v>
      </c>
      <c r="CC78" s="59">
        <f t="shared" si="65"/>
        <v>765.20553725858849</v>
      </c>
      <c r="CD78" s="59">
        <f ca="1">AVERAGE(OFFSET($CC$3,0,0,'Données projet'!$E$12+1,1))-AVERAGE(OFFSET($H$3,0,0,'Données projet'!$E$12+1,1))</f>
        <v>331.86732359395467</v>
      </c>
      <c r="CE78" s="59">
        <f t="shared" si="94"/>
        <v>208.64489375183106</v>
      </c>
      <c r="CF78" s="15">
        <f>IF(ISNA(VLOOKUP(A78,'Données projet'!$A$113:$I$133,3,0)),0,VLOOKUP(A78,'Données projet'!$A$113:$I$133,3,0))</f>
        <v>5</v>
      </c>
      <c r="CG78" s="15">
        <f>IF(ISNA(VLOOKUP(A78,'Données projet'!$A$113:$I$133,4,0)),0,VLOOKUP(A78,'Données projet'!$A$113:$I$133,4,0))</f>
        <v>87.99</v>
      </c>
      <c r="CH78" s="16">
        <f>IF(ISNA(VLOOKUP(A78,'Données projet'!$A$113:$I$133,5,0)),0%,VLOOKUP(A78,'Données projet'!$A$113:$I$133,5,0)*VLOOKUP('Données projet'!$B$12,Paramètres!$A$1:$I$89,7,0))</f>
        <v>0.55000000000000004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117.29884667730016</v>
      </c>
      <c r="CL78" s="21">
        <f>EXP(-LN(2)/25)*CL77+(1-EXP(-LN(2)/25))/(LN(2)/25)*Calculateur!CG78*Calculateur!CI78*VLOOKUP('Données projet'!$B$12,Paramètres!$A$1:$I$89,3,0)*0.475*44/12</f>
        <v>0</v>
      </c>
      <c r="CM78" s="21">
        <f>EXP(-LN(2)/2)*CM77+(1-EXP(-LN(2)/2))/(LN(2)/2)*CG78*CJ78*VLOOKUP('Données projet'!$B$12,Paramètres!$A$1:$I$89,3,0)*0.475*44/12</f>
        <v>0</v>
      </c>
      <c r="CN78" s="22">
        <f t="shared" si="66"/>
        <v>117.29884667730016</v>
      </c>
      <c r="CO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>
        <f>VLOOKUP(A78,'Données projet'!$A$139:$I$159,2,0)</f>
        <v>324</v>
      </c>
      <c r="CR78" s="12">
        <f>VLOOKUP(A78,'Données projet'!$A$139:$I$159,9,0)</f>
        <v>4.2</v>
      </c>
      <c r="CS78" s="12">
        <f t="array" ref="CS78">INDEX(CR:CR,MIN(IF(ISNUMBER(CR78:CR274),ROW(CR78:CR274),"")))</f>
        <v>4.2</v>
      </c>
      <c r="CT78" s="12">
        <f>IF('Données projet'!$A$140&gt;35,CT77+CS78-DB77,IF(A78&lt;'Données projet'!$A$140,$CQ$205^A78,IF(A78='Données projet'!$A$140,'Données projet'!$B$140,CT77+CS78-DB77)))</f>
        <v>323.99999999999989</v>
      </c>
      <c r="CU78" s="17">
        <f>CT78*VLOOKUP('Données projet'!$B$13,Paramètres!$A$1:$I$89,3,0)*VLOOKUP('Données projet'!$B$13,Paramètres!$A$1:$I$89,5,0)</f>
        <v>237.55679999999992</v>
      </c>
      <c r="CV78" s="13">
        <f t="shared" si="95"/>
        <v>57.913551469467308</v>
      </c>
      <c r="CW78" s="20">
        <f t="shared" si="67"/>
        <v>514.61086214265538</v>
      </c>
      <c r="CX78" s="59">
        <f t="shared" si="68"/>
        <v>783.27244684248012</v>
      </c>
      <c r="CY78" s="59">
        <f ca="1">AVERAGE(OFFSET($CX$3,0,0,'Données projet'!$E$13+1,1))-AVERAGE(OFFSET($H$3,0,0,'Données projet'!$E$13+1,1))</f>
        <v>352.45777291109863</v>
      </c>
      <c r="CZ78" s="59">
        <f t="shared" si="96"/>
        <v>340.92165104349181</v>
      </c>
      <c r="DA78" s="15">
        <f>IF(ISNA(VLOOKUP(A78,'Données projet'!$A$139:$I$159,3,0)),0,VLOOKUP(A78,'Données projet'!$A$139:$I$159,3,0))</f>
        <v>13</v>
      </c>
      <c r="DB78" s="15">
        <f>IF(ISNA(VLOOKUP(A78,'Données projet'!$A$139:$I$159,4,0)),0,VLOOKUP(A78,'Données projet'!$A$139:$I$159,4,0))</f>
        <v>12</v>
      </c>
      <c r="DC78" s="16">
        <f>IF(ISNA(VLOOKUP(A78,'Données projet'!$A$139:$I$159,5,0)),0%,VLOOKUP(A78,'Données projet'!$A$139:$I$159,5,0)*VLOOKUP('Données projet'!$B$13,Paramètres!$A$1:$I$89,7,0))</f>
        <v>0.43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39.658265044095984</v>
      </c>
      <c r="DG78" s="21">
        <f>EXP(-LN(2)/25)*DG77+(1-EXP(-LN(2)/25))/(LN(2)/25)*Calculateur!DB78*Calculateur!DD78*VLOOKUP('Données projet'!$B$13,Paramètres!$A$1:$I$89,3,0)*0.475*44/12</f>
        <v>0</v>
      </c>
      <c r="DH78" s="21">
        <f>EXP(-LN(2)/2)*DH77+(1-EXP(-LN(2)/2))/(LN(2)/2)*DB78*DE78*VLOOKUP('Données projet'!$B$13,Paramètres!$A$1:$I$89,3,0)*0.475*44/12</f>
        <v>0</v>
      </c>
      <c r="DI78" s="22">
        <f t="shared" si="69"/>
        <v>39.658265044095984</v>
      </c>
      <c r="DJ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11.009999999999998</v>
      </c>
      <c r="DO78" s="12">
        <f>IF('Données projet'!$A$166&gt;35,DO77+DN78-DW77,IF(A78&lt;'Données projet'!$A$166,$DL$205^A78,IF(A78='Données projet'!$A$166,'Données projet'!$B$166,DO77+DN78-DW77)))</f>
        <v>340.65999999999991</v>
      </c>
      <c r="DP78" s="17">
        <f>DO78*VLOOKUP('Données projet'!$B$14,Paramètres!$A$1:$I$89,3,0)*VLOOKUP('Données projet'!$B$14,Paramètres!$A$1:$I$89,5,0)</f>
        <v>228.51472799999996</v>
      </c>
      <c r="DQ78" s="13">
        <f t="shared" si="97"/>
        <v>55.961410007321639</v>
      </c>
      <c r="DR78" s="20">
        <f t="shared" si="70"/>
        <v>495.46260702941845</v>
      </c>
      <c r="DS78" s="59">
        <f t="shared" si="71"/>
        <v>764.12419172924319</v>
      </c>
      <c r="DT78" s="59">
        <f ca="1">AVERAGE(OFFSET($DS$3,0,0,'Données projet'!$E$14+1,1))-AVERAGE(OFFSET($H$3,0,0,'Données projet'!$E$14+1,1))</f>
        <v>441.20130048888439</v>
      </c>
      <c r="DU78" s="59">
        <f t="shared" si="98"/>
        <v>237.47732532183946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87.068345748103027</v>
      </c>
      <c r="EB78" s="21">
        <f>EXP(-LN(2)/25)*EB77+(1-EXP(-LN(2)/25))/(LN(2)/25)*Calculateur!DW78*Calculateur!DY78*VLOOKUP('Données projet'!$B$14,Paramètres!$A$1:$I$89,3,0)*0.475*44/12</f>
        <v>0</v>
      </c>
      <c r="EC78" s="21">
        <f>EXP(-LN(2)/2)*EC77+(1-EXP(-LN(2)/2))/(LN(2)/2)*DW78*DZ78*VLOOKUP('Données projet'!$B$14,Paramètres!$A$1:$I$89,3,0)*0.475*44/12</f>
        <v>0</v>
      </c>
      <c r="ED78" s="22">
        <f t="shared" si="72"/>
        <v>87.068345748103027</v>
      </c>
      <c r="EE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>
        <f>VLOOKUP(A78,'Données projet'!$A$191:$I$211,2,0)</f>
        <v>324</v>
      </c>
      <c r="EH78" s="12">
        <f>VLOOKUP(A78,'Données projet'!$A$191:$I$211,9,0)</f>
        <v>4.2</v>
      </c>
      <c r="EI78" s="12">
        <f t="array" ref="EI78">INDEX(EH:EH,MIN(IF(ISNUMBER(EH78:EH274),ROW(EH78:EH274),"")))</f>
        <v>4.2</v>
      </c>
      <c r="EJ78" s="12">
        <f>IF('Données projet'!$A$192&gt;35,EJ77+EI78-ER77,IF(A78&lt;'Données projet'!$A$192,$EG$205^A78,IF(A78='Données projet'!$A$192,'Données projet'!$B$192,EJ77+EI78-ER77)))</f>
        <v>323.99999999999989</v>
      </c>
      <c r="EK78" s="17">
        <f>EJ78*VLOOKUP('Données projet'!$B$15,Paramètres!$A$1:$I$89,3,0)*VLOOKUP('Données projet'!$B$15,Paramètres!$A$1:$I$89,5,0)</f>
        <v>257.77439999999996</v>
      </c>
      <c r="EL78" s="13">
        <f t="shared" si="99"/>
        <v>62.247732872134293</v>
      </c>
      <c r="EM78" s="20">
        <f t="shared" si="73"/>
        <v>557.37188141896718</v>
      </c>
      <c r="EN78" s="59">
        <f t="shared" si="74"/>
        <v>826.03346611879192</v>
      </c>
      <c r="EO78" s="59">
        <f ca="1">AVERAGE(OFFSET($EN$3,0,0,'Données projet'!$E$15+1,1))-AVERAGE(OFFSET($H$3,0,0,'Données projet'!$E$15+1,1))</f>
        <v>377.27600411578322</v>
      </c>
      <c r="EP78" s="59">
        <f t="shared" si="100"/>
        <v>364.58250627635425</v>
      </c>
      <c r="EQ78" s="15">
        <f>IF(ISNA(VLOOKUP(A78,'Données projet'!$A$191:$I$211,3,0)),0,VLOOKUP(A78,'Données projet'!$A$191:$I$211,3,0))</f>
        <v>13</v>
      </c>
      <c r="ER78" s="15">
        <f>IF(ISNA(VLOOKUP(A78,'Données projet'!$A$191:$I$211,4,0)),0,VLOOKUP(A78,'Données projet'!$A$191:$I$211,4,0))</f>
        <v>12</v>
      </c>
      <c r="ES78" s="16">
        <f>IF(ISNA(VLOOKUP(A78,'Données projet'!$A$191:$I$211,5,0)),0%,VLOOKUP(A78,'Données projet'!$A$191:$I$211,5,0)*VLOOKUP('Données projet'!$B$15,Paramètres!$A$1:$I$89,7,0))</f>
        <v>0.53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>
        <f>EXP(-LN(2)/35)*EV77+(1-EXP(-LN(2)/35))/(LN(2)/35)*ER78*ES78*VLOOKUP('Données projet'!$B$15,Paramètres!$A$1:$I$89,3,0)*0.475*44/12</f>
        <v>53.04121247609671</v>
      </c>
      <c r="EW78" s="21">
        <f>EXP(-LN(2)/25)*EW77+(1-EXP(-LN(2)/25))/(LN(2)/25)*Calculateur!ER78*Calculateur!ET78*VLOOKUP('Données projet'!$B$15,Paramètres!$A$1:$I$89,3,0)*0.475*44/12</f>
        <v>0</v>
      </c>
      <c r="EX78" s="21">
        <f>EXP(-LN(2)/2)*EX77+(1-EXP(-LN(2)/2))/(LN(2)/2)*ER78*EU78*VLOOKUP('Données projet'!$B$15,Paramètres!$A$1:$I$89,3,0)*0.475*44/12</f>
        <v>0</v>
      </c>
      <c r="EY78" s="22">
        <f t="shared" si="75"/>
        <v>53.04121247609671</v>
      </c>
      <c r="EZ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>
        <f>VLOOKUP(A78,'Données projet'!$A$217:$I$237,2,0)</f>
        <v>324</v>
      </c>
      <c r="FC78" s="12">
        <f>VLOOKUP(A78,'Données projet'!$A$217:$I$237,9,0)</f>
        <v>4.2</v>
      </c>
      <c r="FD78" s="12">
        <f t="array" ref="FD78">INDEX(FC:FC,MIN(IF(ISNUMBER(FC78:FC274),ROW(FC78:FC274),"")))</f>
        <v>4.2</v>
      </c>
      <c r="FE78" s="12">
        <f>IF('Données projet'!$A$218&gt;35,FE77+FD78-FM77,IF(A78&lt;'Données projet'!$A$218,$FB$205^A78,IF(A78='Données projet'!$A$218,'Données projet'!$B$218,FE77+FD78-FM77)))</f>
        <v>323.99999999999989</v>
      </c>
      <c r="FF78" s="17">
        <f>FE78*VLOOKUP('Données projet'!$B$16,Paramètres!$A$1:$I$89,3,0)*VLOOKUP('Données projet'!$B$16,Paramètres!$A$1:$I$89,5,0)</f>
        <v>262.82879999999989</v>
      </c>
      <c r="FG78" s="13">
        <f t="shared" si="101"/>
        <v>63.324983518559428</v>
      </c>
      <c r="FH78" s="20">
        <f t="shared" si="76"/>
        <v>568.05117296149081</v>
      </c>
      <c r="FI78" s="59">
        <f t="shared" si="77"/>
        <v>836.71275766131566</v>
      </c>
      <c r="FJ78" s="59">
        <f ca="1">AVERAGE(OFFSET($FI$3,0,0,'Données projet'!$E$16+1,1))-AVERAGE(OFFSET($H$3,0,0,'Données projet'!$E$16+1,1))</f>
        <v>383.47399633251354</v>
      </c>
      <c r="FK78" s="59">
        <f t="shared" si="102"/>
        <v>370.49129421395628</v>
      </c>
      <c r="FL78" s="15">
        <f>IF(ISNA(VLOOKUP(A78,'Données projet'!$A$217:$I$237,3,0)),0,VLOOKUP(A78,'Données projet'!$A$217:$I$237,3,0))</f>
        <v>13</v>
      </c>
      <c r="FM78" s="15">
        <f>IF(ISNA(VLOOKUP(A78,'Données projet'!$A$217:$I$237,4,0)),0,VLOOKUP(A78,'Données projet'!$A$217:$I$237,4,0))</f>
        <v>12</v>
      </c>
      <c r="FN78" s="16">
        <f>IF(ISNA(VLOOKUP(A78,'Données projet'!$A$217:$I$237,5,0)),0%,VLOOKUP(A78,'Données projet'!$A$217:$I$237,5,0)*VLOOKUP('Données projet'!$B$16,Paramètres!$A$1:$I$89,7,0))</f>
        <v>0.53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>
        <f>EXP(-LN(2)/35)*FQ77+(1-EXP(-LN(2)/35))/(LN(2)/35)*FM78*FN78*VLOOKUP('Données projet'!$B$16,Paramètres!$A$1:$I$89,3,0)*0.475*44/12</f>
        <v>54.081236250137863</v>
      </c>
      <c r="FR78" s="21">
        <f>EXP(-LN(2)/25)*FR77+(1-EXP(-LN(2)/25))/(LN(2)/25)*Calculateur!FM78*Calculateur!FO78*VLOOKUP('Données projet'!$B$16,Paramètres!$A$1:$I$89,3,0)*0.475*44/12</f>
        <v>0</v>
      </c>
      <c r="FS78" s="21">
        <f>EXP(-LN(2)/2)*FS77+(1-EXP(-LN(2)/2))/(LN(2)/2)*FM78*FP78*VLOOKUP('Données projet'!$B$16,Paramètres!$A$1:$I$89,3,0)*0.475*44/12</f>
        <v>0</v>
      </c>
      <c r="FT78" s="22">
        <f t="shared" si="78"/>
        <v>54.081236250137863</v>
      </c>
      <c r="FU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11.009999999999998</v>
      </c>
      <c r="FZ78" s="12">
        <f>IF('Données projet'!$A$244&gt;35,FZ77+FY78-GH77,IF(A78&lt;'Données projet'!$A$244,$FW$205^A78,IF(A78='Données projet'!$A$244,'Données projet'!$B$244,FZ77+FY78-GH77)))</f>
        <v>340.65999999999991</v>
      </c>
      <c r="GA78" s="17">
        <f>FZ78*VLOOKUP('Données projet'!$B$17,Paramètres!$A$1:$I$89,3,0)*VLOOKUP('Données projet'!$B$17,Paramètres!$A$1:$I$89,5,0)</f>
        <v>324.17205599999994</v>
      </c>
      <c r="GB78" s="13">
        <f t="shared" si="103"/>
        <v>76.220775534111311</v>
      </c>
      <c r="GC78" s="20">
        <f t="shared" si="79"/>
        <v>697.3508482552437</v>
      </c>
      <c r="GD78" s="59">
        <f t="shared" si="80"/>
        <v>966.01243295506856</v>
      </c>
      <c r="GE78" s="59">
        <f ca="1">AVERAGE(OFFSET($GD$3,0,0,'Données projet'!$E$17+1,1))-AVERAGE(OFFSET($H$3,0,0,'Données projet'!$E$17+1,1))</f>
        <v>592.58528889137358</v>
      </c>
      <c r="GF78" s="59">
        <f t="shared" si="104"/>
        <v>311.31528020403709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>
        <f>EXP(-LN(2)/35)*GL77+(1-EXP(-LN(2)/35))/(LN(2)/35)*GH78*GI78*VLOOKUP('Données projet'!$B$17,Paramètres!$A$1:$I$89,3,0)*0.475*44/12</f>
        <v>100.21073755913746</v>
      </c>
      <c r="GM78" s="21">
        <f>EXP(-LN(2)/25)*GM77+(1-EXP(-LN(2)/25))/(LN(2)/25)*Calculateur!GH78*Calculateur!GJ78*VLOOKUP('Données projet'!$B$17,Paramètres!$A$1:$I$89,3,0)*0.475*44/12</f>
        <v>0</v>
      </c>
      <c r="GN78" s="21">
        <f>EXP(-LN(2)/2)*GN77+(1-EXP(-LN(2)/2))/(LN(2)/2)*GH78*GK78*VLOOKUP('Données projet'!$B$17,Paramètres!$A$1:$I$89,3,0)*0.475*44/12</f>
        <v>0</v>
      </c>
      <c r="GO78" s="21">
        <f t="shared" si="81"/>
        <v>100.21073755913746</v>
      </c>
      <c r="GP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328.00000000000006</v>
      </c>
      <c r="GV78" s="17">
        <f>GU78*VLOOKUP('Données projet'!$B$18,Paramètres!$A$1:$I$89,3,0)*VLOOKUP('Données projet'!$B$18,Paramètres!$A$1:$I$89,5,0)</f>
        <v>255.84000000000006</v>
      </c>
      <c r="GW78" s="13">
        <f t="shared" si="105"/>
        <v>61.834803371075836</v>
      </c>
      <c r="GX78" s="20">
        <f t="shared" si="82"/>
        <v>553.28361587129041</v>
      </c>
      <c r="GY78" s="59">
        <f t="shared" si="83"/>
        <v>821.94520057111527</v>
      </c>
      <c r="GZ78" s="59">
        <f ca="1">AVERAGE(OFFSET($GY$3,0,0,'Données projet'!$E$18+1,1))-AVERAGE(OFFSET($H$3,0,0,'Données projet'!$E$18+1,1))</f>
        <v>308.85018589589453</v>
      </c>
      <c r="HA78" s="59">
        <f t="shared" si="106"/>
        <v>302.59481222418219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>
        <f>EXP(-LN(2)/35)*HG77+(1-EXP(-LN(2)/35))/(LN(2)/35)*HC78*HD78*VLOOKUP('Données projet'!$B$18,Paramètres!$A$1:$I$89,3,0)*0.475*44/12</f>
        <v>44.735750014697665</v>
      </c>
      <c r="HH78" s="21">
        <f>EXP(-LN(2)/25)*HH77+(1-EXP(-LN(2)/25))/(LN(2)/25)*Calculateur!HC78*Calculateur!HE78*VLOOKUP('Données projet'!$B$18,Paramètres!$A$1:$I$89,3,0)*0.475*44/12</f>
        <v>0</v>
      </c>
      <c r="HI78" s="21">
        <f>EXP(-LN(2)/2)*HI77+(1-EXP(-LN(2)/2))/(LN(2)/2)*HC78*HF78*VLOOKUP('Données projet'!$B$18,Paramètres!$A$1:$I$89,3,0)*0.475*44/12</f>
        <v>0</v>
      </c>
      <c r="HJ78" s="22">
        <f t="shared" si="84"/>
        <v>44.735750014697665</v>
      </c>
    </row>
    <row r="79" spans="1:218" x14ac:dyDescent="0.35">
      <c r="A79" s="10">
        <f t="shared" si="85"/>
        <v>76</v>
      </c>
      <c r="B79" s="72">
        <f>'Scénario référence'!$B$16*5+'Scénario référence'!$B$17*0+'Scénario référence'!$B$18*5</f>
        <v>5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66">
        <f t="shared" si="56"/>
        <v>183.33333333333334</v>
      </c>
      <c r="I79" s="6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11.009999999999998</v>
      </c>
      <c r="N79" s="13">
        <f>IF('Données projet'!$A$36&gt;35,N78+M79-V78,IF(A79&lt;'Données projet'!$A$36,$K$205^A79,IF(A79='Données projet'!$A$36,'Données projet'!$B$36,N78+M79-V78)))</f>
        <v>351.6699999999999</v>
      </c>
      <c r="O79" s="13">
        <f>N79*VLOOKUP('Données projet'!$B$9,Paramètres!$A$1:$I$89,3,0)*VLOOKUP('Données projet'!$B$9,Paramètres!$A$1:$I$89,5,0)</f>
        <v>318.19101599999988</v>
      </c>
      <c r="P79" s="13">
        <f t="shared" si="87"/>
        <v>74.976835262469876</v>
      </c>
      <c r="Q79" s="20">
        <f t="shared" si="54"/>
        <v>684.76734094880146</v>
      </c>
      <c r="R79" s="59">
        <f t="shared" si="55"/>
        <v>953.85692532965095</v>
      </c>
      <c r="S79" s="59">
        <f ca="1">AVERAGE(OFFSET($R$3,0,0,'Données projet'!$E$9+1,1))-AVERAGE(OFFSET($H$3,0,0,'Données projet'!$E$9+1,1))</f>
        <v>567.42635821507474</v>
      </c>
      <c r="T79" s="59">
        <f t="shared" si="88"/>
        <v>299.04735309930152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93.413912046734509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93.413912046734509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11.009999999999998</v>
      </c>
      <c r="AI79" s="13">
        <f>IF('Données projet'!$A$62&gt;35,AI78+AH79-AQ78,IF(A79&lt;'Données projet'!$A$62,$AF$205^A79,IF(A79='Données projet'!$A$62,'Données projet'!$B$62,AI78+AH79-AQ78)))</f>
        <v>351.6699999999999</v>
      </c>
      <c r="AJ79" s="13">
        <f>AI79*VLOOKUP('Données projet'!$B$10,Paramètres!$A$1:$I$89,3,0)*VLOOKUP('Données projet'!$B$10,Paramètres!$A$1:$I$89,5,0)</f>
        <v>356.59337999999991</v>
      </c>
      <c r="AK79" s="13">
        <f t="shared" si="89"/>
        <v>82.918678485848602</v>
      </c>
      <c r="AL79" s="20">
        <f t="shared" si="58"/>
        <v>765.48350186285279</v>
      </c>
      <c r="AM79" s="59">
        <f t="shared" si="59"/>
        <v>1034.5730862437022</v>
      </c>
      <c r="AN79" s="59">
        <f ca="1">AVERAGE(OFFSET($AM$3,0,0,'Données projet'!$E$10+1,1))-AVERAGE(OFFSET($H$3,0,0,'Données projet'!$E$10+1,1))</f>
        <v>626.09203985591455</v>
      </c>
      <c r="AO79" s="59">
        <f t="shared" si="90"/>
        <v>327.65191296575199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104.68800487996107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104.68800487996107</v>
      </c>
      <c r="AY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8.8000000000000007</v>
      </c>
      <c r="BD79" s="12">
        <f>IF('Données projet'!$A$88&gt;35,BD78+BC79-BL78,IF(A79&lt;'Données projet'!$A$88,$BA$205^A79,IF(A79='Données projet'!$A$88,'Données projet'!$B$88,BD78+BC79-BL78)))</f>
        <v>315.79999999999984</v>
      </c>
      <c r="BE79" s="13">
        <f>BD79*VLOOKUP('Données projet'!$B$11,Paramètres!$A$1:$I$89,3,0)*VLOOKUP('Données projet'!$B$11,Paramètres!$A$1:$I$89,5,0)</f>
        <v>270.95639999999986</v>
      </c>
      <c r="BF79" s="13">
        <f t="shared" si="91"/>
        <v>65.052199716598722</v>
      </c>
      <c r="BG79" s="20">
        <f t="shared" si="61"/>
        <v>585.21497783974257</v>
      </c>
      <c r="BH79" s="59">
        <f t="shared" si="62"/>
        <v>854.30456222059206</v>
      </c>
      <c r="BI79" s="59">
        <f ca="1">AVERAGE(OFFSET($BH$3,0,0,'Données projet'!$E$11+1,1))-AVERAGE(OFFSET($H$3,0,0,'Données projet'!$E$11+1,1))</f>
        <v>481.23392184981651</v>
      </c>
      <c r="BJ79" s="59">
        <f t="shared" si="92"/>
        <v>275.88160405468193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86.33627667947097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86.33627667947097</v>
      </c>
      <c r="BT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14.338750000000005</v>
      </c>
      <c r="BY79" s="12">
        <f>IF('Données projet'!$A$114&gt;35,BY78+BX79-CG78,IF(A79&lt;'Données projet'!$A$114,$BV$205^A79,IF(A79='Données projet'!$A$114,'Données projet'!$B$114,BY78+BX79-CG78)))</f>
        <v>415.71874999999937</v>
      </c>
      <c r="BZ79" s="13">
        <f>BY79*VLOOKUP('Données projet'!$B$12,Paramètres!$A$1:$I$89,3,0)*VLOOKUP('Données projet'!$B$12,Paramètres!$A$1:$I$89,5,0)</f>
        <v>194.55637499999972</v>
      </c>
      <c r="CA79" s="13">
        <f t="shared" si="93"/>
        <v>48.545909113628923</v>
      </c>
      <c r="CB79" s="20">
        <f t="shared" si="64"/>
        <v>423.40314483123649</v>
      </c>
      <c r="CC79" s="59">
        <f t="shared" si="65"/>
        <v>692.49272921208592</v>
      </c>
      <c r="CD79" s="59">
        <f ca="1">AVERAGE(OFFSET($CC$3,0,0,'Données projet'!$E$12+1,1))-AVERAGE(OFFSET($H$3,0,0,'Données projet'!$E$12+1,1))</f>
        <v>331.86732359395467</v>
      </c>
      <c r="CE79" s="59">
        <f t="shared" si="94"/>
        <v>208.64489375183106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114.99868783919027</v>
      </c>
      <c r="CL79" s="21">
        <f>EXP(-LN(2)/25)*CL78+(1-EXP(-LN(2)/25))/(LN(2)/25)*Calculateur!CG79*Calculateur!CI79*VLOOKUP('Données projet'!$B$12,Paramètres!$A$1:$I$89,3,0)*0.475*44/12</f>
        <v>0</v>
      </c>
      <c r="CM79" s="21">
        <f>EXP(-LN(2)/2)*CM78+(1-EXP(-LN(2)/2))/(LN(2)/2)*CG79*CJ79*VLOOKUP('Données projet'!$B$12,Paramètres!$A$1:$I$89,3,0)*0.475*44/12</f>
        <v>0</v>
      </c>
      <c r="CN79" s="22">
        <f t="shared" si="66"/>
        <v>114.99868783919027</v>
      </c>
      <c r="CO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3.6</v>
      </c>
      <c r="CT79" s="12">
        <f>IF('Données projet'!$A$140&gt;35,CT78+CS79-DB78,IF(A79&lt;'Données projet'!$A$140,$CQ$205^A79,IF(A79='Données projet'!$A$140,'Données projet'!$B$140,CT78+CS79-DB78)))</f>
        <v>315.59999999999991</v>
      </c>
      <c r="CU79" s="17">
        <f>CT79*VLOOKUP('Données projet'!$B$13,Paramètres!$A$1:$I$89,3,0)*VLOOKUP('Données projet'!$B$13,Paramètres!$A$1:$I$89,5,0)</f>
        <v>231.39791999999991</v>
      </c>
      <c r="CV79" s="13">
        <f t="shared" si="95"/>
        <v>56.584837838715806</v>
      </c>
      <c r="CW79" s="20">
        <f t="shared" si="67"/>
        <v>501.56996990242982</v>
      </c>
      <c r="CX79" s="59">
        <f t="shared" si="68"/>
        <v>770.65955428327925</v>
      </c>
      <c r="CY79" s="59">
        <f ca="1">AVERAGE(OFFSET($CX$3,0,0,'Données projet'!$E$13+1,1))-AVERAGE(OFFSET($H$3,0,0,'Données projet'!$E$13+1,1))</f>
        <v>352.45777291109863</v>
      </c>
      <c r="CZ79" s="59">
        <f t="shared" si="96"/>
        <v>340.92165104349181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38.880590655734458</v>
      </c>
      <c r="DG79" s="21">
        <f>EXP(-LN(2)/25)*DG78+(1-EXP(-LN(2)/25))/(LN(2)/25)*Calculateur!DB79*Calculateur!DD79*VLOOKUP('Données projet'!$B$13,Paramètres!$A$1:$I$89,3,0)*0.475*44/12</f>
        <v>0</v>
      </c>
      <c r="DH79" s="21">
        <f>EXP(-LN(2)/2)*DH78+(1-EXP(-LN(2)/2))/(LN(2)/2)*DB79*DE79*VLOOKUP('Données projet'!$B$13,Paramètres!$A$1:$I$89,3,0)*0.475*44/12</f>
        <v>0</v>
      </c>
      <c r="DI79" s="22">
        <f t="shared" si="69"/>
        <v>38.880590655734458</v>
      </c>
      <c r="DJ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11.009999999999998</v>
      </c>
      <c r="DO79" s="12">
        <f>IF('Données projet'!$A$166&gt;35,DO78+DN79-DW78,IF(A79&lt;'Données projet'!$A$166,$DL$205^A79,IF(A79='Données projet'!$A$166,'Données projet'!$B$166,DO78+DN79-DW78)))</f>
        <v>351.6699999999999</v>
      </c>
      <c r="DP79" s="17">
        <f>DO79*VLOOKUP('Données projet'!$B$14,Paramètres!$A$1:$I$89,3,0)*VLOOKUP('Données projet'!$B$14,Paramètres!$A$1:$I$89,5,0)</f>
        <v>235.90023599999995</v>
      </c>
      <c r="DQ79" s="13">
        <f t="shared" si="97"/>
        <v>57.556563698629013</v>
      </c>
      <c r="DR79" s="20">
        <f t="shared" si="70"/>
        <v>511.1039261417788</v>
      </c>
      <c r="DS79" s="59">
        <f t="shared" si="71"/>
        <v>780.19351052262823</v>
      </c>
      <c r="DT79" s="59">
        <f ca="1">AVERAGE(OFFSET($DS$3,0,0,'Données projet'!$E$14+1,1))-AVERAGE(OFFSET($H$3,0,0,'Données projet'!$E$14+1,1))</f>
        <v>441.20130048888439</v>
      </c>
      <c r="DU79" s="59">
        <f t="shared" si="98"/>
        <v>237.47732532183946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85.360988594429813</v>
      </c>
      <c r="EB79" s="21">
        <f>EXP(-LN(2)/25)*EB78+(1-EXP(-LN(2)/25))/(LN(2)/25)*Calculateur!DW79*Calculateur!DY79*VLOOKUP('Données projet'!$B$14,Paramètres!$A$1:$I$89,3,0)*0.475*44/12</f>
        <v>0</v>
      </c>
      <c r="EC79" s="21">
        <f>EXP(-LN(2)/2)*EC78+(1-EXP(-LN(2)/2))/(LN(2)/2)*DW79*DZ79*VLOOKUP('Données projet'!$B$14,Paramètres!$A$1:$I$89,3,0)*0.475*44/12</f>
        <v>0</v>
      </c>
      <c r="ED79" s="22">
        <f t="shared" si="72"/>
        <v>85.360988594429813</v>
      </c>
      <c r="EE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3.6</v>
      </c>
      <c r="EJ79" s="12">
        <f>IF('Données projet'!$A$192&gt;35,EJ78+EI79-ER78,IF(A79&lt;'Données projet'!$A$192,$EG$205^A79,IF(A79='Données projet'!$A$192,'Données projet'!$B$192,EJ78+EI79-ER78)))</f>
        <v>315.59999999999991</v>
      </c>
      <c r="EK79" s="17">
        <f>EJ79*VLOOKUP('Données projet'!$B$15,Paramètres!$A$1:$I$89,3,0)*VLOOKUP('Données projet'!$B$15,Paramètres!$A$1:$I$89,5,0)</f>
        <v>251.09135999999995</v>
      </c>
      <c r="EL79" s="13">
        <f t="shared" si="99"/>
        <v>60.81957989149403</v>
      </c>
      <c r="EM79" s="20">
        <f t="shared" si="73"/>
        <v>543.24488697768527</v>
      </c>
      <c r="EN79" s="59">
        <f t="shared" si="74"/>
        <v>812.33447135853476</v>
      </c>
      <c r="EO79" s="59">
        <f ca="1">AVERAGE(OFFSET($EN$3,0,0,'Données projet'!$E$15+1,1))-AVERAGE(OFFSET($H$3,0,0,'Données projet'!$E$15+1,1))</f>
        <v>377.27600411578322</v>
      </c>
      <c r="EP79" s="59">
        <f t="shared" si="100"/>
        <v>364.58250627635425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>
        <f>EXP(-LN(2)/35)*EV78+(1-EXP(-LN(2)/35))/(LN(2)/35)*ER79*ES79*VLOOKUP('Données projet'!$B$15,Paramètres!$A$1:$I$89,3,0)*0.475*44/12</f>
        <v>52.001106651385577</v>
      </c>
      <c r="EW79" s="21">
        <f>EXP(-LN(2)/25)*EW78+(1-EXP(-LN(2)/25))/(LN(2)/25)*Calculateur!ER79*Calculateur!ET79*VLOOKUP('Données projet'!$B$15,Paramètres!$A$1:$I$89,3,0)*0.475*44/12</f>
        <v>0</v>
      </c>
      <c r="EX79" s="21">
        <f>EXP(-LN(2)/2)*EX78+(1-EXP(-LN(2)/2))/(LN(2)/2)*ER79*EU79*VLOOKUP('Données projet'!$B$15,Paramètres!$A$1:$I$89,3,0)*0.475*44/12</f>
        <v>0</v>
      </c>
      <c r="EY79" s="22">
        <f t="shared" si="75"/>
        <v>52.001106651385577</v>
      </c>
      <c r="EZ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3.6</v>
      </c>
      <c r="FE79" s="12">
        <f>IF('Données projet'!$A$218&gt;35,FE78+FD79-FM78,IF(A79&lt;'Données projet'!$A$218,$FB$205^A79,IF(A79='Données projet'!$A$218,'Données projet'!$B$218,FE78+FD79-FM78)))</f>
        <v>315.59999999999991</v>
      </c>
      <c r="FF79" s="17">
        <f>FE79*VLOOKUP('Données projet'!$B$16,Paramètres!$A$1:$I$89,3,0)*VLOOKUP('Données projet'!$B$16,Paramètres!$A$1:$I$89,5,0)</f>
        <v>256.01471999999995</v>
      </c>
      <c r="FG79" s="13">
        <f t="shared" si="101"/>
        <v>61.872115120174627</v>
      </c>
      <c r="FH79" s="20">
        <f t="shared" si="76"/>
        <v>553.65290450097075</v>
      </c>
      <c r="FI79" s="59">
        <f t="shared" si="77"/>
        <v>822.74248888182024</v>
      </c>
      <c r="FJ79" s="59">
        <f ca="1">AVERAGE(OFFSET($FI$3,0,0,'Données projet'!$E$16+1,1))-AVERAGE(OFFSET($H$3,0,0,'Données projet'!$E$16+1,1))</f>
        <v>383.47399633251354</v>
      </c>
      <c r="FK79" s="59">
        <f t="shared" si="102"/>
        <v>370.49129421395628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>
        <f>EXP(-LN(2)/35)*FQ78+(1-EXP(-LN(2)/35))/(LN(2)/35)*FM79*FN79*VLOOKUP('Données projet'!$B$16,Paramètres!$A$1:$I$89,3,0)*0.475*44/12</f>
        <v>53.020736193569647</v>
      </c>
      <c r="FR79" s="21">
        <f>EXP(-LN(2)/25)*FR78+(1-EXP(-LN(2)/25))/(LN(2)/25)*Calculateur!FM79*Calculateur!FO79*VLOOKUP('Données projet'!$B$16,Paramètres!$A$1:$I$89,3,0)*0.475*44/12</f>
        <v>0</v>
      </c>
      <c r="FS79" s="21">
        <f>EXP(-LN(2)/2)*FS78+(1-EXP(-LN(2)/2))/(LN(2)/2)*FM79*FP79*VLOOKUP('Données projet'!$B$16,Paramètres!$A$1:$I$89,3,0)*0.475*44/12</f>
        <v>0</v>
      </c>
      <c r="FT79" s="22">
        <f t="shared" si="78"/>
        <v>53.020736193569647</v>
      </c>
      <c r="FU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11.009999999999998</v>
      </c>
      <c r="FZ79" s="12">
        <f>IF('Données projet'!$A$244&gt;35,FZ78+FY79-GH78,IF(A79&lt;'Données projet'!$A$244,$FW$205^A79,IF(A79='Données projet'!$A$244,'Données projet'!$B$244,FZ78+FY79-GH78)))</f>
        <v>351.6699999999999</v>
      </c>
      <c r="GA79" s="17">
        <f>FZ79*VLOOKUP('Données projet'!$B$17,Paramètres!$A$1:$I$89,3,0)*VLOOKUP('Données projet'!$B$17,Paramètres!$A$1:$I$89,5,0)</f>
        <v>334.64917199999991</v>
      </c>
      <c r="GB79" s="13">
        <f t="shared" si="103"/>
        <v>78.393412918187892</v>
      </c>
      <c r="GC79" s="20">
        <f t="shared" si="79"/>
        <v>719.38250206584371</v>
      </c>
      <c r="GD79" s="59">
        <f t="shared" si="80"/>
        <v>988.47208644669308</v>
      </c>
      <c r="GE79" s="59">
        <f ca="1">AVERAGE(OFFSET($GD$3,0,0,'Données projet'!$E$17+1,1))-AVERAGE(OFFSET($H$3,0,0,'Données projet'!$E$17+1,1))</f>
        <v>592.58528889137358</v>
      </c>
      <c r="GF79" s="59">
        <f t="shared" si="104"/>
        <v>311.31528020403709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>
        <f>EXP(-LN(2)/35)*GL78+(1-EXP(-LN(2)/35))/(LN(2)/35)*GH79*GI79*VLOOKUP('Données projet'!$B$17,Paramètres!$A$1:$I$89,3,0)*0.475*44/12</f>
        <v>98.245666118117342</v>
      </c>
      <c r="GM79" s="21">
        <f>EXP(-LN(2)/25)*GM78+(1-EXP(-LN(2)/25))/(LN(2)/25)*Calculateur!GH79*Calculateur!GJ79*VLOOKUP('Données projet'!$B$17,Paramètres!$A$1:$I$89,3,0)*0.475*44/12</f>
        <v>0</v>
      </c>
      <c r="GN79" s="21">
        <f>EXP(-LN(2)/2)*GN78+(1-EXP(-LN(2)/2))/(LN(2)/2)*GH79*GK79*VLOOKUP('Données projet'!$B$17,Paramètres!$A$1:$I$89,3,0)*0.475*44/12</f>
        <v>0</v>
      </c>
      <c r="GO79" s="21">
        <f t="shared" si="81"/>
        <v>98.245666118117342</v>
      </c>
      <c r="GP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328.00000000000006</v>
      </c>
      <c r="GV79" s="17">
        <f>GU79*VLOOKUP('Données projet'!$B$18,Paramètres!$A$1:$I$89,3,0)*VLOOKUP('Données projet'!$B$18,Paramètres!$A$1:$I$89,5,0)</f>
        <v>255.84000000000006</v>
      </c>
      <c r="GW79" s="13">
        <f t="shared" si="105"/>
        <v>61.834803371075836</v>
      </c>
      <c r="GX79" s="20">
        <f t="shared" si="82"/>
        <v>553.28361587129041</v>
      </c>
      <c r="GY79" s="59">
        <f t="shared" si="83"/>
        <v>822.3732002521399</v>
      </c>
      <c r="GZ79" s="59">
        <f ca="1">AVERAGE(OFFSET($GY$3,0,0,'Données projet'!$E$18+1,1))-AVERAGE(OFFSET($H$3,0,0,'Données projet'!$E$18+1,1))</f>
        <v>308.85018589589453</v>
      </c>
      <c r="HA79" s="59">
        <f t="shared" si="106"/>
        <v>302.59481222418219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>
        <f>EXP(-LN(2)/35)*HG78+(1-EXP(-LN(2)/35))/(LN(2)/35)*HC79*HD79*VLOOKUP('Données projet'!$B$18,Paramètres!$A$1:$I$89,3,0)*0.475*44/12</f>
        <v>43.858509243022674</v>
      </c>
      <c r="HH79" s="21">
        <f>EXP(-LN(2)/25)*HH78+(1-EXP(-LN(2)/25))/(LN(2)/25)*Calculateur!HC79*Calculateur!HE79*VLOOKUP('Données projet'!$B$18,Paramètres!$A$1:$I$89,3,0)*0.475*44/12</f>
        <v>0</v>
      </c>
      <c r="HI79" s="21">
        <f>EXP(-LN(2)/2)*HI78+(1-EXP(-LN(2)/2))/(LN(2)/2)*HC79*HF79*VLOOKUP('Données projet'!$B$18,Paramètres!$A$1:$I$89,3,0)*0.475*44/12</f>
        <v>0</v>
      </c>
      <c r="HJ79" s="22">
        <f t="shared" si="84"/>
        <v>43.858509243022674</v>
      </c>
    </row>
    <row r="80" spans="1:218" x14ac:dyDescent="0.35">
      <c r="A80" s="10">
        <f t="shared" si="85"/>
        <v>77</v>
      </c>
      <c r="B80" s="72">
        <f>'Scénario référence'!$B$16*5+'Scénario référence'!$B$17*0+'Scénario référence'!$B$18*5</f>
        <v>5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66">
        <f t="shared" si="56"/>
        <v>183.33333333333334</v>
      </c>
      <c r="I80" s="6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11.009999999999998</v>
      </c>
      <c r="N80" s="13">
        <f>IF('Données projet'!$A$36&gt;35,N79+M80-V79,IF(A80&lt;'Données projet'!$A$36,$K$205^A80,IF(A80='Données projet'!$A$36,'Données projet'!$B$36,N79+M80-V79)))</f>
        <v>362.67999999999989</v>
      </c>
      <c r="O80" s="13">
        <f>N80*VLOOKUP('Données projet'!$B$9,Paramètres!$A$1:$I$89,3,0)*VLOOKUP('Données projet'!$B$9,Paramètres!$A$1:$I$89,5,0)</f>
        <v>328.15286399999985</v>
      </c>
      <c r="P80" s="13">
        <f t="shared" si="87"/>
        <v>77.047223736242046</v>
      </c>
      <c r="Q80" s="20">
        <f t="shared" si="54"/>
        <v>705.72348614062139</v>
      </c>
      <c r="R80" s="59">
        <f t="shared" si="55"/>
        <v>975.23364536489362</v>
      </c>
      <c r="S80" s="59">
        <f ca="1">AVERAGE(OFFSET($R$3,0,0,'Données projet'!$E$9+1,1))-AVERAGE(OFFSET($H$3,0,0,'Données projet'!$E$9+1,1))</f>
        <v>567.42635821507474</v>
      </c>
      <c r="T80" s="59">
        <f t="shared" si="88"/>
        <v>299.04735309930152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91.582122208358399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91.582122208358399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11.009999999999998</v>
      </c>
      <c r="AI80" s="13">
        <f>IF('Données projet'!$A$62&gt;35,AI79+AH80-AQ79,IF(A80&lt;'Données projet'!$A$62,$AF$205^A80,IF(A80='Données projet'!$A$62,'Données projet'!$B$62,AI79+AH80-AQ79)))</f>
        <v>362.67999999999989</v>
      </c>
      <c r="AJ80" s="13">
        <f>AI80*VLOOKUP('Données projet'!$B$10,Paramètres!$A$1:$I$89,3,0)*VLOOKUP('Données projet'!$B$10,Paramètres!$A$1:$I$89,5,0)</f>
        <v>367.75751999999989</v>
      </c>
      <c r="AK80" s="13">
        <f t="shared" si="89"/>
        <v>85.208370703405464</v>
      </c>
      <c r="AL80" s="20">
        <f t="shared" si="58"/>
        <v>788.91559297509764</v>
      </c>
      <c r="AM80" s="59">
        <f t="shared" si="59"/>
        <v>1058.42575219937</v>
      </c>
      <c r="AN80" s="59">
        <f ca="1">AVERAGE(OFFSET($AM$3,0,0,'Données projet'!$E$10+1,1))-AVERAGE(OFFSET($H$3,0,0,'Données projet'!$E$10+1,1))</f>
        <v>626.09203985591455</v>
      </c>
      <c r="AO80" s="59">
        <f t="shared" si="90"/>
        <v>327.65191296575199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102.63513695764301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102.63513695764301</v>
      </c>
      <c r="AY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8.8000000000000007</v>
      </c>
      <c r="BD80" s="12">
        <f>IF('Données projet'!$A$88&gt;35,BD79+BC80-BL79,IF(A80&lt;'Données projet'!$A$88,$BA$205^A80,IF(A80='Données projet'!$A$88,'Données projet'!$B$88,BD79+BC80-BL79)))</f>
        <v>324.59999999999985</v>
      </c>
      <c r="BE80" s="13">
        <f>BD80*VLOOKUP('Données projet'!$B$11,Paramètres!$A$1:$I$89,3,0)*VLOOKUP('Données projet'!$B$11,Paramètres!$A$1:$I$89,5,0)</f>
        <v>278.50679999999994</v>
      </c>
      <c r="BF80" s="13">
        <f t="shared" si="91"/>
        <v>66.651354661909949</v>
      </c>
      <c r="BG80" s="20">
        <f t="shared" si="61"/>
        <v>601.15045270282633</v>
      </c>
      <c r="BH80" s="59">
        <f t="shared" si="62"/>
        <v>870.66061192709867</v>
      </c>
      <c r="BI80" s="59">
        <f ca="1">AVERAGE(OFFSET($BH$3,0,0,'Données projet'!$E$11+1,1))-AVERAGE(OFFSET($H$3,0,0,'Données projet'!$E$11+1,1))</f>
        <v>481.23392184981651</v>
      </c>
      <c r="BJ80" s="59">
        <f t="shared" si="92"/>
        <v>275.88160405468193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84.643274953715576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84.643274953715576</v>
      </c>
      <c r="BT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14.338750000000005</v>
      </c>
      <c r="BY80" s="12">
        <f>IF('Données projet'!$A$114&gt;35,BY79+BX80-CG79,IF(A80&lt;'Données projet'!$A$114,$BV$205^A80,IF(A80='Données projet'!$A$114,'Données projet'!$B$114,BY79+BX80-CG79)))</f>
        <v>430.05749999999938</v>
      </c>
      <c r="BZ80" s="13">
        <f>BY80*VLOOKUP('Données projet'!$B$12,Paramètres!$A$1:$I$89,3,0)*VLOOKUP('Données projet'!$B$12,Paramètres!$A$1:$I$89,5,0)</f>
        <v>201.26690999999968</v>
      </c>
      <c r="CA80" s="13">
        <f t="shared" si="93"/>
        <v>50.022493790546385</v>
      </c>
      <c r="CB80" s="20">
        <f t="shared" si="64"/>
        <v>437.66237826853438</v>
      </c>
      <c r="CC80" s="59">
        <f t="shared" si="65"/>
        <v>707.17253749280667</v>
      </c>
      <c r="CD80" s="59">
        <f ca="1">AVERAGE(OFFSET($CC$3,0,0,'Données projet'!$E$12+1,1))-AVERAGE(OFFSET($H$3,0,0,'Données projet'!$E$12+1,1))</f>
        <v>331.86732359395467</v>
      </c>
      <c r="CE80" s="59">
        <f t="shared" si="94"/>
        <v>208.64489375183106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112.74363371293735</v>
      </c>
      <c r="CL80" s="21">
        <f>EXP(-LN(2)/25)*CL79+(1-EXP(-LN(2)/25))/(LN(2)/25)*Calculateur!CG80*Calculateur!CI80*VLOOKUP('Données projet'!$B$12,Paramètres!$A$1:$I$89,3,0)*0.475*44/12</f>
        <v>0</v>
      </c>
      <c r="CM80" s="21">
        <f>EXP(-LN(2)/2)*CM79+(1-EXP(-LN(2)/2))/(LN(2)/2)*CG80*CJ80*VLOOKUP('Données projet'!$B$12,Paramètres!$A$1:$I$89,3,0)*0.475*44/12</f>
        <v>0</v>
      </c>
      <c r="CN80" s="22">
        <f t="shared" si="66"/>
        <v>112.74363371293735</v>
      </c>
      <c r="CO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3.6</v>
      </c>
      <c r="CT80" s="12">
        <f>IF('Données projet'!$A$140&gt;35,CT79+CS80-DB79,IF(A80&lt;'Données projet'!$A$140,$CQ$205^A80,IF(A80='Données projet'!$A$140,'Données projet'!$B$140,CT79+CS80-DB79)))</f>
        <v>319.19999999999993</v>
      </c>
      <c r="CU80" s="17">
        <f>CT80*VLOOKUP('Données projet'!$B$13,Paramètres!$A$1:$I$89,3,0)*VLOOKUP('Données projet'!$B$13,Paramètres!$A$1:$I$89,5,0)</f>
        <v>234.03743999999998</v>
      </c>
      <c r="CV80" s="13">
        <f t="shared" si="95"/>
        <v>57.154784339928739</v>
      </c>
      <c r="CW80" s="20">
        <f t="shared" si="67"/>
        <v>507.15979072537579</v>
      </c>
      <c r="CX80" s="59">
        <f t="shared" si="68"/>
        <v>776.66994994964807</v>
      </c>
      <c r="CY80" s="59">
        <f ca="1">AVERAGE(OFFSET($CX$3,0,0,'Données projet'!$E$13+1,1))-AVERAGE(OFFSET($H$3,0,0,'Données projet'!$E$13+1,1))</f>
        <v>352.45777291109863</v>
      </c>
      <c r="CZ80" s="59">
        <f t="shared" si="96"/>
        <v>340.92165104349181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38.118165987794164</v>
      </c>
      <c r="DG80" s="21">
        <f>EXP(-LN(2)/25)*DG79+(1-EXP(-LN(2)/25))/(LN(2)/25)*Calculateur!DB80*Calculateur!DD80*VLOOKUP('Données projet'!$B$13,Paramètres!$A$1:$I$89,3,0)*0.475*44/12</f>
        <v>0</v>
      </c>
      <c r="DH80" s="21">
        <f>EXP(-LN(2)/2)*DH79+(1-EXP(-LN(2)/2))/(LN(2)/2)*DB80*DE80*VLOOKUP('Données projet'!$B$13,Paramètres!$A$1:$I$89,3,0)*0.475*44/12</f>
        <v>0</v>
      </c>
      <c r="DI80" s="22">
        <f t="shared" si="69"/>
        <v>38.118165987794164</v>
      </c>
      <c r="DJ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11.009999999999998</v>
      </c>
      <c r="DO80" s="12">
        <f>IF('Données projet'!$A$166&gt;35,DO79+DN80-DW79,IF(A80&lt;'Données projet'!$A$166,$DL$205^A80,IF(A80='Données projet'!$A$166,'Données projet'!$B$166,DO79+DN80-DW79)))</f>
        <v>362.67999999999989</v>
      </c>
      <c r="DP80" s="17">
        <f>DO80*VLOOKUP('Données projet'!$B$14,Paramètres!$A$1:$I$89,3,0)*VLOOKUP('Données projet'!$B$14,Paramètres!$A$1:$I$89,5,0)</f>
        <v>243.28574399999994</v>
      </c>
      <c r="DQ80" s="13">
        <f t="shared" si="97"/>
        <v>59.145913871311265</v>
      </c>
      <c r="DR80" s="20">
        <f t="shared" si="70"/>
        <v>526.73513745920025</v>
      </c>
      <c r="DS80" s="59">
        <f t="shared" si="71"/>
        <v>796.24529668347259</v>
      </c>
      <c r="DT80" s="59">
        <f ca="1">AVERAGE(OFFSET($DS$3,0,0,'Données projet'!$E$14+1,1))-AVERAGE(OFFSET($H$3,0,0,'Données projet'!$E$14+1,1))</f>
        <v>441.20130048888439</v>
      </c>
      <c r="DU80" s="59">
        <f t="shared" si="98"/>
        <v>237.47732532183946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83.687111673155087</v>
      </c>
      <c r="EB80" s="21">
        <f>EXP(-LN(2)/25)*EB79+(1-EXP(-LN(2)/25))/(LN(2)/25)*Calculateur!DW80*Calculateur!DY80*VLOOKUP('Données projet'!$B$14,Paramètres!$A$1:$I$89,3,0)*0.475*44/12</f>
        <v>0</v>
      </c>
      <c r="EC80" s="21">
        <f>EXP(-LN(2)/2)*EC79+(1-EXP(-LN(2)/2))/(LN(2)/2)*DW80*DZ80*VLOOKUP('Données projet'!$B$14,Paramètres!$A$1:$I$89,3,0)*0.475*44/12</f>
        <v>0</v>
      </c>
      <c r="ED80" s="22">
        <f t="shared" si="72"/>
        <v>83.687111673155087</v>
      </c>
      <c r="EE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3.6</v>
      </c>
      <c r="EJ80" s="12">
        <f>IF('Données projet'!$A$192&gt;35,EJ79+EI80-ER79,IF(A80&lt;'Données projet'!$A$192,$EG$205^A80,IF(A80='Données projet'!$A$192,'Données projet'!$B$192,EJ79+EI80-ER79)))</f>
        <v>319.19999999999993</v>
      </c>
      <c r="EK80" s="17">
        <f>EJ80*VLOOKUP('Données projet'!$B$15,Paramètres!$A$1:$I$89,3,0)*VLOOKUP('Données projet'!$B$15,Paramètres!$A$1:$I$89,5,0)</f>
        <v>253.95551999999998</v>
      </c>
      <c r="EL80" s="13">
        <f t="shared" si="99"/>
        <v>61.432180511879253</v>
      </c>
      <c r="EM80" s="20">
        <f t="shared" si="73"/>
        <v>549.30024505818972</v>
      </c>
      <c r="EN80" s="59">
        <f t="shared" si="74"/>
        <v>818.81040428246206</v>
      </c>
      <c r="EO80" s="59">
        <f ca="1">AVERAGE(OFFSET($EN$3,0,0,'Données projet'!$E$15+1,1))-AVERAGE(OFFSET($H$3,0,0,'Données projet'!$E$15+1,1))</f>
        <v>377.27600411578322</v>
      </c>
      <c r="EP80" s="59">
        <f t="shared" si="100"/>
        <v>364.58250627635425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>
        <f>EXP(-LN(2)/35)*EV79+(1-EXP(-LN(2)/35))/(LN(2)/35)*ER80*ES80*VLOOKUP('Données projet'!$B$15,Paramètres!$A$1:$I$89,3,0)*0.475*44/12</f>
        <v>50.981396667495119</v>
      </c>
      <c r="EW80" s="21">
        <f>EXP(-LN(2)/25)*EW79+(1-EXP(-LN(2)/25))/(LN(2)/25)*Calculateur!ER80*Calculateur!ET80*VLOOKUP('Données projet'!$B$15,Paramètres!$A$1:$I$89,3,0)*0.475*44/12</f>
        <v>0</v>
      </c>
      <c r="EX80" s="21">
        <f>EXP(-LN(2)/2)*EX79+(1-EXP(-LN(2)/2))/(LN(2)/2)*ER80*EU80*VLOOKUP('Données projet'!$B$15,Paramètres!$A$1:$I$89,3,0)*0.475*44/12</f>
        <v>0</v>
      </c>
      <c r="EY80" s="22">
        <f t="shared" si="75"/>
        <v>50.981396667495119</v>
      </c>
      <c r="EZ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3.6</v>
      </c>
      <c r="FE80" s="12">
        <f>IF('Données projet'!$A$218&gt;35,FE79+FD80-FM79,IF(A80&lt;'Données projet'!$A$218,$FB$205^A80,IF(A80='Données projet'!$A$218,'Données projet'!$B$218,FE79+FD80-FM79)))</f>
        <v>319.19999999999993</v>
      </c>
      <c r="FF80" s="17">
        <f>FE80*VLOOKUP('Données projet'!$B$16,Paramètres!$A$1:$I$89,3,0)*VLOOKUP('Données projet'!$B$16,Paramètres!$A$1:$I$89,5,0)</f>
        <v>258.93503999999996</v>
      </c>
      <c r="FG80" s="13">
        <f t="shared" si="101"/>
        <v>62.495317322077135</v>
      </c>
      <c r="FH80" s="20">
        <f t="shared" si="76"/>
        <v>559.8245390026176</v>
      </c>
      <c r="FI80" s="59">
        <f t="shared" si="77"/>
        <v>829.33469822688994</v>
      </c>
      <c r="FJ80" s="59">
        <f ca="1">AVERAGE(OFFSET($FI$3,0,0,'Données projet'!$E$16+1,1))-AVERAGE(OFFSET($H$3,0,0,'Données projet'!$E$16+1,1))</f>
        <v>383.47399633251354</v>
      </c>
      <c r="FK80" s="59">
        <f t="shared" si="102"/>
        <v>370.49129421395628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>
        <f>EXP(-LN(2)/35)*FQ79+(1-EXP(-LN(2)/35))/(LN(2)/35)*FM80*FN80*VLOOKUP('Données projet'!$B$16,Paramètres!$A$1:$I$89,3,0)*0.475*44/12</f>
        <v>51.98103189626957</v>
      </c>
      <c r="FR80" s="21">
        <f>EXP(-LN(2)/25)*FR79+(1-EXP(-LN(2)/25))/(LN(2)/25)*Calculateur!FM80*Calculateur!FO80*VLOOKUP('Données projet'!$B$16,Paramètres!$A$1:$I$89,3,0)*0.475*44/12</f>
        <v>0</v>
      </c>
      <c r="FS80" s="21">
        <f>EXP(-LN(2)/2)*FS79+(1-EXP(-LN(2)/2))/(LN(2)/2)*FM80*FP80*VLOOKUP('Données projet'!$B$16,Paramètres!$A$1:$I$89,3,0)*0.475*44/12</f>
        <v>0</v>
      </c>
      <c r="FT80" s="22">
        <f t="shared" si="78"/>
        <v>51.98103189626957</v>
      </c>
      <c r="FU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11.009999999999998</v>
      </c>
      <c r="FZ80" s="12">
        <f>IF('Données projet'!$A$244&gt;35,FZ79+FY80-GH79,IF(A80&lt;'Données projet'!$A$244,$FW$205^A80,IF(A80='Données projet'!$A$244,'Données projet'!$B$244,FZ79+FY80-GH79)))</f>
        <v>362.67999999999989</v>
      </c>
      <c r="GA80" s="17">
        <f>FZ80*VLOOKUP('Données projet'!$B$17,Paramètres!$A$1:$I$89,3,0)*VLOOKUP('Données projet'!$B$17,Paramètres!$A$1:$I$89,5,0)</f>
        <v>345.12628799999987</v>
      </c>
      <c r="GB80" s="13">
        <f t="shared" si="103"/>
        <v>80.558145771439186</v>
      </c>
      <c r="GC80" s="20">
        <f t="shared" si="79"/>
        <v>741.4003888185897</v>
      </c>
      <c r="GD80" s="59">
        <f t="shared" si="80"/>
        <v>1010.910548042862</v>
      </c>
      <c r="GE80" s="59">
        <f ca="1">AVERAGE(OFFSET($GD$3,0,0,'Données projet'!$E$17+1,1))-AVERAGE(OFFSET($H$3,0,0,'Données projet'!$E$17+1,1))</f>
        <v>592.58528889137358</v>
      </c>
      <c r="GF80" s="59">
        <f t="shared" si="104"/>
        <v>311.31528020403709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>
        <f>EXP(-LN(2)/35)*GL79+(1-EXP(-LN(2)/35))/(LN(2)/35)*GH80*GI80*VLOOKUP('Données projet'!$B$17,Paramètres!$A$1:$I$89,3,0)*0.475*44/12</f>
        <v>96.319128529480395</v>
      </c>
      <c r="GM80" s="21">
        <f>EXP(-LN(2)/25)*GM79+(1-EXP(-LN(2)/25))/(LN(2)/25)*Calculateur!GH80*Calculateur!GJ80*VLOOKUP('Données projet'!$B$17,Paramètres!$A$1:$I$89,3,0)*0.475*44/12</f>
        <v>0</v>
      </c>
      <c r="GN80" s="21">
        <f>EXP(-LN(2)/2)*GN79+(1-EXP(-LN(2)/2))/(LN(2)/2)*GH80*GK80*VLOOKUP('Données projet'!$B$17,Paramètres!$A$1:$I$89,3,0)*0.475*44/12</f>
        <v>0</v>
      </c>
      <c r="GO80" s="21">
        <f t="shared" si="81"/>
        <v>96.319128529480395</v>
      </c>
      <c r="GP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328.00000000000006</v>
      </c>
      <c r="GV80" s="17">
        <f>GU80*VLOOKUP('Données projet'!$B$18,Paramètres!$A$1:$I$89,3,0)*VLOOKUP('Données projet'!$B$18,Paramètres!$A$1:$I$89,5,0)</f>
        <v>255.84000000000006</v>
      </c>
      <c r="GW80" s="13">
        <f t="shared" si="105"/>
        <v>61.834803371075836</v>
      </c>
      <c r="GX80" s="20">
        <f t="shared" si="82"/>
        <v>553.28361587129041</v>
      </c>
      <c r="GY80" s="59">
        <f t="shared" si="83"/>
        <v>822.79377509556275</v>
      </c>
      <c r="GZ80" s="59">
        <f ca="1">AVERAGE(OFFSET($GY$3,0,0,'Données projet'!$E$18+1,1))-AVERAGE(OFFSET($H$3,0,0,'Données projet'!$E$18+1,1))</f>
        <v>308.85018589589453</v>
      </c>
      <c r="HA80" s="59">
        <f t="shared" si="106"/>
        <v>302.59481222418219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>
        <f>EXP(-LN(2)/35)*HG79+(1-EXP(-LN(2)/35))/(LN(2)/35)*HC80*HD80*VLOOKUP('Données projet'!$B$18,Paramètres!$A$1:$I$89,3,0)*0.475*44/12</f>
        <v>42.998470627816189</v>
      </c>
      <c r="HH80" s="21">
        <f>EXP(-LN(2)/25)*HH79+(1-EXP(-LN(2)/25))/(LN(2)/25)*Calculateur!HC80*Calculateur!HE80*VLOOKUP('Données projet'!$B$18,Paramètres!$A$1:$I$89,3,0)*0.475*44/12</f>
        <v>0</v>
      </c>
      <c r="HI80" s="21">
        <f>EXP(-LN(2)/2)*HI79+(1-EXP(-LN(2)/2))/(LN(2)/2)*HC80*HF80*VLOOKUP('Données projet'!$B$18,Paramètres!$A$1:$I$89,3,0)*0.475*44/12</f>
        <v>0</v>
      </c>
      <c r="HJ80" s="22">
        <f t="shared" si="84"/>
        <v>42.998470627816189</v>
      </c>
    </row>
    <row r="81" spans="1:218" x14ac:dyDescent="0.35">
      <c r="A81" s="10">
        <f t="shared" si="85"/>
        <v>78</v>
      </c>
      <c r="B81" s="72">
        <f>'Scénario référence'!$B$16*5+'Scénario référence'!$B$17*0+'Scénario référence'!$B$18*5</f>
        <v>5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66">
        <f t="shared" si="56"/>
        <v>183.33333333333334</v>
      </c>
      <c r="I81" s="6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11.009999999999998</v>
      </c>
      <c r="N81" s="13">
        <f>IF('Données projet'!$A$36&gt;35,N80+M81-V80,IF(A81&lt;'Données projet'!$A$36,$K$205^A81,IF(A81='Données projet'!$A$36,'Données projet'!$B$36,N80+M81-V80)))</f>
        <v>373.68999999999988</v>
      </c>
      <c r="O81" s="13">
        <f>N81*VLOOKUP('Données projet'!$B$9,Paramètres!$A$1:$I$89,3,0)*VLOOKUP('Données projet'!$B$9,Paramètres!$A$1:$I$89,5,0)</f>
        <v>338.11471199999988</v>
      </c>
      <c r="P81" s="13">
        <f t="shared" si="87"/>
        <v>79.110308022170997</v>
      </c>
      <c r="Q81" s="20">
        <f t="shared" si="54"/>
        <v>726.66690987194761</v>
      </c>
      <c r="R81" s="59">
        <f t="shared" si="55"/>
        <v>996.59034790637384</v>
      </c>
      <c r="S81" s="59">
        <f ca="1">AVERAGE(OFFSET($R$3,0,0,'Données projet'!$E$9+1,1))-AVERAGE(OFFSET($H$3,0,0,'Données projet'!$E$9+1,1))</f>
        <v>567.42635821507474</v>
      </c>
      <c r="T81" s="59">
        <f t="shared" si="88"/>
        <v>299.04735309930152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89.786252651431369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89.786252651431369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11.009999999999998</v>
      </c>
      <c r="AI81" s="13">
        <f>IF('Données projet'!$A$62&gt;35,AI80+AH81-AQ80,IF(A81&lt;'Données projet'!$A$62,$AF$205^A81,IF(A81='Données projet'!$A$62,'Données projet'!$B$62,AI80+AH81-AQ80)))</f>
        <v>373.68999999999988</v>
      </c>
      <c r="AJ81" s="13">
        <f>AI81*VLOOKUP('Données projet'!$B$10,Paramètres!$A$1:$I$89,3,0)*VLOOKUP('Données projet'!$B$10,Paramètres!$A$1:$I$89,5,0)</f>
        <v>378.92165999999992</v>
      </c>
      <c r="AK81" s="13">
        <f t="shared" si="89"/>
        <v>87.489985044625499</v>
      </c>
      <c r="AL81" s="20">
        <f t="shared" si="58"/>
        <v>812.33361511938926</v>
      </c>
      <c r="AM81" s="59">
        <f t="shared" si="59"/>
        <v>1082.2570531538154</v>
      </c>
      <c r="AN81" s="59">
        <f ca="1">AVERAGE(OFFSET($AM$3,0,0,'Données projet'!$E$10+1,1))-AVERAGE(OFFSET($H$3,0,0,'Données projet'!$E$10+1,1))</f>
        <v>626.09203985591455</v>
      </c>
      <c r="AO81" s="59">
        <f t="shared" si="90"/>
        <v>327.65191296575199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100.62252452315582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100.62252452315582</v>
      </c>
      <c r="AY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8.8000000000000007</v>
      </c>
      <c r="BD81" s="12">
        <f>IF('Données projet'!$A$88&gt;35,BD80+BC81-BL80,IF(A81&lt;'Données projet'!$A$88,$BA$205^A81,IF(A81='Données projet'!$A$88,'Données projet'!$B$88,BD80+BC81-BL80)))</f>
        <v>333.39999999999986</v>
      </c>
      <c r="BE81" s="13">
        <f>BD81*VLOOKUP('Données projet'!$B$11,Paramètres!$A$1:$I$89,3,0)*VLOOKUP('Données projet'!$B$11,Paramètres!$A$1:$I$89,5,0)</f>
        <v>286.05719999999991</v>
      </c>
      <c r="BF81" s="13">
        <f t="shared" si="91"/>
        <v>68.24547055517067</v>
      </c>
      <c r="BG81" s="20">
        <f t="shared" si="61"/>
        <v>617.07715121692206</v>
      </c>
      <c r="BH81" s="59">
        <f t="shared" si="62"/>
        <v>887.00058925134829</v>
      </c>
      <c r="BI81" s="59">
        <f ca="1">AVERAGE(OFFSET($BH$3,0,0,'Données projet'!$E$11+1,1))-AVERAGE(OFFSET($H$3,0,0,'Données projet'!$E$11+1,1))</f>
        <v>481.23392184981651</v>
      </c>
      <c r="BJ81" s="59">
        <f t="shared" si="92"/>
        <v>275.88160405468193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82.983471959173158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82.983471959173158</v>
      </c>
      <c r="BT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14.338750000000005</v>
      </c>
      <c r="BY81" s="12">
        <f>IF('Données projet'!$A$114&gt;35,BY80+BX81-CG80,IF(A81&lt;'Données projet'!$A$114,$BV$205^A81,IF(A81='Données projet'!$A$114,'Données projet'!$B$114,BY80+BX81-CG80)))</f>
        <v>444.39624999999938</v>
      </c>
      <c r="BZ81" s="13">
        <f>BY81*VLOOKUP('Données projet'!$B$12,Paramètres!$A$1:$I$89,3,0)*VLOOKUP('Données projet'!$B$12,Paramètres!$A$1:$I$89,5,0)</f>
        <v>207.97744499999973</v>
      </c>
      <c r="CA81" s="13">
        <f t="shared" si="93"/>
        <v>51.493357906038632</v>
      </c>
      <c r="CB81" s="20">
        <f t="shared" si="64"/>
        <v>451.91164839468348</v>
      </c>
      <c r="CC81" s="59">
        <f t="shared" si="65"/>
        <v>721.83508642910965</v>
      </c>
      <c r="CD81" s="59">
        <f ca="1">AVERAGE(OFFSET($CC$3,0,0,'Données projet'!$E$12+1,1))-AVERAGE(OFFSET($H$3,0,0,'Données projet'!$E$12+1,1))</f>
        <v>331.86732359395467</v>
      </c>
      <c r="CE81" s="59">
        <f t="shared" si="94"/>
        <v>208.64489375183106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110.53279982265306</v>
      </c>
      <c r="CL81" s="21">
        <f>EXP(-LN(2)/25)*CL80+(1-EXP(-LN(2)/25))/(LN(2)/25)*Calculateur!CG81*Calculateur!CI81*VLOOKUP('Données projet'!$B$12,Paramètres!$A$1:$I$89,3,0)*0.475*44/12</f>
        <v>0</v>
      </c>
      <c r="CM81" s="21">
        <f>EXP(-LN(2)/2)*CM80+(1-EXP(-LN(2)/2))/(LN(2)/2)*CG81*CJ81*VLOOKUP('Données projet'!$B$12,Paramètres!$A$1:$I$89,3,0)*0.475*44/12</f>
        <v>0</v>
      </c>
      <c r="CN81" s="22">
        <f t="shared" si="66"/>
        <v>110.53279982265306</v>
      </c>
      <c r="CO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3.6</v>
      </c>
      <c r="CT81" s="12">
        <f>IF('Données projet'!$A$140&gt;35,CT80+CS81-DB80,IF(A81&lt;'Données projet'!$A$140,$CQ$205^A81,IF(A81='Données projet'!$A$140,'Données projet'!$B$140,CT80+CS81-DB80)))</f>
        <v>322.79999999999995</v>
      </c>
      <c r="CU81" s="17">
        <f>CT81*VLOOKUP('Données projet'!$B$13,Paramètres!$A$1:$I$89,3,0)*VLOOKUP('Données projet'!$B$13,Paramètres!$A$1:$I$89,5,0)</f>
        <v>236.67695999999998</v>
      </c>
      <c r="CV81" s="13">
        <f t="shared" si="95"/>
        <v>57.723983099802702</v>
      </c>
      <c r="CW81" s="20">
        <f t="shared" si="67"/>
        <v>512.74830923215643</v>
      </c>
      <c r="CX81" s="59">
        <f t="shared" si="68"/>
        <v>782.67174726658266</v>
      </c>
      <c r="CY81" s="59">
        <f ca="1">AVERAGE(OFFSET($CX$3,0,0,'Données projet'!$E$13+1,1))-AVERAGE(OFFSET($H$3,0,0,'Données projet'!$E$13+1,1))</f>
        <v>352.45777291109863</v>
      </c>
      <c r="CZ81" s="59">
        <f t="shared" si="96"/>
        <v>340.92165104349181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37.370692002559046</v>
      </c>
      <c r="DG81" s="21">
        <f>EXP(-LN(2)/25)*DG80+(1-EXP(-LN(2)/25))/(LN(2)/25)*Calculateur!DB81*Calculateur!DD81*VLOOKUP('Données projet'!$B$13,Paramètres!$A$1:$I$89,3,0)*0.475*44/12</f>
        <v>0</v>
      </c>
      <c r="DH81" s="21">
        <f>EXP(-LN(2)/2)*DH80+(1-EXP(-LN(2)/2))/(LN(2)/2)*DB81*DE81*VLOOKUP('Données projet'!$B$13,Paramètres!$A$1:$I$89,3,0)*0.475*44/12</f>
        <v>0</v>
      </c>
      <c r="DI81" s="22">
        <f t="shared" si="69"/>
        <v>37.370692002559046</v>
      </c>
      <c r="DJ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11.009999999999998</v>
      </c>
      <c r="DO81" s="12">
        <f>IF('Données projet'!$A$166&gt;35,DO80+DN81-DW80,IF(A81&lt;'Données projet'!$A$166,$DL$205^A81,IF(A81='Données projet'!$A$166,'Données projet'!$B$166,DO80+DN81-DW80)))</f>
        <v>373.68999999999988</v>
      </c>
      <c r="DP81" s="17">
        <f>DO81*VLOOKUP('Données projet'!$B$14,Paramètres!$A$1:$I$89,3,0)*VLOOKUP('Données projet'!$B$14,Paramètres!$A$1:$I$89,5,0)</f>
        <v>250.67125199999992</v>
      </c>
      <c r="DQ81" s="13">
        <f t="shared" si="97"/>
        <v>60.729656926123134</v>
      </c>
      <c r="DR81" s="20">
        <f t="shared" si="70"/>
        <v>542.35658304633102</v>
      </c>
      <c r="DS81" s="59">
        <f t="shared" si="71"/>
        <v>812.28002108075725</v>
      </c>
      <c r="DT81" s="59">
        <f ca="1">AVERAGE(OFFSET($DS$3,0,0,'Données projet'!$E$14+1,1))-AVERAGE(OFFSET($H$3,0,0,'Données projet'!$E$14+1,1))</f>
        <v>441.20130048888439</v>
      </c>
      <c r="DU81" s="59">
        <f t="shared" si="98"/>
        <v>237.47732532183946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82.046058457342454</v>
      </c>
      <c r="EB81" s="21">
        <f>EXP(-LN(2)/25)*EB80+(1-EXP(-LN(2)/25))/(LN(2)/25)*Calculateur!DW81*Calculateur!DY81*VLOOKUP('Données projet'!$B$14,Paramètres!$A$1:$I$89,3,0)*0.475*44/12</f>
        <v>0</v>
      </c>
      <c r="EC81" s="21">
        <f>EXP(-LN(2)/2)*EC80+(1-EXP(-LN(2)/2))/(LN(2)/2)*DW81*DZ81*VLOOKUP('Données projet'!$B$14,Paramètres!$A$1:$I$89,3,0)*0.475*44/12</f>
        <v>0</v>
      </c>
      <c r="ED81" s="22">
        <f t="shared" si="72"/>
        <v>82.046058457342454</v>
      </c>
      <c r="EE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3.6</v>
      </c>
      <c r="EJ81" s="12">
        <f>IF('Données projet'!$A$192&gt;35,EJ80+EI81-ER80,IF(A81&lt;'Données projet'!$A$192,$EG$205^A81,IF(A81='Données projet'!$A$192,'Données projet'!$B$192,EJ80+EI81-ER80)))</f>
        <v>322.79999999999995</v>
      </c>
      <c r="EK81" s="17">
        <f>EJ81*VLOOKUP('Données projet'!$B$15,Paramètres!$A$1:$I$89,3,0)*VLOOKUP('Données projet'!$B$15,Paramètres!$A$1:$I$89,5,0)</f>
        <v>256.81968000000001</v>
      </c>
      <c r="EL81" s="13">
        <f t="shared" si="99"/>
        <v>62.043977430851903</v>
      </c>
      <c r="EM81" s="20">
        <f t="shared" si="73"/>
        <v>555.35420335873368</v>
      </c>
      <c r="EN81" s="59">
        <f t="shared" si="74"/>
        <v>825.27764139315991</v>
      </c>
      <c r="EO81" s="59">
        <f ca="1">AVERAGE(OFFSET($EN$3,0,0,'Données projet'!$E$15+1,1))-AVERAGE(OFFSET($H$3,0,0,'Données projet'!$E$15+1,1))</f>
        <v>377.27600411578322</v>
      </c>
      <c r="EP81" s="59">
        <f t="shared" si="100"/>
        <v>364.58250627635425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>
        <f>EXP(-LN(2)/35)*EV80+(1-EXP(-LN(2)/35))/(LN(2)/35)*ER81*ES81*VLOOKUP('Données projet'!$B$15,Paramètres!$A$1:$I$89,3,0)*0.475*44/12</f>
        <v>49.981682574427076</v>
      </c>
      <c r="EW81" s="21">
        <f>EXP(-LN(2)/25)*EW80+(1-EXP(-LN(2)/25))/(LN(2)/25)*Calculateur!ER81*Calculateur!ET81*VLOOKUP('Données projet'!$B$15,Paramètres!$A$1:$I$89,3,0)*0.475*44/12</f>
        <v>0</v>
      </c>
      <c r="EX81" s="21">
        <f>EXP(-LN(2)/2)*EX80+(1-EXP(-LN(2)/2))/(LN(2)/2)*ER81*EU81*VLOOKUP('Données projet'!$B$15,Paramètres!$A$1:$I$89,3,0)*0.475*44/12</f>
        <v>0</v>
      </c>
      <c r="EY81" s="22">
        <f t="shared" si="75"/>
        <v>49.981682574427076</v>
      </c>
      <c r="EZ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3.6</v>
      </c>
      <c r="FE81" s="12">
        <f>IF('Données projet'!$A$218&gt;35,FE80+FD81-FM80,IF(A81&lt;'Données projet'!$A$218,$FB$205^A81,IF(A81='Données projet'!$A$218,'Données projet'!$B$218,FE80+FD81-FM80)))</f>
        <v>322.79999999999995</v>
      </c>
      <c r="FF81" s="17">
        <f>FE81*VLOOKUP('Données projet'!$B$16,Paramètres!$A$1:$I$89,3,0)*VLOOKUP('Données projet'!$B$16,Paramètres!$A$1:$I$89,5,0)</f>
        <v>261.85536000000002</v>
      </c>
      <c r="FG81" s="13">
        <f t="shared" si="101"/>
        <v>63.117701913821712</v>
      </c>
      <c r="FH81" s="20">
        <f t="shared" si="76"/>
        <v>565.99474949990611</v>
      </c>
      <c r="FI81" s="59">
        <f t="shared" si="77"/>
        <v>835.91818753433233</v>
      </c>
      <c r="FJ81" s="59">
        <f ca="1">AVERAGE(OFFSET($FI$3,0,0,'Données projet'!$E$16+1,1))-AVERAGE(OFFSET($H$3,0,0,'Données projet'!$E$16+1,1))</f>
        <v>383.47399633251354</v>
      </c>
      <c r="FK81" s="59">
        <f t="shared" si="102"/>
        <v>370.49129421395628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>
        <f>EXP(-LN(2)/35)*FQ80+(1-EXP(-LN(2)/35))/(LN(2)/35)*FM81*FN81*VLOOKUP('Données projet'!$B$16,Paramètres!$A$1:$I$89,3,0)*0.475*44/12</f>
        <v>50.961715566082546</v>
      </c>
      <c r="FR81" s="21">
        <f>EXP(-LN(2)/25)*FR80+(1-EXP(-LN(2)/25))/(LN(2)/25)*Calculateur!FM81*Calculateur!FO81*VLOOKUP('Données projet'!$B$16,Paramètres!$A$1:$I$89,3,0)*0.475*44/12</f>
        <v>0</v>
      </c>
      <c r="FS81" s="21">
        <f>EXP(-LN(2)/2)*FS80+(1-EXP(-LN(2)/2))/(LN(2)/2)*FM81*FP81*VLOOKUP('Données projet'!$B$16,Paramètres!$A$1:$I$89,3,0)*0.475*44/12</f>
        <v>0</v>
      </c>
      <c r="FT81" s="22">
        <f t="shared" si="78"/>
        <v>50.961715566082546</v>
      </c>
      <c r="FU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11.009999999999998</v>
      </c>
      <c r="FZ81" s="12">
        <f>IF('Données projet'!$A$244&gt;35,FZ80+FY81-GH80,IF(A81&lt;'Données projet'!$A$244,$FW$205^A81,IF(A81='Données projet'!$A$244,'Données projet'!$B$244,FZ80+FY81-GH80)))</f>
        <v>373.68999999999988</v>
      </c>
      <c r="GA81" s="17">
        <f>FZ81*VLOOKUP('Données projet'!$B$17,Paramètres!$A$1:$I$89,3,0)*VLOOKUP('Données projet'!$B$17,Paramètres!$A$1:$I$89,5,0)</f>
        <v>355.6034039999999</v>
      </c>
      <c r="GB81" s="13">
        <f t="shared" si="103"/>
        <v>82.715241596378789</v>
      </c>
      <c r="GC81" s="20">
        <f t="shared" si="79"/>
        <v>763.40497441369291</v>
      </c>
      <c r="GD81" s="59">
        <f t="shared" si="80"/>
        <v>1033.3284124481193</v>
      </c>
      <c r="GE81" s="59">
        <f ca="1">AVERAGE(OFFSET($GD$3,0,0,'Données projet'!$E$17+1,1))-AVERAGE(OFFSET($H$3,0,0,'Données projet'!$E$17+1,1))</f>
        <v>592.58528889137358</v>
      </c>
      <c r="GF81" s="59">
        <f t="shared" si="104"/>
        <v>311.31528020403709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>
        <f>EXP(-LN(2)/35)*GL80+(1-EXP(-LN(2)/35))/(LN(2)/35)*GH81*GI81*VLOOKUP('Données projet'!$B$17,Paramètres!$A$1:$I$89,3,0)*0.475*44/12</f>
        <v>94.43036916788472</v>
      </c>
      <c r="GM81" s="21">
        <f>EXP(-LN(2)/25)*GM80+(1-EXP(-LN(2)/25))/(LN(2)/25)*Calculateur!GH81*Calculateur!GJ81*VLOOKUP('Données projet'!$B$17,Paramètres!$A$1:$I$89,3,0)*0.475*44/12</f>
        <v>0</v>
      </c>
      <c r="GN81" s="21">
        <f>EXP(-LN(2)/2)*GN80+(1-EXP(-LN(2)/2))/(LN(2)/2)*GH81*GK81*VLOOKUP('Données projet'!$B$17,Paramètres!$A$1:$I$89,3,0)*0.475*44/12</f>
        <v>0</v>
      </c>
      <c r="GO81" s="21">
        <f t="shared" si="81"/>
        <v>94.43036916788472</v>
      </c>
      <c r="GP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328.00000000000006</v>
      </c>
      <c r="GV81" s="17">
        <f>GU81*VLOOKUP('Données projet'!$B$18,Paramètres!$A$1:$I$89,3,0)*VLOOKUP('Données projet'!$B$18,Paramètres!$A$1:$I$89,5,0)</f>
        <v>255.84000000000006</v>
      </c>
      <c r="GW81" s="13">
        <f t="shared" si="105"/>
        <v>61.834803371075836</v>
      </c>
      <c r="GX81" s="20">
        <f t="shared" si="82"/>
        <v>553.28361587129041</v>
      </c>
      <c r="GY81" s="59">
        <f t="shared" si="83"/>
        <v>823.20705390571663</v>
      </c>
      <c r="GZ81" s="59">
        <f ca="1">AVERAGE(OFFSET($GY$3,0,0,'Données projet'!$E$18+1,1))-AVERAGE(OFFSET($H$3,0,0,'Données projet'!$E$18+1,1))</f>
        <v>308.85018589589453</v>
      </c>
      <c r="HA81" s="59">
        <f t="shared" si="106"/>
        <v>302.59481222418219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>
        <f>EXP(-LN(2)/35)*HG80+(1-EXP(-LN(2)/35))/(LN(2)/35)*HC81*HD81*VLOOKUP('Données projet'!$B$18,Paramètres!$A$1:$I$89,3,0)*0.475*44/12</f>
        <v>42.155296845282145</v>
      </c>
      <c r="HH81" s="21">
        <f>EXP(-LN(2)/25)*HH80+(1-EXP(-LN(2)/25))/(LN(2)/25)*Calculateur!HC81*Calculateur!HE81*VLOOKUP('Données projet'!$B$18,Paramètres!$A$1:$I$89,3,0)*0.475*44/12</f>
        <v>0</v>
      </c>
      <c r="HI81" s="21">
        <f>EXP(-LN(2)/2)*HI80+(1-EXP(-LN(2)/2))/(LN(2)/2)*HC81*HF81*VLOOKUP('Données projet'!$B$18,Paramètres!$A$1:$I$89,3,0)*0.475*44/12</f>
        <v>0</v>
      </c>
      <c r="HJ81" s="22">
        <f t="shared" si="84"/>
        <v>42.155296845282145</v>
      </c>
    </row>
    <row r="82" spans="1:218" x14ac:dyDescent="0.35">
      <c r="A82" s="10">
        <f t="shared" si="85"/>
        <v>79</v>
      </c>
      <c r="B82" s="72">
        <f>'Scénario référence'!$B$16*5+'Scénario référence'!$B$17*0+'Scénario référence'!$B$18*5</f>
        <v>5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66">
        <f t="shared" si="56"/>
        <v>183.33333333333334</v>
      </c>
      <c r="I82" s="6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11.009999999999998</v>
      </c>
      <c r="N82" s="13">
        <f>IF('Données projet'!$A$36&gt;35,N81+M82-V81,IF(A82&lt;'Données projet'!$A$36,$K$205^A82,IF(A82='Données projet'!$A$36,'Données projet'!$B$36,N81+M82-V81)))</f>
        <v>384.69999999999987</v>
      </c>
      <c r="O82" s="13">
        <f>N82*VLOOKUP('Données projet'!$B$9,Paramètres!$A$1:$I$89,3,0)*VLOOKUP('Données projet'!$B$9,Paramètres!$A$1:$I$89,5,0)</f>
        <v>348.07655999999986</v>
      </c>
      <c r="P82" s="13">
        <f t="shared" si="87"/>
        <v>81.166328031452807</v>
      </c>
      <c r="Q82" s="20">
        <f t="shared" si="54"/>
        <v>747.59802998811335</v>
      </c>
      <c r="R82" s="59">
        <f t="shared" si="55"/>
        <v>1017.9275773692902</v>
      </c>
      <c r="S82" s="59">
        <f ca="1">AVERAGE(OFFSET($R$3,0,0,'Données projet'!$E$9+1,1))-AVERAGE(OFFSET($H$3,0,0,'Données projet'!$E$9+1,1))</f>
        <v>567.42635821507474</v>
      </c>
      <c r="T82" s="59">
        <f t="shared" si="88"/>
        <v>299.04735309930152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88.025599001143405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88.025599001143405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11.009999999999998</v>
      </c>
      <c r="AI82" s="13">
        <f>IF('Données projet'!$A$62&gt;35,AI81+AH82-AQ81,IF(A82&lt;'Données projet'!$A$62,$AF$205^A82,IF(A82='Données projet'!$A$62,'Données projet'!$B$62,AI81+AH82-AQ81)))</f>
        <v>384.69999999999987</v>
      </c>
      <c r="AJ82" s="13">
        <f>AI82*VLOOKUP('Données projet'!$B$10,Paramètres!$A$1:$I$89,3,0)*VLOOKUP('Données projet'!$B$10,Paramètres!$A$1:$I$89,5,0)</f>
        <v>390.08579999999989</v>
      </c>
      <c r="AK82" s="13">
        <f t="shared" si="89"/>
        <v>89.763786833048727</v>
      </c>
      <c r="AL82" s="20">
        <f t="shared" si="58"/>
        <v>835.73803040089308</v>
      </c>
      <c r="AM82" s="59">
        <f t="shared" si="59"/>
        <v>1106.06757778207</v>
      </c>
      <c r="AN82" s="59">
        <f ca="1">AVERAGE(OFFSET($AM$3,0,0,'Données projet'!$E$10+1,1))-AVERAGE(OFFSET($H$3,0,0,'Données projet'!$E$10+1,1))</f>
        <v>626.09203985591455</v>
      </c>
      <c r="AO82" s="59">
        <f t="shared" si="90"/>
        <v>327.65191296575199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98.649378190936545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98.649378190936545</v>
      </c>
      <c r="AY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8.8000000000000007</v>
      </c>
      <c r="BD82" s="12">
        <f>IF('Données projet'!$A$88&gt;35,BD81+BC82-BL81,IF(A82&lt;'Données projet'!$A$88,$BA$205^A82,IF(A82='Données projet'!$A$88,'Données projet'!$B$88,BD81+BC82-BL81)))</f>
        <v>342.19999999999987</v>
      </c>
      <c r="BE82" s="13">
        <f>BD82*VLOOKUP('Données projet'!$B$11,Paramètres!$A$1:$I$89,3,0)*VLOOKUP('Données projet'!$B$11,Paramètres!$A$1:$I$89,5,0)</f>
        <v>293.60759999999993</v>
      </c>
      <c r="BF82" s="13">
        <f t="shared" si="91"/>
        <v>69.834695689453682</v>
      </c>
      <c r="BG82" s="20">
        <f t="shared" si="61"/>
        <v>632.99533165913169</v>
      </c>
      <c r="BH82" s="59">
        <f t="shared" si="62"/>
        <v>903.32487904030859</v>
      </c>
      <c r="BI82" s="59">
        <f ca="1">AVERAGE(OFFSET($BH$3,0,0,'Données projet'!$E$11+1,1))-AVERAGE(OFFSET($H$3,0,0,'Données projet'!$E$11+1,1))</f>
        <v>481.23392184981651</v>
      </c>
      <c r="BJ82" s="59">
        <f t="shared" si="92"/>
        <v>275.88160405468193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81.356216688973859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81.356216688973859</v>
      </c>
      <c r="BT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14.338750000000005</v>
      </c>
      <c r="BY82" s="12">
        <f>IF('Données projet'!$A$114&gt;35,BY81+BX82-CG81,IF(A82&lt;'Données projet'!$A$114,$BV$205^A82,IF(A82='Données projet'!$A$114,'Données projet'!$B$114,BY81+BX82-CG81)))</f>
        <v>458.73499999999939</v>
      </c>
      <c r="BZ82" s="13">
        <f>BY82*VLOOKUP('Données projet'!$B$12,Paramètres!$A$1:$I$89,3,0)*VLOOKUP('Données projet'!$B$12,Paramètres!$A$1:$I$89,5,0)</f>
        <v>214.6879799999997</v>
      </c>
      <c r="CA82" s="13">
        <f t="shared" si="93"/>
        <v>52.95870720880778</v>
      </c>
      <c r="CB82" s="20">
        <f t="shared" si="64"/>
        <v>466.15131355533964</v>
      </c>
      <c r="CC82" s="59">
        <f t="shared" si="65"/>
        <v>736.48086093651659</v>
      </c>
      <c r="CD82" s="59">
        <f ca="1">AVERAGE(OFFSET($CC$3,0,0,'Données projet'!$E$12+1,1))-AVERAGE(OFFSET($H$3,0,0,'Données projet'!$E$12+1,1))</f>
        <v>331.86732359395467</v>
      </c>
      <c r="CE82" s="59">
        <f t="shared" si="94"/>
        <v>208.64489375183106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108.36531903648172</v>
      </c>
      <c r="CL82" s="21">
        <f>EXP(-LN(2)/25)*CL81+(1-EXP(-LN(2)/25))/(LN(2)/25)*Calculateur!CG82*Calculateur!CI82*VLOOKUP('Données projet'!$B$12,Paramètres!$A$1:$I$89,3,0)*0.475*44/12</f>
        <v>0</v>
      </c>
      <c r="CM82" s="21">
        <f>EXP(-LN(2)/2)*CM81+(1-EXP(-LN(2)/2))/(LN(2)/2)*CG82*CJ82*VLOOKUP('Données projet'!$B$12,Paramètres!$A$1:$I$89,3,0)*0.475*44/12</f>
        <v>0</v>
      </c>
      <c r="CN82" s="22">
        <f t="shared" si="66"/>
        <v>108.36531903648172</v>
      </c>
      <c r="CO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3.6</v>
      </c>
      <c r="CT82" s="12">
        <f>IF('Données projet'!$A$140&gt;35,CT81+CS82-DB81,IF(A82&lt;'Données projet'!$A$140,$CQ$205^A82,IF(A82='Données projet'!$A$140,'Données projet'!$B$140,CT81+CS82-DB81)))</f>
        <v>326.39999999999998</v>
      </c>
      <c r="CU82" s="17">
        <f>CT82*VLOOKUP('Données projet'!$B$13,Paramètres!$A$1:$I$89,3,0)*VLOOKUP('Données projet'!$B$13,Paramètres!$A$1:$I$89,5,0)</f>
        <v>239.31647999999998</v>
      </c>
      <c r="CV82" s="13">
        <f t="shared" si="95"/>
        <v>58.292443422481945</v>
      </c>
      <c r="CW82" s="20">
        <f t="shared" si="67"/>
        <v>518.33554162748942</v>
      </c>
      <c r="CX82" s="59">
        <f t="shared" si="68"/>
        <v>788.66508900866643</v>
      </c>
      <c r="CY82" s="59">
        <f ca="1">AVERAGE(OFFSET($CX$3,0,0,'Données projet'!$E$13+1,1))-AVERAGE(OFFSET($H$3,0,0,'Données projet'!$E$13+1,1))</f>
        <v>352.45777291109863</v>
      </c>
      <c r="CZ82" s="59">
        <f t="shared" si="96"/>
        <v>340.92165104349181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36.637875526260274</v>
      </c>
      <c r="DG82" s="21">
        <f>EXP(-LN(2)/25)*DG81+(1-EXP(-LN(2)/25))/(LN(2)/25)*Calculateur!DB82*Calculateur!DD82*VLOOKUP('Données projet'!$B$13,Paramètres!$A$1:$I$89,3,0)*0.475*44/12</f>
        <v>0</v>
      </c>
      <c r="DH82" s="21">
        <f>EXP(-LN(2)/2)*DH81+(1-EXP(-LN(2)/2))/(LN(2)/2)*DB82*DE82*VLOOKUP('Données projet'!$B$13,Paramètres!$A$1:$I$89,3,0)*0.475*44/12</f>
        <v>0</v>
      </c>
      <c r="DI82" s="22">
        <f t="shared" si="69"/>
        <v>36.637875526260274</v>
      </c>
      <c r="DJ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11.009999999999998</v>
      </c>
      <c r="DO82" s="12">
        <f>IF('Données projet'!$A$166&gt;35,DO81+DN82-DW81,IF(A82&lt;'Données projet'!$A$166,$DL$205^A82,IF(A82='Données projet'!$A$166,'Données projet'!$B$166,DO81+DN82-DW81)))</f>
        <v>384.69999999999987</v>
      </c>
      <c r="DP82" s="17">
        <f>DO82*VLOOKUP('Données projet'!$B$14,Paramètres!$A$1:$I$89,3,0)*VLOOKUP('Données projet'!$B$14,Paramètres!$A$1:$I$89,5,0)</f>
        <v>258.05675999999988</v>
      </c>
      <c r="DQ82" s="13">
        <f t="shared" si="97"/>
        <v>62.30797703280173</v>
      </c>
      <c r="DR82" s="20">
        <f t="shared" si="70"/>
        <v>557.96858366546269</v>
      </c>
      <c r="DS82" s="59">
        <f t="shared" si="71"/>
        <v>828.29813104663958</v>
      </c>
      <c r="DT82" s="59">
        <f ca="1">AVERAGE(OFFSET($DS$3,0,0,'Données projet'!$E$14+1,1))-AVERAGE(OFFSET($H$3,0,0,'Données projet'!$E$14+1,1))</f>
        <v>441.20130048888439</v>
      </c>
      <c r="DU82" s="59">
        <f t="shared" si="98"/>
        <v>237.47732532183946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80.437185294148279</v>
      </c>
      <c r="EB82" s="21">
        <f>EXP(-LN(2)/25)*EB81+(1-EXP(-LN(2)/25))/(LN(2)/25)*Calculateur!DW82*Calculateur!DY82*VLOOKUP('Données projet'!$B$14,Paramètres!$A$1:$I$89,3,0)*0.475*44/12</f>
        <v>0</v>
      </c>
      <c r="EC82" s="21">
        <f>EXP(-LN(2)/2)*EC81+(1-EXP(-LN(2)/2))/(LN(2)/2)*DW82*DZ82*VLOOKUP('Données projet'!$B$14,Paramètres!$A$1:$I$89,3,0)*0.475*44/12</f>
        <v>0</v>
      </c>
      <c r="ED82" s="22">
        <f t="shared" si="72"/>
        <v>80.437185294148279</v>
      </c>
      <c r="EE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3.6</v>
      </c>
      <c r="EJ82" s="12">
        <f>IF('Données projet'!$A$192&gt;35,EJ81+EI82-ER81,IF(A82&lt;'Données projet'!$A$192,$EG$205^A82,IF(A82='Données projet'!$A$192,'Données projet'!$B$192,EJ81+EI82-ER81)))</f>
        <v>326.39999999999998</v>
      </c>
      <c r="EK82" s="17">
        <f>EJ82*VLOOKUP('Données projet'!$B$15,Paramètres!$A$1:$I$89,3,0)*VLOOKUP('Données projet'!$B$15,Paramètres!$A$1:$I$89,5,0)</f>
        <v>259.68384000000003</v>
      </c>
      <c r="EL82" s="13">
        <f t="shared" si="99"/>
        <v>62.654980648867358</v>
      </c>
      <c r="EM82" s="20">
        <f t="shared" si="73"/>
        <v>561.40677929677736</v>
      </c>
      <c r="EN82" s="59">
        <f t="shared" si="74"/>
        <v>831.73632667795437</v>
      </c>
      <c r="EO82" s="59">
        <f ca="1">AVERAGE(OFFSET($EN$3,0,0,'Données projet'!$E$15+1,1))-AVERAGE(OFFSET($H$3,0,0,'Données projet'!$E$15+1,1))</f>
        <v>377.27600411578322</v>
      </c>
      <c r="EP82" s="59">
        <f t="shared" si="100"/>
        <v>364.58250627635425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>
        <f>EXP(-LN(2)/35)*EV81+(1-EXP(-LN(2)/35))/(LN(2)/35)*ER82*ES82*VLOOKUP('Données projet'!$B$15,Paramètres!$A$1:$I$89,3,0)*0.475*44/12</f>
        <v>49.00157226495871</v>
      </c>
      <c r="EW82" s="21">
        <f>EXP(-LN(2)/25)*EW81+(1-EXP(-LN(2)/25))/(LN(2)/25)*Calculateur!ER82*Calculateur!ET82*VLOOKUP('Données projet'!$B$15,Paramètres!$A$1:$I$89,3,0)*0.475*44/12</f>
        <v>0</v>
      </c>
      <c r="EX82" s="21">
        <f>EXP(-LN(2)/2)*EX81+(1-EXP(-LN(2)/2))/(LN(2)/2)*ER82*EU82*VLOOKUP('Données projet'!$B$15,Paramètres!$A$1:$I$89,3,0)*0.475*44/12</f>
        <v>0</v>
      </c>
      <c r="EY82" s="22">
        <f t="shared" si="75"/>
        <v>49.00157226495871</v>
      </c>
      <c r="EZ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3.6</v>
      </c>
      <c r="FE82" s="12">
        <f>IF('Données projet'!$A$218&gt;35,FE81+FD82-FM81,IF(A82&lt;'Données projet'!$A$218,$FB$205^A82,IF(A82='Données projet'!$A$218,'Données projet'!$B$218,FE81+FD82-FM81)))</f>
        <v>326.39999999999998</v>
      </c>
      <c r="FF82" s="17">
        <f>FE82*VLOOKUP('Données projet'!$B$16,Paramètres!$A$1:$I$89,3,0)*VLOOKUP('Données projet'!$B$16,Paramètres!$A$1:$I$89,5,0)</f>
        <v>264.77567999999997</v>
      </c>
      <c r="FG82" s="13">
        <f t="shared" si="101"/>
        <v>63.739279068930159</v>
      </c>
      <c r="FH82" s="20">
        <f t="shared" si="76"/>
        <v>572.16355371171983</v>
      </c>
      <c r="FI82" s="59">
        <f t="shared" si="77"/>
        <v>842.49310109289672</v>
      </c>
      <c r="FJ82" s="59">
        <f ca="1">AVERAGE(OFFSET($FI$3,0,0,'Données projet'!$E$16+1,1))-AVERAGE(OFFSET($H$3,0,0,'Données projet'!$E$16+1,1))</f>
        <v>383.47399633251354</v>
      </c>
      <c r="FK82" s="59">
        <f t="shared" si="102"/>
        <v>370.49129421395628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>
        <f>EXP(-LN(2)/35)*FQ81+(1-EXP(-LN(2)/35))/(LN(2)/35)*FM82*FN82*VLOOKUP('Données projet'!$B$16,Paramètres!$A$1:$I$89,3,0)*0.475*44/12</f>
        <v>49.962387407408912</v>
      </c>
      <c r="FR82" s="21">
        <f>EXP(-LN(2)/25)*FR81+(1-EXP(-LN(2)/25))/(LN(2)/25)*Calculateur!FM82*Calculateur!FO82*VLOOKUP('Données projet'!$B$16,Paramètres!$A$1:$I$89,3,0)*0.475*44/12</f>
        <v>0</v>
      </c>
      <c r="FS82" s="21">
        <f>EXP(-LN(2)/2)*FS81+(1-EXP(-LN(2)/2))/(LN(2)/2)*FM82*FP82*VLOOKUP('Données projet'!$B$16,Paramètres!$A$1:$I$89,3,0)*0.475*44/12</f>
        <v>0</v>
      </c>
      <c r="FT82" s="22">
        <f t="shared" si="78"/>
        <v>49.962387407408912</v>
      </c>
      <c r="FU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11.009999999999998</v>
      </c>
      <c r="FZ82" s="12">
        <f>IF('Données projet'!$A$244&gt;35,FZ81+FY82-GH81,IF(A82&lt;'Données projet'!$A$244,$FW$205^A82,IF(A82='Données projet'!$A$244,'Données projet'!$B$244,FZ81+FY82-GH81)))</f>
        <v>384.69999999999987</v>
      </c>
      <c r="GA82" s="17">
        <f>FZ82*VLOOKUP('Données projet'!$B$17,Paramètres!$A$1:$I$89,3,0)*VLOOKUP('Données projet'!$B$17,Paramètres!$A$1:$I$89,5,0)</f>
        <v>366.08051999999986</v>
      </c>
      <c r="GB82" s="13">
        <f t="shared" si="103"/>
        <v>84.864951236582286</v>
      </c>
      <c r="GC82" s="20">
        <f t="shared" si="79"/>
        <v>785.39669573704714</v>
      </c>
      <c r="GD82" s="59">
        <f t="shared" si="80"/>
        <v>1055.7262431182241</v>
      </c>
      <c r="GE82" s="59">
        <f ca="1">AVERAGE(OFFSET($GD$3,0,0,'Données projet'!$E$17+1,1))-AVERAGE(OFFSET($H$3,0,0,'Données projet'!$E$17+1,1))</f>
        <v>592.58528889137358</v>
      </c>
      <c r="GF82" s="59">
        <f t="shared" si="104"/>
        <v>311.31528020403709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>
        <f>EXP(-LN(2)/35)*GL81+(1-EXP(-LN(2)/35))/(LN(2)/35)*GH82*GI82*VLOOKUP('Données projet'!$B$17,Paramètres!$A$1:$I$89,3,0)*0.475*44/12</f>
        <v>92.578647225340475</v>
      </c>
      <c r="GM82" s="21">
        <f>EXP(-LN(2)/25)*GM81+(1-EXP(-LN(2)/25))/(LN(2)/25)*Calculateur!GH82*Calculateur!GJ82*VLOOKUP('Données projet'!$B$17,Paramètres!$A$1:$I$89,3,0)*0.475*44/12</f>
        <v>0</v>
      </c>
      <c r="GN82" s="21">
        <f>EXP(-LN(2)/2)*GN81+(1-EXP(-LN(2)/2))/(LN(2)/2)*GH82*GK82*VLOOKUP('Données projet'!$B$17,Paramètres!$A$1:$I$89,3,0)*0.475*44/12</f>
        <v>0</v>
      </c>
      <c r="GO82" s="21">
        <f t="shared" si="81"/>
        <v>92.578647225340475</v>
      </c>
      <c r="GP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328.00000000000006</v>
      </c>
      <c r="GV82" s="17">
        <f>GU82*VLOOKUP('Données projet'!$B$18,Paramètres!$A$1:$I$89,3,0)*VLOOKUP('Données projet'!$B$18,Paramètres!$A$1:$I$89,5,0)</f>
        <v>255.84000000000006</v>
      </c>
      <c r="GW82" s="13">
        <f t="shared" si="105"/>
        <v>61.834803371075836</v>
      </c>
      <c r="GX82" s="20">
        <f t="shared" si="82"/>
        <v>553.28361587129041</v>
      </c>
      <c r="GY82" s="59">
        <f t="shared" si="83"/>
        <v>823.6131632524673</v>
      </c>
      <c r="GZ82" s="59">
        <f ca="1">AVERAGE(OFFSET($GY$3,0,0,'Données projet'!$E$18+1,1))-AVERAGE(OFFSET($H$3,0,0,'Données projet'!$E$18+1,1))</f>
        <v>308.85018589589453</v>
      </c>
      <c r="HA82" s="59">
        <f t="shared" si="106"/>
        <v>302.59481222418219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>
        <f>EXP(-LN(2)/35)*HG81+(1-EXP(-LN(2)/35))/(LN(2)/35)*HC82*HD82*VLOOKUP('Données projet'!$B$18,Paramètres!$A$1:$I$89,3,0)*0.475*44/12</f>
        <v>41.328657186338368</v>
      </c>
      <c r="HH82" s="21">
        <f>EXP(-LN(2)/25)*HH81+(1-EXP(-LN(2)/25))/(LN(2)/25)*Calculateur!HC82*Calculateur!HE82*VLOOKUP('Données projet'!$B$18,Paramètres!$A$1:$I$89,3,0)*0.475*44/12</f>
        <v>0</v>
      </c>
      <c r="HI82" s="21">
        <f>EXP(-LN(2)/2)*HI81+(1-EXP(-LN(2)/2))/(LN(2)/2)*HC82*HF82*VLOOKUP('Données projet'!$B$18,Paramètres!$A$1:$I$89,3,0)*0.475*44/12</f>
        <v>0</v>
      </c>
      <c r="HJ82" s="22">
        <f t="shared" si="84"/>
        <v>41.328657186338368</v>
      </c>
    </row>
    <row r="83" spans="1:218" x14ac:dyDescent="0.35">
      <c r="A83" s="10">
        <f t="shared" si="85"/>
        <v>80</v>
      </c>
      <c r="B83" s="72">
        <f>'Scénario référence'!$B$16*5+'Scénario référence'!$B$17*0+'Scénario référence'!$B$18*5</f>
        <v>5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66">
        <f t="shared" si="56"/>
        <v>183.33333333333334</v>
      </c>
      <c r="I83" s="6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395.71</v>
      </c>
      <c r="L83" s="12">
        <f>VLOOKUP(A83,'Données projet'!$A$35:$I$55,9,0)</f>
        <v>11.009999999999998</v>
      </c>
      <c r="M83" s="12">
        <f t="array" ref="M83">INDEX(L:L,MIN(IF(ISNUMBER(L83:L279),ROW(L83:L279),"")))</f>
        <v>11.009999999999998</v>
      </c>
      <c r="N83" s="13">
        <f>IF('Données projet'!$A$36&gt;35,N82+M83-V82,IF(A83&lt;'Données projet'!$A$36,$K$205^A83,IF(A83='Données projet'!$A$36,'Données projet'!$B$36,N82+M83-V82)))</f>
        <v>395.70999999999987</v>
      </c>
      <c r="O83" s="13">
        <f>N83*VLOOKUP('Données projet'!$B$9,Paramètres!$A$1:$I$89,3,0)*VLOOKUP('Données projet'!$B$9,Paramètres!$A$1:$I$89,5,0)</f>
        <v>358.03840799999989</v>
      </c>
      <c r="P83" s="13">
        <f t="shared" si="87"/>
        <v>83.215509161867502</v>
      </c>
      <c r="Q83" s="20">
        <f t="shared" si="54"/>
        <v>768.51723905691904</v>
      </c>
      <c r="R83" s="59">
        <f t="shared" si="55"/>
        <v>1039.2458506956052</v>
      </c>
      <c r="S83" s="59">
        <f ca="1">AVERAGE(OFFSET($R$3,0,0,'Données projet'!$E$9+1,1))-AVERAGE(OFFSET($H$3,0,0,'Données projet'!$E$9+1,1))</f>
        <v>567.42635821507474</v>
      </c>
      <c r="T83" s="59">
        <f t="shared" si="88"/>
        <v>299.04735309930152</v>
      </c>
      <c r="U83" s="15">
        <f>IF(ISNA(VLOOKUP(A83,'Données projet'!$A$35:$I$55,3,0)),0,VLOOKUP(A83,'Données projet'!$A$35:$I$55,3,0))</f>
        <v>7</v>
      </c>
      <c r="V83" s="15">
        <f>IF(ISNA(VLOOKUP(A83,'Données projet'!$A$35:$I$55,4,0)),0,VLOOKUP(A83,'Données projet'!$A$35:$I$55,4,0))</f>
        <v>59.57</v>
      </c>
      <c r="W83" s="16">
        <f>IF(ISNA(VLOOKUP(A83,'Données projet'!$A$35:$I$55,5,0)),0%,VLOOKUP(A83,'Données projet'!$A$35:$I$55,5,0)*VLOOKUP('Données projet'!$B$9,Paramètres!$A$1:$I$89,7,0))</f>
        <v>0.43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111.92045190667203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111.92045190667203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395.71</v>
      </c>
      <c r="AG83" s="12">
        <f>VLOOKUP(A83,'Données projet'!$A$61:$I$81,9,0)</f>
        <v>11.009999999999998</v>
      </c>
      <c r="AH83" s="12">
        <f t="array" ref="AH83">INDEX(AG:AG,MIN(IF(ISNUMBER(AG83:AG279),ROW(AG83:AG279),"")))</f>
        <v>11.009999999999998</v>
      </c>
      <c r="AI83" s="13">
        <f>IF('Données projet'!$A$62&gt;35,AI82+AH83-AQ82,IF(A83&lt;'Données projet'!$A$62,$AF$205^A83,IF(A83='Données projet'!$A$62,'Données projet'!$B$62,AI82+AH83-AQ82)))</f>
        <v>395.70999999999987</v>
      </c>
      <c r="AJ83" s="13">
        <f>AI83*VLOOKUP('Données projet'!$B$10,Paramètres!$A$1:$I$89,3,0)*VLOOKUP('Données projet'!$B$10,Paramètres!$A$1:$I$89,5,0)</f>
        <v>401.24993999999992</v>
      </c>
      <c r="AK83" s="13">
        <f t="shared" si="89"/>
        <v>92.030025341479998</v>
      </c>
      <c r="AL83" s="20">
        <f t="shared" si="58"/>
        <v>859.12927296974419</v>
      </c>
      <c r="AM83" s="59">
        <f t="shared" si="59"/>
        <v>1129.8578846084304</v>
      </c>
      <c r="AN83" s="59">
        <f ca="1">AVERAGE(OFFSET($AM$3,0,0,'Données projet'!$E$10+1,1))-AVERAGE(OFFSET($H$3,0,0,'Données projet'!$E$10+1,1))</f>
        <v>626.09203985591455</v>
      </c>
      <c r="AO83" s="59">
        <f t="shared" si="90"/>
        <v>327.65191296575199</v>
      </c>
      <c r="AP83" s="15">
        <f>IF(ISNA(VLOOKUP(A83,'Données projet'!$A$61:$I$81,3,0)),0,VLOOKUP(A83,'Données projet'!$A$61:$I$81,3,0))</f>
        <v>7</v>
      </c>
      <c r="AQ83" s="15">
        <f>IF(ISNA(VLOOKUP(A83,'Données projet'!$A$61:$I$81,4,0)),0,VLOOKUP(A83,'Données projet'!$A$61:$I$81,4,0))</f>
        <v>59.57</v>
      </c>
      <c r="AR83" s="16">
        <f>IF(ISNA(VLOOKUP(A83,'Données projet'!$A$61:$I$81,5,0)),0%,VLOOKUP(A83,'Données projet'!$A$61:$I$81,5,0)*VLOOKUP('Données projet'!$B$10,Paramètres!$A$1:$I$89,7,0))</f>
        <v>0.43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125.42809265402899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125.42809265402899</v>
      </c>
      <c r="AY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351</v>
      </c>
      <c r="BB83" s="12">
        <f>VLOOKUP(A83,'Données projet'!$A$87:$I$107,9,0)</f>
        <v>8.8000000000000007</v>
      </c>
      <c r="BC83" s="12">
        <f t="array" ref="BC83">INDEX(BB:BB,MIN(IF(ISNUMBER(BB83:BB279),ROW(BB83:BB279),"")))</f>
        <v>8.8000000000000007</v>
      </c>
      <c r="BD83" s="12">
        <f>IF('Données projet'!$A$88&gt;35,BD82+BC83-BL82,IF(A83&lt;'Données projet'!$A$88,$BA$205^A83,IF(A83='Données projet'!$A$88,'Données projet'!$B$88,BD82+BC83-BL82)))</f>
        <v>350.99999999999989</v>
      </c>
      <c r="BE83" s="13">
        <f>BD83*VLOOKUP('Données projet'!$B$11,Paramètres!$A$1:$I$89,3,0)*VLOOKUP('Données projet'!$B$11,Paramètres!$A$1:$I$89,5,0)</f>
        <v>301.15799999999996</v>
      </c>
      <c r="BF83" s="13">
        <f t="shared" si="91"/>
        <v>71.419170296330975</v>
      </c>
      <c r="BG83" s="20">
        <f t="shared" si="61"/>
        <v>648.90523826610968</v>
      </c>
      <c r="BH83" s="59">
        <f t="shared" si="62"/>
        <v>919.63384990479585</v>
      </c>
      <c r="BI83" s="59">
        <f ca="1">AVERAGE(OFFSET($BH$3,0,0,'Données projet'!$E$11+1,1))-AVERAGE(OFFSET($H$3,0,0,'Données projet'!$E$11+1,1))</f>
        <v>481.23392184981651</v>
      </c>
      <c r="BJ83" s="59">
        <f t="shared" si="92"/>
        <v>275.88160405468193</v>
      </c>
      <c r="BK83" s="15">
        <f>IF(ISNA(VLOOKUP(A83,'Données projet'!$A$87:$I$107,3,0)),0,VLOOKUP(A83,'Données projet'!$A$87:$I$107,3,0))</f>
        <v>12</v>
      </c>
      <c r="BL83" s="21">
        <f>IF(ISNA(VLOOKUP(A83,'Données projet'!$A$87:$I$107,4,0)),0,VLOOKUP(A83,'Données projet'!$A$87:$I$107,4,0))</f>
        <v>28</v>
      </c>
      <c r="BM83" s="16">
        <f>IF(ISNA(VLOOKUP(A83,'Données projet'!$A$87:$I$107,5,0)),0%,VLOOKUP(A83,'Données projet'!$A$87:$I$107,5,0)*VLOOKUP('Données projet'!$B$11,Paramètres!$A$1:$I$89,7,0))</f>
        <v>0.53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93.836515712982248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93.836515712982248</v>
      </c>
      <c r="BT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14.338750000000005</v>
      </c>
      <c r="BY83" s="12">
        <f>IF('Données projet'!$A$114&gt;35,BY82+BX83-CG82,IF(A83&lt;'Données projet'!$A$114,$BV$205^A83,IF(A83='Données projet'!$A$114,'Données projet'!$B$114,BY82+BX83-CG82)))</f>
        <v>473.07374999999939</v>
      </c>
      <c r="BZ83" s="13">
        <f>BY83*VLOOKUP('Données projet'!$B$12,Paramètres!$A$1:$I$89,3,0)*VLOOKUP('Données projet'!$B$12,Paramètres!$A$1:$I$89,5,0)</f>
        <v>221.39851499999972</v>
      </c>
      <c r="CA83" s="13">
        <f t="shared" si="93"/>
        <v>54.418733854751018</v>
      </c>
      <c r="CB83" s="20">
        <f t="shared" si="64"/>
        <v>480.38170842202425</v>
      </c>
      <c r="CC83" s="59">
        <f t="shared" si="65"/>
        <v>751.11032006071036</v>
      </c>
      <c r="CD83" s="59">
        <f ca="1">AVERAGE(OFFSET($CC$3,0,0,'Données projet'!$E$12+1,1))-AVERAGE(OFFSET($H$3,0,0,'Données projet'!$E$12+1,1))</f>
        <v>331.86732359395467</v>
      </c>
      <c r="CE83" s="59">
        <f t="shared" si="94"/>
        <v>208.64489375183106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106.24034122649446</v>
      </c>
      <c r="CL83" s="21">
        <f>EXP(-LN(2)/25)*CL82+(1-EXP(-LN(2)/25))/(LN(2)/25)*Calculateur!CG83*Calculateur!CI83*VLOOKUP('Données projet'!$B$12,Paramètres!$A$1:$I$89,3,0)*0.475*44/12</f>
        <v>0</v>
      </c>
      <c r="CM83" s="21">
        <f>EXP(-LN(2)/2)*CM82+(1-EXP(-LN(2)/2))/(LN(2)/2)*CG83*CJ83*VLOOKUP('Données projet'!$B$12,Paramètres!$A$1:$I$89,3,0)*0.475*44/12</f>
        <v>0</v>
      </c>
      <c r="CN83" s="22">
        <f t="shared" si="66"/>
        <v>106.24034122649446</v>
      </c>
      <c r="CO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>
        <f>VLOOKUP(A83,'Données projet'!$A$139:$I$159,2,0)</f>
        <v>330</v>
      </c>
      <c r="CR83" s="12">
        <f>VLOOKUP(A83,'Données projet'!$A$139:$I$159,9,0)</f>
        <v>3.6</v>
      </c>
      <c r="CS83" s="12">
        <f t="array" ref="CS83">INDEX(CR:CR,MIN(IF(ISNUMBER(CR83:CR279),ROW(CR83:CR279),"")))</f>
        <v>3.6</v>
      </c>
      <c r="CT83" s="12">
        <f>IF('Données projet'!$A$140&gt;35,CT82+CS83-DB82,IF(A83&lt;'Données projet'!$A$140,$CQ$205^A83,IF(A83='Données projet'!$A$140,'Données projet'!$B$140,CT82+CS83-DB82)))</f>
        <v>330</v>
      </c>
      <c r="CU83" s="17">
        <f>CT83*VLOOKUP('Données projet'!$B$13,Paramètres!$A$1:$I$89,3,0)*VLOOKUP('Données projet'!$B$13,Paramètres!$A$1:$I$89,5,0)</f>
        <v>241.95599999999999</v>
      </c>
      <c r="CV83" s="13">
        <f t="shared" si="95"/>
        <v>58.860174395053612</v>
      </c>
      <c r="CW83" s="20">
        <f t="shared" si="67"/>
        <v>523.92150373805168</v>
      </c>
      <c r="CX83" s="59">
        <f t="shared" si="68"/>
        <v>794.65011537673786</v>
      </c>
      <c r="CY83" s="59">
        <f ca="1">AVERAGE(OFFSET($CX$3,0,0,'Données projet'!$E$13+1,1))-AVERAGE(OFFSET($H$3,0,0,'Données projet'!$E$13+1,1))</f>
        <v>352.45777291109863</v>
      </c>
      <c r="CZ83" s="59">
        <f t="shared" si="96"/>
        <v>340.92165104349181</v>
      </c>
      <c r="DA83" s="15">
        <f>IF(ISNA(VLOOKUP(A83,'Données projet'!$A$139:$I$159,3,0)),0,VLOOKUP(A83,'Données projet'!$A$139:$I$159,3,0))</f>
        <v>14</v>
      </c>
      <c r="DB83" s="15">
        <f>IF(ISNA(VLOOKUP(A83,'Données projet'!$A$139:$I$159,4,0)),0,VLOOKUP(A83,'Données projet'!$A$139:$I$159,4,0))</f>
        <v>11</v>
      </c>
      <c r="DC83" s="16">
        <f>IF(ISNA(VLOOKUP(A83,'Données projet'!$A$139:$I$159,5,0)),0%,VLOOKUP(A83,'Données projet'!$A$139:$I$159,5,0)*VLOOKUP('Données projet'!$B$13,Paramètres!$A$1:$I$89,7,0))</f>
        <v>0.43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39.753240207241745</v>
      </c>
      <c r="DG83" s="21">
        <f>EXP(-LN(2)/25)*DG82+(1-EXP(-LN(2)/25))/(LN(2)/25)*Calculateur!DB83*Calculateur!DD83*VLOOKUP('Données projet'!$B$13,Paramètres!$A$1:$I$89,3,0)*0.475*44/12</f>
        <v>0</v>
      </c>
      <c r="DH83" s="21">
        <f>EXP(-LN(2)/2)*DH82+(1-EXP(-LN(2)/2))/(LN(2)/2)*DB83*DE83*VLOOKUP('Données projet'!$B$13,Paramètres!$A$1:$I$89,3,0)*0.475*44/12</f>
        <v>0</v>
      </c>
      <c r="DI83" s="22">
        <f t="shared" si="69"/>
        <v>39.753240207241745</v>
      </c>
      <c r="DJ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>
        <f>VLOOKUP(A83,'Données projet'!$A$165:$I$185,2,0)</f>
        <v>395.71</v>
      </c>
      <c r="DM83" s="12">
        <f>VLOOKUP(A83,'Données projet'!$A$165:$I$185,9,0)</f>
        <v>11.009999999999998</v>
      </c>
      <c r="DN83" s="12">
        <f t="array" ref="DN83">INDEX(DM:DM,MIN(IF(ISNUMBER(DM83:DM279),ROW(DM83:DM279),"")))</f>
        <v>11.009999999999998</v>
      </c>
      <c r="DO83" s="12">
        <f>IF('Données projet'!$A$166&gt;35,DO82+DN83-DW82,IF(A83&lt;'Données projet'!$A$166,$DL$205^A83,IF(A83='Données projet'!$A$166,'Données projet'!$B$166,DO82+DN83-DW82)))</f>
        <v>395.70999999999987</v>
      </c>
      <c r="DP83" s="17">
        <f>DO83*VLOOKUP('Données projet'!$B$14,Paramètres!$A$1:$I$89,3,0)*VLOOKUP('Données projet'!$B$14,Paramètres!$A$1:$I$89,5,0)</f>
        <v>265.4422679999999</v>
      </c>
      <c r="DQ83" s="13">
        <f t="shared" si="97"/>
        <v>63.88104721974485</v>
      </c>
      <c r="DR83" s="20">
        <f t="shared" si="70"/>
        <v>573.57144067438867</v>
      </c>
      <c r="DS83" s="59">
        <f t="shared" si="71"/>
        <v>844.30005231307473</v>
      </c>
      <c r="DT83" s="59">
        <f ca="1">AVERAGE(OFFSET($DS$3,0,0,'Données projet'!$E$14+1,1))-AVERAGE(OFFSET($H$3,0,0,'Données projet'!$E$14+1,1))</f>
        <v>441.20130048888439</v>
      </c>
      <c r="DU83" s="59">
        <f t="shared" si="98"/>
        <v>237.47732532183946</v>
      </c>
      <c r="DV83" s="15">
        <f>IF(ISNA(VLOOKUP(A83,'Données projet'!$A$165:$I$185,3,0)),0,VLOOKUP(A83,'Données projet'!$A$165:$I$185,3,0))</f>
        <v>7</v>
      </c>
      <c r="DW83" s="15">
        <f>IF(ISNA(VLOOKUP(A83,'Données projet'!$A$165:$I$185,4,0)),0,VLOOKUP(A83,'Données projet'!$A$165:$I$185,4,0))</f>
        <v>59.57</v>
      </c>
      <c r="DX83" s="16">
        <f>IF(ISNA(VLOOKUP(A83,'Données projet'!$A$165:$I$185,5,0)),0%,VLOOKUP(A83,'Données projet'!$A$165:$I$185,5,0)*VLOOKUP('Données projet'!$B$14,Paramètres!$A$1:$I$89,7,0))</f>
        <v>0.53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102.27213708713134</v>
      </c>
      <c r="EB83" s="21">
        <f>EXP(-LN(2)/25)*EB82+(1-EXP(-LN(2)/25))/(LN(2)/25)*Calculateur!DW83*Calculateur!DY83*VLOOKUP('Données projet'!$B$14,Paramètres!$A$1:$I$89,3,0)*0.475*44/12</f>
        <v>0</v>
      </c>
      <c r="EC83" s="21">
        <f>EXP(-LN(2)/2)*EC82+(1-EXP(-LN(2)/2))/(LN(2)/2)*DW83*DZ83*VLOOKUP('Données projet'!$B$14,Paramètres!$A$1:$I$89,3,0)*0.475*44/12</f>
        <v>0</v>
      </c>
      <c r="ED83" s="22">
        <f t="shared" si="72"/>
        <v>102.27213708713134</v>
      </c>
      <c r="EE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>
        <f>VLOOKUP(A83,'Données projet'!$A$191:$I$211,2,0)</f>
        <v>330</v>
      </c>
      <c r="EH83" s="12">
        <f>VLOOKUP(A83,'Données projet'!$A$191:$I$211,9,0)</f>
        <v>3.6</v>
      </c>
      <c r="EI83" s="12">
        <f t="array" ref="EI83">INDEX(EH:EH,MIN(IF(ISNUMBER(EH83:EH279),ROW(EH83:EH279),"")))</f>
        <v>3.6</v>
      </c>
      <c r="EJ83" s="12">
        <f>IF('Données projet'!$A$192&gt;35,EJ82+EI83-ER82,IF(A83&lt;'Données projet'!$A$192,$EG$205^A83,IF(A83='Données projet'!$A$192,'Données projet'!$B$192,EJ82+EI83-ER82)))</f>
        <v>330</v>
      </c>
      <c r="EK83" s="17">
        <f>EJ83*VLOOKUP('Données projet'!$B$15,Paramètres!$A$1:$I$89,3,0)*VLOOKUP('Données projet'!$B$15,Paramètres!$A$1:$I$89,5,0)</f>
        <v>262.548</v>
      </c>
      <c r="EL83" s="13">
        <f t="shared" si="99"/>
        <v>63.265199933079444</v>
      </c>
      <c r="EM83" s="20">
        <f t="shared" si="73"/>
        <v>567.45798988344666</v>
      </c>
      <c r="EN83" s="59">
        <f t="shared" si="74"/>
        <v>838.18660152213283</v>
      </c>
      <c r="EO83" s="59">
        <f ca="1">AVERAGE(OFFSET($EN$3,0,0,'Données projet'!$E$15+1,1))-AVERAGE(OFFSET($H$3,0,0,'Données projet'!$E$15+1,1))</f>
        <v>377.27600411578322</v>
      </c>
      <c r="EP83" s="59">
        <f t="shared" si="100"/>
        <v>364.58250627635425</v>
      </c>
      <c r="EQ83" s="15">
        <f>IF(ISNA(VLOOKUP(A83,'Données projet'!$A$191:$I$211,3,0)),0,VLOOKUP(A83,'Données projet'!$A$191:$I$211,3,0))</f>
        <v>14</v>
      </c>
      <c r="ER83" s="15">
        <f>IF(ISNA(VLOOKUP(A83,'Données projet'!$A$191:$I$211,4,0)),0,VLOOKUP(A83,'Données projet'!$A$191:$I$211,4,0))</f>
        <v>11</v>
      </c>
      <c r="ES83" s="16">
        <f>IF(ISNA(VLOOKUP(A83,'Données projet'!$A$191:$I$211,5,0)),0%,VLOOKUP(A83,'Données projet'!$A$191:$I$211,5,0)*VLOOKUP('Données projet'!$B$15,Paramètres!$A$1:$I$89,7,0))</f>
        <v>0.53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>
        <f>EXP(-LN(2)/35)*EV82+(1-EXP(-LN(2)/35))/(LN(2)/35)*ER83*ES83*VLOOKUP('Données projet'!$B$15,Paramètres!$A$1:$I$89,3,0)*0.475*44/12</f>
        <v>53.168237644816656</v>
      </c>
      <c r="EW83" s="21">
        <f>EXP(-LN(2)/25)*EW82+(1-EXP(-LN(2)/25))/(LN(2)/25)*Calculateur!ER83*Calculateur!ET83*VLOOKUP('Données projet'!$B$15,Paramètres!$A$1:$I$89,3,0)*0.475*44/12</f>
        <v>0</v>
      </c>
      <c r="EX83" s="21">
        <f>EXP(-LN(2)/2)*EX82+(1-EXP(-LN(2)/2))/(LN(2)/2)*ER83*EU83*VLOOKUP('Données projet'!$B$15,Paramètres!$A$1:$I$89,3,0)*0.475*44/12</f>
        <v>0</v>
      </c>
      <c r="EY83" s="22">
        <f t="shared" si="75"/>
        <v>53.168237644816656</v>
      </c>
      <c r="EZ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>
        <f>VLOOKUP(A83,'Données projet'!$A$217:$I$237,2,0)</f>
        <v>330</v>
      </c>
      <c r="FC83" s="12">
        <f>VLOOKUP(A83,'Données projet'!$A$217:$I$237,9,0)</f>
        <v>3.6</v>
      </c>
      <c r="FD83" s="12">
        <f t="array" ref="FD83">INDEX(FC:FC,MIN(IF(ISNUMBER(FC83:FC279),ROW(FC83:FC279),"")))</f>
        <v>3.6</v>
      </c>
      <c r="FE83" s="12">
        <f>IF('Données projet'!$A$218&gt;35,FE82+FD83-FM82,IF(A83&lt;'Données projet'!$A$218,$FB$205^A83,IF(A83='Données projet'!$A$218,'Données projet'!$B$218,FE82+FD83-FM82)))</f>
        <v>330</v>
      </c>
      <c r="FF83" s="17">
        <f>FE83*VLOOKUP('Données projet'!$B$16,Paramètres!$A$1:$I$89,3,0)*VLOOKUP('Données projet'!$B$16,Paramètres!$A$1:$I$89,5,0)</f>
        <v>267.69600000000003</v>
      </c>
      <c r="FG83" s="13">
        <f t="shared" si="101"/>
        <v>64.360058723585496</v>
      </c>
      <c r="FH83" s="20">
        <f t="shared" si="76"/>
        <v>578.33096894357811</v>
      </c>
      <c r="FI83" s="59">
        <f t="shared" si="77"/>
        <v>849.05958058226429</v>
      </c>
      <c r="FJ83" s="59">
        <f ca="1">AVERAGE(OFFSET($FI$3,0,0,'Données projet'!$E$16+1,1))-AVERAGE(OFFSET($H$3,0,0,'Données projet'!$E$16+1,1))</f>
        <v>383.47399633251354</v>
      </c>
      <c r="FK83" s="59">
        <f t="shared" si="102"/>
        <v>370.49129421395628</v>
      </c>
      <c r="FL83" s="15">
        <f>IF(ISNA(VLOOKUP(A83,'Données projet'!$A$217:$I$237,3,0)),0,VLOOKUP(A83,'Données projet'!$A$217:$I$237,3,0))</f>
        <v>14</v>
      </c>
      <c r="FM83" s="15">
        <f>IF(ISNA(VLOOKUP(A83,'Données projet'!$A$217:$I$237,4,0)),0,VLOOKUP(A83,'Données projet'!$A$217:$I$237,4,0))</f>
        <v>11</v>
      </c>
      <c r="FN83" s="16">
        <f>IF(ISNA(VLOOKUP(A83,'Données projet'!$A$217:$I$237,5,0)),0%,VLOOKUP(A83,'Données projet'!$A$217:$I$237,5,0)*VLOOKUP('Données projet'!$B$16,Paramètres!$A$1:$I$89,7,0))</f>
        <v>0.53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>
        <f>EXP(-LN(2)/35)*FQ82+(1-EXP(-LN(2)/35))/(LN(2)/35)*FM83*FN83*VLOOKUP('Données projet'!$B$16,Paramètres!$A$1:$I$89,3,0)*0.475*44/12</f>
        <v>54.210752108440545</v>
      </c>
      <c r="FR83" s="21">
        <f>EXP(-LN(2)/25)*FR82+(1-EXP(-LN(2)/25))/(LN(2)/25)*Calculateur!FM83*Calculateur!FO83*VLOOKUP('Données projet'!$B$16,Paramètres!$A$1:$I$89,3,0)*0.475*44/12</f>
        <v>0</v>
      </c>
      <c r="FS83" s="21">
        <f>EXP(-LN(2)/2)*FS82+(1-EXP(-LN(2)/2))/(LN(2)/2)*FM83*FP83*VLOOKUP('Données projet'!$B$16,Paramètres!$A$1:$I$89,3,0)*0.475*44/12</f>
        <v>0</v>
      </c>
      <c r="FT83" s="22">
        <f t="shared" si="78"/>
        <v>54.210752108440545</v>
      </c>
      <c r="FU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>
        <f>VLOOKUP(A83,'Données projet'!$A$243:$I$263,2,0)</f>
        <v>395.71</v>
      </c>
      <c r="FX83" s="12">
        <f>VLOOKUP(A83,'Données projet'!$A$243:$I$263,9,0)</f>
        <v>11.009999999999998</v>
      </c>
      <c r="FY83" s="12">
        <f t="array" ref="FY83">INDEX(FX:FX,MIN(IF(ISNUMBER(FX83:FX279),ROW(FX83:FX279),"")))</f>
        <v>11.009999999999998</v>
      </c>
      <c r="FZ83" s="12">
        <f>IF('Données projet'!$A$244&gt;35,FZ82+FY83-GH82,IF(A83&lt;'Données projet'!$A$244,$FW$205^A83,IF(A83='Données projet'!$A$244,'Données projet'!$B$244,FZ82+FY83-GH82)))</f>
        <v>395.70999999999987</v>
      </c>
      <c r="GA83" s="17">
        <f>FZ83*VLOOKUP('Données projet'!$B$17,Paramètres!$A$1:$I$89,3,0)*VLOOKUP('Données projet'!$B$17,Paramètres!$A$1:$I$89,5,0)</f>
        <v>376.55763599999983</v>
      </c>
      <c r="GB83" s="13">
        <f t="shared" si="103"/>
        <v>87.007510360855733</v>
      </c>
      <c r="GC83" s="20">
        <f t="shared" si="79"/>
        <v>807.37596324515664</v>
      </c>
      <c r="GD83" s="59">
        <f t="shared" si="80"/>
        <v>1078.1045748838428</v>
      </c>
      <c r="GE83" s="59">
        <f ca="1">AVERAGE(OFFSET($GD$3,0,0,'Données projet'!$E$17+1,1))-AVERAGE(OFFSET($H$3,0,0,'Données projet'!$E$17+1,1))</f>
        <v>592.58528889137358</v>
      </c>
      <c r="GF83" s="59">
        <f t="shared" si="104"/>
        <v>311.31528020403709</v>
      </c>
      <c r="GG83" s="15">
        <f>IF(ISNA(VLOOKUP(A83,'Données projet'!$A$243:$I$263,3,0)),0,VLOOKUP(A83,'Données projet'!$A$243:$I$263,3,0))</f>
        <v>7</v>
      </c>
      <c r="GH83" s="15">
        <f>IF(ISNA(VLOOKUP(A83,'Données projet'!$A$243:$I$263,4,0)),0,VLOOKUP(A83,'Données projet'!$A$243:$I$263,4,0))</f>
        <v>59.57</v>
      </c>
      <c r="GI83" s="16">
        <f>IF(ISNA(VLOOKUP(A83,'Données projet'!$A$243:$I$263,5,0)),0%,VLOOKUP(A83,'Données projet'!$A$243:$I$263,5,0)*VLOOKUP('Données projet'!$B$17,Paramètres!$A$1:$I$89,7,0))</f>
        <v>0.43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>
        <f>EXP(-LN(2)/35)*GL82+(1-EXP(-LN(2)/35))/(LN(2)/35)*GH83*GI83*VLOOKUP('Données projet'!$B$17,Paramètres!$A$1:$I$89,3,0)*0.475*44/12</f>
        <v>117.70944079839644</v>
      </c>
      <c r="GM83" s="21">
        <f>EXP(-LN(2)/25)*GM82+(1-EXP(-LN(2)/25))/(LN(2)/25)*Calculateur!GH83*Calculateur!GJ83*VLOOKUP('Données projet'!$B$17,Paramètres!$A$1:$I$89,3,0)*0.475*44/12</f>
        <v>0</v>
      </c>
      <c r="GN83" s="21">
        <f>EXP(-LN(2)/2)*GN82+(1-EXP(-LN(2)/2))/(LN(2)/2)*GH83*GK83*VLOOKUP('Données projet'!$B$17,Paramètres!$A$1:$I$89,3,0)*0.475*44/12</f>
        <v>0</v>
      </c>
      <c r="GO83" s="21">
        <f t="shared" si="81"/>
        <v>117.70944079839644</v>
      </c>
      <c r="GP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328.00000000000006</v>
      </c>
      <c r="GV83" s="17">
        <f>GU83*VLOOKUP('Données projet'!$B$18,Paramètres!$A$1:$I$89,3,0)*VLOOKUP('Données projet'!$B$18,Paramètres!$A$1:$I$89,5,0)</f>
        <v>255.84000000000006</v>
      </c>
      <c r="GW83" s="13">
        <f t="shared" si="105"/>
        <v>61.834803371075836</v>
      </c>
      <c r="GX83" s="20">
        <f t="shared" si="82"/>
        <v>553.28361587129041</v>
      </c>
      <c r="GY83" s="59">
        <f t="shared" si="83"/>
        <v>824.01222750997658</v>
      </c>
      <c r="GZ83" s="59">
        <f ca="1">AVERAGE(OFFSET($GY$3,0,0,'Données projet'!$E$18+1,1))-AVERAGE(OFFSET($H$3,0,0,'Données projet'!$E$18+1,1))</f>
        <v>308.85018589589453</v>
      </c>
      <c r="HA83" s="59">
        <f t="shared" si="106"/>
        <v>302.59481222418219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>
        <f>EXP(-LN(2)/35)*HG82+(1-EXP(-LN(2)/35))/(LN(2)/35)*HC83*HD83*VLOOKUP('Données projet'!$B$18,Paramètres!$A$1:$I$89,3,0)*0.475*44/12</f>
        <v>40.518227426906073</v>
      </c>
      <c r="HH83" s="21">
        <f>EXP(-LN(2)/25)*HH82+(1-EXP(-LN(2)/25))/(LN(2)/25)*Calculateur!HC83*Calculateur!HE83*VLOOKUP('Données projet'!$B$18,Paramètres!$A$1:$I$89,3,0)*0.475*44/12</f>
        <v>0</v>
      </c>
      <c r="HI83" s="21">
        <f>EXP(-LN(2)/2)*HI82+(1-EXP(-LN(2)/2))/(LN(2)/2)*HC83*HF83*VLOOKUP('Données projet'!$B$18,Paramètres!$A$1:$I$89,3,0)*0.475*44/12</f>
        <v>0</v>
      </c>
      <c r="HJ83" s="22">
        <f t="shared" si="84"/>
        <v>40.518227426906073</v>
      </c>
    </row>
    <row r="84" spans="1:218" x14ac:dyDescent="0.35">
      <c r="A84" s="10">
        <f t="shared" si="85"/>
        <v>81</v>
      </c>
      <c r="B84" s="72">
        <f>'Scénario référence'!$B$16*5+'Scénario référence'!$B$17*0+'Scénario référence'!$B$18*5</f>
        <v>5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66">
        <f t="shared" si="56"/>
        <v>183.33333333333334</v>
      </c>
      <c r="I84" s="6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10.41</v>
      </c>
      <c r="N84" s="13">
        <f>IF('Données projet'!$A$36&gt;35,N83+M84-V83,IF(A84&lt;'Données projet'!$A$36,$K$205^A84,IF(A84='Données projet'!$A$36,'Données projet'!$B$36,N83+M84-V83)))</f>
        <v>346.5499999999999</v>
      </c>
      <c r="O84" s="13">
        <f>N84*VLOOKUP('Données projet'!$B$9,Paramètres!$A$1:$I$89,3,0)*VLOOKUP('Données projet'!$B$9,Paramètres!$A$1:$I$89,5,0)</f>
        <v>313.55843999999991</v>
      </c>
      <c r="P84" s="13">
        <f t="shared" si="87"/>
        <v>74.011479710591601</v>
      </c>
      <c r="Q84" s="20">
        <f t="shared" si="54"/>
        <v>675.01761016261355</v>
      </c>
      <c r="R84" s="59">
        <f t="shared" si="55"/>
        <v>946.13836318611493</v>
      </c>
      <c r="S84" s="59">
        <f ca="1">AVERAGE(OFFSET($R$3,0,0,'Données projet'!$E$9+1,1))-AVERAGE(OFFSET($H$3,0,0,'Données projet'!$E$9+1,1))</f>
        <v>567.42635821507474</v>
      </c>
      <c r="T84" s="59">
        <f t="shared" si="88"/>
        <v>299.04735309930152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109.72576010951727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109.72576010951727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10.41</v>
      </c>
      <c r="AI84" s="13">
        <f>IF('Données projet'!$A$62&gt;35,AI83+AH84-AQ83,IF(A84&lt;'Données projet'!$A$62,$AF$205^A84,IF(A84='Données projet'!$A$62,'Données projet'!$B$62,AI83+AH84-AQ83)))</f>
        <v>346.5499999999999</v>
      </c>
      <c r="AJ84" s="13">
        <f>AI84*VLOOKUP('Données projet'!$B$10,Paramètres!$A$1:$I$89,3,0)*VLOOKUP('Données projet'!$B$10,Paramètres!$A$1:$I$89,5,0)</f>
        <v>351.40169999999989</v>
      </c>
      <c r="AK84" s="13">
        <f t="shared" si="89"/>
        <v>81.851068652084436</v>
      </c>
      <c r="AL84" s="20">
        <f t="shared" si="58"/>
        <v>754.58190540238013</v>
      </c>
      <c r="AM84" s="59">
        <f t="shared" si="59"/>
        <v>1025.7026584258815</v>
      </c>
      <c r="AN84" s="59">
        <f ca="1">AVERAGE(OFFSET($AM$3,0,0,'Données projet'!$E$10+1,1))-AVERAGE(OFFSET($H$3,0,0,'Données projet'!$E$10+1,1))</f>
        <v>626.09203985591455</v>
      </c>
      <c r="AO84" s="59">
        <f t="shared" si="90"/>
        <v>327.65191296575199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122.9685242606659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122.9685242606659</v>
      </c>
      <c r="AY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8.4</v>
      </c>
      <c r="BD84" s="12">
        <f>IF('Données projet'!$A$88&gt;35,BD83+BC84-BL83,IF(A84&lt;'Données projet'!$A$88,$BA$205^A84,IF(A84='Données projet'!$A$88,'Données projet'!$B$88,BD83+BC84-BL83)))</f>
        <v>331.39999999999986</v>
      </c>
      <c r="BE84" s="13">
        <f>BD84*VLOOKUP('Données projet'!$B$11,Paramètres!$A$1:$I$89,3,0)*VLOOKUP('Données projet'!$B$11,Paramètres!$A$1:$I$89,5,0)</f>
        <v>284.34119999999996</v>
      </c>
      <c r="BF84" s="13">
        <f t="shared" si="91"/>
        <v>67.883606139618351</v>
      </c>
      <c r="BG84" s="20">
        <f t="shared" si="61"/>
        <v>613.4582040265019</v>
      </c>
      <c r="BH84" s="59">
        <f t="shared" si="62"/>
        <v>884.57895705000328</v>
      </c>
      <c r="BI84" s="59">
        <f ca="1">AVERAGE(OFFSET($BH$3,0,0,'Données projet'!$E$11+1,1))-AVERAGE(OFFSET($H$3,0,0,'Données projet'!$E$11+1,1))</f>
        <v>481.23392184981651</v>
      </c>
      <c r="BJ84" s="59">
        <f t="shared" si="92"/>
        <v>275.88160405468193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91.996438874473796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91.996438874473796</v>
      </c>
      <c r="BT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14.338750000000005</v>
      </c>
      <c r="BY84" s="12">
        <f>IF('Données projet'!$A$114&gt;35,BY83+BX84-CG83,IF(A84&lt;'Données projet'!$A$114,$BV$205^A84,IF(A84='Données projet'!$A$114,'Données projet'!$B$114,BY83+BX84-CG83)))</f>
        <v>487.4124999999994</v>
      </c>
      <c r="BZ84" s="13">
        <f>BY84*VLOOKUP('Données projet'!$B$12,Paramètres!$A$1:$I$89,3,0)*VLOOKUP('Données projet'!$B$12,Paramètres!$A$1:$I$89,5,0)</f>
        <v>228.10904999999971</v>
      </c>
      <c r="CA84" s="13">
        <f t="shared" si="93"/>
        <v>55.873617689436912</v>
      </c>
      <c r="CB84" s="20">
        <f t="shared" si="64"/>
        <v>494.6031462257688</v>
      </c>
      <c r="CC84" s="59">
        <f t="shared" si="65"/>
        <v>765.72389924927029</v>
      </c>
      <c r="CD84" s="59">
        <f ca="1">AVERAGE(OFFSET($CC$3,0,0,'Données projet'!$E$12+1,1))-AVERAGE(OFFSET($H$3,0,0,'Données projet'!$E$12+1,1))</f>
        <v>331.86732359395467</v>
      </c>
      <c r="CE84" s="59">
        <f t="shared" si="94"/>
        <v>208.64489375183106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104.15703293525257</v>
      </c>
      <c r="CL84" s="21">
        <f>EXP(-LN(2)/25)*CL83+(1-EXP(-LN(2)/25))/(LN(2)/25)*Calculateur!CG84*Calculateur!CI84*VLOOKUP('Données projet'!$B$12,Paramètres!$A$1:$I$89,3,0)*0.475*44/12</f>
        <v>0</v>
      </c>
      <c r="CM84" s="21">
        <f>EXP(-LN(2)/2)*CM83+(1-EXP(-LN(2)/2))/(LN(2)/2)*CG84*CJ84*VLOOKUP('Données projet'!$B$12,Paramètres!$A$1:$I$89,3,0)*0.475*44/12</f>
        <v>0</v>
      </c>
      <c r="CN84" s="22">
        <f t="shared" si="66"/>
        <v>104.15703293525257</v>
      </c>
      <c r="CO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319</v>
      </c>
      <c r="CU84" s="17">
        <f>CT84*VLOOKUP('Données projet'!$B$13,Paramètres!$A$1:$I$89,3,0)*VLOOKUP('Données projet'!$B$13,Paramètres!$A$1:$I$89,5,0)</f>
        <v>233.89079999999998</v>
      </c>
      <c r="CV84" s="13">
        <f t="shared" si="95"/>
        <v>57.123140349023068</v>
      </c>
      <c r="CW84" s="20">
        <f t="shared" si="67"/>
        <v>506.84927944121517</v>
      </c>
      <c r="CX84" s="59">
        <f t="shared" si="68"/>
        <v>777.97003246471661</v>
      </c>
      <c r="CY84" s="59">
        <f ca="1">AVERAGE(OFFSET($CX$3,0,0,'Données projet'!$E$13+1,1))-AVERAGE(OFFSET($H$3,0,0,'Données projet'!$E$13+1,1))</f>
        <v>352.45777291109863</v>
      </c>
      <c r="CZ84" s="59">
        <f t="shared" si="96"/>
        <v>340.92165104349181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38.973703413860058</v>
      </c>
      <c r="DG84" s="21">
        <f>EXP(-LN(2)/25)*DG83+(1-EXP(-LN(2)/25))/(LN(2)/25)*Calculateur!DB84*Calculateur!DD84*VLOOKUP('Données projet'!$B$13,Paramètres!$A$1:$I$89,3,0)*0.475*44/12</f>
        <v>0</v>
      </c>
      <c r="DH84" s="21">
        <f>EXP(-LN(2)/2)*DH83+(1-EXP(-LN(2)/2))/(LN(2)/2)*DB84*DE84*VLOOKUP('Données projet'!$B$13,Paramètres!$A$1:$I$89,3,0)*0.475*44/12</f>
        <v>0</v>
      </c>
      <c r="DI84" s="22">
        <f t="shared" si="69"/>
        <v>38.973703413860058</v>
      </c>
      <c r="DJ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10.41</v>
      </c>
      <c r="DO84" s="12">
        <f>IF('Données projet'!$A$166&gt;35,DO83+DN84-DW83,IF(A84&lt;'Données projet'!$A$166,$DL$205^A84,IF(A84='Données projet'!$A$166,'Données projet'!$B$166,DO83+DN84-DW83)))</f>
        <v>346.5499999999999</v>
      </c>
      <c r="DP84" s="17">
        <f>DO84*VLOOKUP('Données projet'!$B$14,Paramètres!$A$1:$I$89,3,0)*VLOOKUP('Données projet'!$B$14,Paramètres!$A$1:$I$89,5,0)</f>
        <v>232.46573999999993</v>
      </c>
      <c r="DQ84" s="13">
        <f t="shared" si="97"/>
        <v>56.815500834092255</v>
      </c>
      <c r="DR84" s="20">
        <f t="shared" si="70"/>
        <v>503.8314944527105</v>
      </c>
      <c r="DS84" s="59">
        <f t="shared" si="71"/>
        <v>774.95224747621194</v>
      </c>
      <c r="DT84" s="59">
        <f ca="1">AVERAGE(OFFSET($DS$3,0,0,'Données projet'!$E$14+1,1))-AVERAGE(OFFSET($H$3,0,0,'Données projet'!$E$14+1,1))</f>
        <v>441.20130048888439</v>
      </c>
      <c r="DU84" s="59">
        <f t="shared" si="98"/>
        <v>237.47732532183946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100.26664285869683</v>
      </c>
      <c r="EB84" s="21">
        <f>EXP(-LN(2)/25)*EB83+(1-EXP(-LN(2)/25))/(LN(2)/25)*Calculateur!DW84*Calculateur!DY84*VLOOKUP('Données projet'!$B$14,Paramètres!$A$1:$I$89,3,0)*0.475*44/12</f>
        <v>0</v>
      </c>
      <c r="EC84" s="21">
        <f>EXP(-LN(2)/2)*EC83+(1-EXP(-LN(2)/2))/(LN(2)/2)*DW84*DZ84*VLOOKUP('Données projet'!$B$14,Paramètres!$A$1:$I$89,3,0)*0.475*44/12</f>
        <v>0</v>
      </c>
      <c r="ED84" s="22">
        <f t="shared" si="72"/>
        <v>100.26664285869683</v>
      </c>
      <c r="EE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319</v>
      </c>
      <c r="EK84" s="17">
        <f>EJ84*VLOOKUP('Données projet'!$B$15,Paramètres!$A$1:$I$89,3,0)*VLOOKUP('Données projet'!$B$15,Paramètres!$A$1:$I$89,5,0)</f>
        <v>253.79640000000001</v>
      </c>
      <c r="EL84" s="13">
        <f t="shared" si="99"/>
        <v>61.39816832228076</v>
      </c>
      <c r="EM84" s="20">
        <f t="shared" si="73"/>
        <v>548.96387316130563</v>
      </c>
      <c r="EN84" s="59">
        <f t="shared" si="74"/>
        <v>820.08462618480712</v>
      </c>
      <c r="EO84" s="59">
        <f ca="1">AVERAGE(OFFSET($EN$3,0,0,'Données projet'!$E$15+1,1))-AVERAGE(OFFSET($H$3,0,0,'Données projet'!$E$15+1,1))</f>
        <v>377.27600411578322</v>
      </c>
      <c r="EP84" s="59">
        <f t="shared" si="100"/>
        <v>364.58250627635425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>
        <f>EXP(-LN(2)/35)*EV83+(1-EXP(-LN(2)/35))/(LN(2)/35)*ER84*ES84*VLOOKUP('Données projet'!$B$15,Paramètres!$A$1:$I$89,3,0)*0.475*44/12</f>
        <v>52.125640934024624</v>
      </c>
      <c r="EW84" s="21">
        <f>EXP(-LN(2)/25)*EW83+(1-EXP(-LN(2)/25))/(LN(2)/25)*Calculateur!ER84*Calculateur!ET84*VLOOKUP('Données projet'!$B$15,Paramètres!$A$1:$I$89,3,0)*0.475*44/12</f>
        <v>0</v>
      </c>
      <c r="EX84" s="21">
        <f>EXP(-LN(2)/2)*EX83+(1-EXP(-LN(2)/2))/(LN(2)/2)*ER84*EU84*VLOOKUP('Données projet'!$B$15,Paramètres!$A$1:$I$89,3,0)*0.475*44/12</f>
        <v>0</v>
      </c>
      <c r="EY84" s="22">
        <f t="shared" si="75"/>
        <v>52.125640934024624</v>
      </c>
      <c r="EZ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319</v>
      </c>
      <c r="FF84" s="17">
        <f>FE84*VLOOKUP('Données projet'!$B$16,Paramètres!$A$1:$I$89,3,0)*VLOOKUP('Données projet'!$B$16,Paramètres!$A$1:$I$89,5,0)</f>
        <v>258.77280000000002</v>
      </c>
      <c r="FG84" s="13">
        <f t="shared" si="101"/>
        <v>62.460716522234691</v>
      </c>
      <c r="FH84" s="20">
        <f t="shared" si="76"/>
        <v>559.48170794289206</v>
      </c>
      <c r="FI84" s="59">
        <f t="shared" si="77"/>
        <v>830.60246096639344</v>
      </c>
      <c r="FJ84" s="59">
        <f ca="1">AVERAGE(OFFSET($FI$3,0,0,'Données projet'!$E$16+1,1))-AVERAGE(OFFSET($H$3,0,0,'Données projet'!$E$16+1,1))</f>
        <v>383.47399633251354</v>
      </c>
      <c r="FK84" s="59">
        <f t="shared" si="102"/>
        <v>370.49129421395628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>
        <f>EXP(-LN(2)/35)*FQ83+(1-EXP(-LN(2)/35))/(LN(2)/35)*FM84*FN84*VLOOKUP('Données projet'!$B$16,Paramètres!$A$1:$I$89,3,0)*0.475*44/12</f>
        <v>53.147712324887884</v>
      </c>
      <c r="FR84" s="21">
        <f>EXP(-LN(2)/25)*FR83+(1-EXP(-LN(2)/25))/(LN(2)/25)*Calculateur!FM84*Calculateur!FO84*VLOOKUP('Données projet'!$B$16,Paramètres!$A$1:$I$89,3,0)*0.475*44/12</f>
        <v>0</v>
      </c>
      <c r="FS84" s="21">
        <f>EXP(-LN(2)/2)*FS83+(1-EXP(-LN(2)/2))/(LN(2)/2)*FM84*FP84*VLOOKUP('Données projet'!$B$16,Paramètres!$A$1:$I$89,3,0)*0.475*44/12</f>
        <v>0</v>
      </c>
      <c r="FT84" s="22">
        <f t="shared" si="78"/>
        <v>53.147712324887884</v>
      </c>
      <c r="FU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10.41</v>
      </c>
      <c r="FZ84" s="12">
        <f>IF('Données projet'!$A$244&gt;35,FZ83+FY84-GH83,IF(A84&lt;'Données projet'!$A$244,$FW$205^A84,IF(A84='Données projet'!$A$244,'Données projet'!$B$244,FZ83+FY84-GH83)))</f>
        <v>346.5499999999999</v>
      </c>
      <c r="GA84" s="17">
        <f>FZ84*VLOOKUP('Données projet'!$B$17,Paramètres!$A$1:$I$89,3,0)*VLOOKUP('Données projet'!$B$17,Paramètres!$A$1:$I$89,5,0)</f>
        <v>329.77697999999992</v>
      </c>
      <c r="GB84" s="13">
        <f t="shared" si="103"/>
        <v>77.384067616717971</v>
      </c>
      <c r="GC84" s="20">
        <f t="shared" si="79"/>
        <v>709.13882459911702</v>
      </c>
      <c r="GD84" s="59">
        <f t="shared" si="80"/>
        <v>980.25957762261851</v>
      </c>
      <c r="GE84" s="59">
        <f ca="1">AVERAGE(OFFSET($GD$3,0,0,'Données projet'!$E$17+1,1))-AVERAGE(OFFSET($H$3,0,0,'Données projet'!$E$17+1,1))</f>
        <v>592.58528889137358</v>
      </c>
      <c r="GF84" s="59">
        <f t="shared" si="104"/>
        <v>311.31528020403709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>
        <f>EXP(-LN(2)/35)*GL83+(1-EXP(-LN(2)/35))/(LN(2)/35)*GH84*GI84*VLOOKUP('Données projet'!$B$17,Paramètres!$A$1:$I$89,3,0)*0.475*44/12</f>
        <v>115.40123046000954</v>
      </c>
      <c r="GM84" s="21">
        <f>EXP(-LN(2)/25)*GM83+(1-EXP(-LN(2)/25))/(LN(2)/25)*Calculateur!GH84*Calculateur!GJ84*VLOOKUP('Données projet'!$B$17,Paramètres!$A$1:$I$89,3,0)*0.475*44/12</f>
        <v>0</v>
      </c>
      <c r="GN84" s="21">
        <f>EXP(-LN(2)/2)*GN83+(1-EXP(-LN(2)/2))/(LN(2)/2)*GH84*GK84*VLOOKUP('Données projet'!$B$17,Paramètres!$A$1:$I$89,3,0)*0.475*44/12</f>
        <v>0</v>
      </c>
      <c r="GO84" s="21">
        <f t="shared" si="81"/>
        <v>115.40123046000954</v>
      </c>
      <c r="GP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328.00000000000006</v>
      </c>
      <c r="GV84" s="17">
        <f>GU84*VLOOKUP('Données projet'!$B$18,Paramètres!$A$1:$I$89,3,0)*VLOOKUP('Données projet'!$B$18,Paramètres!$A$1:$I$89,5,0)</f>
        <v>255.84000000000006</v>
      </c>
      <c r="GW84" s="13">
        <f t="shared" si="105"/>
        <v>61.834803371075836</v>
      </c>
      <c r="GX84" s="20">
        <f t="shared" si="82"/>
        <v>553.28361587129041</v>
      </c>
      <c r="GY84" s="59">
        <f t="shared" si="83"/>
        <v>824.40436889479179</v>
      </c>
      <c r="GZ84" s="59">
        <f ca="1">AVERAGE(OFFSET($GY$3,0,0,'Données projet'!$E$18+1,1))-AVERAGE(OFFSET($H$3,0,0,'Données projet'!$E$18+1,1))</f>
        <v>308.85018589589453</v>
      </c>
      <c r="HA84" s="59">
        <f t="shared" si="106"/>
        <v>302.59481222418219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>
        <f>EXP(-LN(2)/35)*HG83+(1-EXP(-LN(2)/35))/(LN(2)/35)*HC84*HD84*VLOOKUP('Données projet'!$B$18,Paramètres!$A$1:$I$89,3,0)*0.475*44/12</f>
        <v>39.723689700742902</v>
      </c>
      <c r="HH84" s="21">
        <f>EXP(-LN(2)/25)*HH83+(1-EXP(-LN(2)/25))/(LN(2)/25)*Calculateur!HC84*Calculateur!HE84*VLOOKUP('Données projet'!$B$18,Paramètres!$A$1:$I$89,3,0)*0.475*44/12</f>
        <v>0</v>
      </c>
      <c r="HI84" s="21">
        <f>EXP(-LN(2)/2)*HI83+(1-EXP(-LN(2)/2))/(LN(2)/2)*HC84*HF84*VLOOKUP('Données projet'!$B$18,Paramètres!$A$1:$I$89,3,0)*0.475*44/12</f>
        <v>0</v>
      </c>
      <c r="HJ84" s="22">
        <f t="shared" si="84"/>
        <v>39.723689700742902</v>
      </c>
    </row>
    <row r="85" spans="1:218" x14ac:dyDescent="0.35">
      <c r="A85" s="10">
        <f t="shared" si="85"/>
        <v>82</v>
      </c>
      <c r="B85" s="72">
        <f>'Scénario référence'!$B$16*5+'Scénario référence'!$B$17*0+'Scénario référence'!$B$18*5</f>
        <v>5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66">
        <f t="shared" si="56"/>
        <v>183.33333333333334</v>
      </c>
      <c r="I85" s="6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10.41</v>
      </c>
      <c r="N85" s="13">
        <f>IF('Données projet'!$A$36&gt;35,N84+M85-V84,IF(A85&lt;'Données projet'!$A$36,$K$205^A85,IF(A85='Données projet'!$A$36,'Données projet'!$B$36,N84+M85-V84)))</f>
        <v>356.95999999999992</v>
      </c>
      <c r="O85" s="13">
        <f>N85*VLOOKUP('Données projet'!$B$9,Paramètres!$A$1:$I$89,3,0)*VLOOKUP('Données projet'!$B$9,Paramètres!$A$1:$I$89,5,0)</f>
        <v>322.97740799999991</v>
      </c>
      <c r="P85" s="13">
        <f t="shared" si="87"/>
        <v>75.9725269838044</v>
      </c>
      <c r="Q85" s="20">
        <f t="shared" si="54"/>
        <v>694.83780343012586</v>
      </c>
      <c r="R85" s="59">
        <f t="shared" si="55"/>
        <v>966.34389506211289</v>
      </c>
      <c r="S85" s="59">
        <f ca="1">AVERAGE(OFFSET($R$3,0,0,'Données projet'!$E$9+1,1))-AVERAGE(OFFSET($H$3,0,0,'Données projet'!$E$9+1,1))</f>
        <v>567.42635821507474</v>
      </c>
      <c r="T85" s="59">
        <f t="shared" si="88"/>
        <v>299.04735309930152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107.57410487987489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107.57410487987489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10.41</v>
      </c>
      <c r="AI85" s="13">
        <f>IF('Données projet'!$A$62&gt;35,AI84+AH85-AQ84,IF(A85&lt;'Données projet'!$A$62,$AF$205^A85,IF(A85='Données projet'!$A$62,'Données projet'!$B$62,AI84+AH85-AQ84)))</f>
        <v>356.95999999999992</v>
      </c>
      <c r="AJ85" s="13">
        <f>AI85*VLOOKUP('Données projet'!$B$10,Paramètres!$A$1:$I$89,3,0)*VLOOKUP('Données projet'!$B$10,Paramètres!$A$1:$I$89,5,0)</f>
        <v>361.95743999999991</v>
      </c>
      <c r="AK85" s="13">
        <f t="shared" si="89"/>
        <v>84.01983781623828</v>
      </c>
      <c r="AL85" s="20">
        <f t="shared" si="58"/>
        <v>776.74375886328153</v>
      </c>
      <c r="AM85" s="59">
        <f t="shared" si="59"/>
        <v>1048.2498504952687</v>
      </c>
      <c r="AN85" s="59">
        <f ca="1">AVERAGE(OFFSET($AM$3,0,0,'Données projet'!$E$10+1,1))-AVERAGE(OFFSET($H$3,0,0,'Données projet'!$E$10+1,1))</f>
        <v>626.09203985591455</v>
      </c>
      <c r="AO85" s="59">
        <f t="shared" si="90"/>
        <v>327.65191296575199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120.55718650330807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120.55718650330807</v>
      </c>
      <c r="AY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8.4</v>
      </c>
      <c r="BD85" s="12">
        <f>IF('Données projet'!$A$88&gt;35,BD84+BC85-BL84,IF(A85&lt;'Données projet'!$A$88,$BA$205^A85,IF(A85='Données projet'!$A$88,'Données projet'!$B$88,BD84+BC85-BL84)))</f>
        <v>339.79999999999984</v>
      </c>
      <c r="BE85" s="13">
        <f>BD85*VLOOKUP('Données projet'!$B$11,Paramètres!$A$1:$I$89,3,0)*VLOOKUP('Données projet'!$B$11,Paramètres!$A$1:$I$89,5,0)</f>
        <v>291.5483999999999</v>
      </c>
      <c r="BF85" s="13">
        <f t="shared" si="91"/>
        <v>69.40174753959208</v>
      </c>
      <c r="BG85" s="20">
        <f t="shared" si="61"/>
        <v>628.65484029812262</v>
      </c>
      <c r="BH85" s="59">
        <f t="shared" si="62"/>
        <v>900.16093193010965</v>
      </c>
      <c r="BI85" s="59">
        <f ca="1">AVERAGE(OFFSET($BH$3,0,0,'Données projet'!$E$11+1,1))-AVERAGE(OFFSET($H$3,0,0,'Données projet'!$E$11+1,1))</f>
        <v>481.23392184981651</v>
      </c>
      <c r="BJ85" s="59">
        <f t="shared" si="92"/>
        <v>275.88160405468193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90.192444820432456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90.192444820432456</v>
      </c>
      <c r="BT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14.338750000000005</v>
      </c>
      <c r="BY85" s="12">
        <f>IF('Données projet'!$A$114&gt;35,BY84+BX85-CG84,IF(A85&lt;'Données projet'!$A$114,$BV$205^A85,IF(A85='Données projet'!$A$114,'Données projet'!$B$114,BY84+BX85-CG84)))</f>
        <v>501.7512499999994</v>
      </c>
      <c r="BZ85" s="13">
        <f>BY85*VLOOKUP('Données projet'!$B$12,Paramètres!$A$1:$I$89,3,0)*VLOOKUP('Données projet'!$B$12,Paramètres!$A$1:$I$89,5,0)</f>
        <v>234.81958499999971</v>
      </c>
      <c r="CA85" s="13">
        <f t="shared" si="93"/>
        <v>57.323527375429443</v>
      </c>
      <c r="CB85" s="20">
        <f t="shared" si="64"/>
        <v>508.81592072053917</v>
      </c>
      <c r="CC85" s="59">
        <f t="shared" si="65"/>
        <v>780.32201235252614</v>
      </c>
      <c r="CD85" s="59">
        <f ca="1">AVERAGE(OFFSET($CC$3,0,0,'Données projet'!$E$12+1,1))-AVERAGE(OFFSET($H$3,0,0,'Données projet'!$E$12+1,1))</f>
        <v>331.86732359395467</v>
      </c>
      <c r="CE85" s="59">
        <f t="shared" si="94"/>
        <v>208.64489375183106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102.11457704890934</v>
      </c>
      <c r="CL85" s="21">
        <f>EXP(-LN(2)/25)*CL84+(1-EXP(-LN(2)/25))/(LN(2)/25)*Calculateur!CG85*Calculateur!CI85*VLOOKUP('Données projet'!$B$12,Paramètres!$A$1:$I$89,3,0)*0.475*44/12</f>
        <v>0</v>
      </c>
      <c r="CM85" s="21">
        <f>EXP(-LN(2)/2)*CM84+(1-EXP(-LN(2)/2))/(LN(2)/2)*CG85*CJ85*VLOOKUP('Données projet'!$B$12,Paramètres!$A$1:$I$89,3,0)*0.475*44/12</f>
        <v>0</v>
      </c>
      <c r="CN85" s="22">
        <f t="shared" si="66"/>
        <v>102.11457704890934</v>
      </c>
      <c r="CO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319</v>
      </c>
      <c r="CU85" s="17">
        <f>CT85*VLOOKUP('Données projet'!$B$13,Paramètres!$A$1:$I$89,3,0)*VLOOKUP('Données projet'!$B$13,Paramètres!$A$1:$I$89,5,0)</f>
        <v>233.89079999999998</v>
      </c>
      <c r="CV85" s="13">
        <f t="shared" si="95"/>
        <v>57.123140349023068</v>
      </c>
      <c r="CW85" s="20">
        <f t="shared" si="67"/>
        <v>506.84927944121517</v>
      </c>
      <c r="CX85" s="59">
        <f t="shared" si="68"/>
        <v>778.35537107320215</v>
      </c>
      <c r="CY85" s="59">
        <f ca="1">AVERAGE(OFFSET($CX$3,0,0,'Données projet'!$E$13+1,1))-AVERAGE(OFFSET($H$3,0,0,'Données projet'!$E$13+1,1))</f>
        <v>352.45777291109863</v>
      </c>
      <c r="CZ85" s="59">
        <f t="shared" si="96"/>
        <v>340.92165104349181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38.209452861526096</v>
      </c>
      <c r="DG85" s="21">
        <f>EXP(-LN(2)/25)*DG84+(1-EXP(-LN(2)/25))/(LN(2)/25)*Calculateur!DB85*Calculateur!DD85*VLOOKUP('Données projet'!$B$13,Paramètres!$A$1:$I$89,3,0)*0.475*44/12</f>
        <v>0</v>
      </c>
      <c r="DH85" s="21">
        <f>EXP(-LN(2)/2)*DH84+(1-EXP(-LN(2)/2))/(LN(2)/2)*DB85*DE85*VLOOKUP('Données projet'!$B$13,Paramètres!$A$1:$I$89,3,0)*0.475*44/12</f>
        <v>0</v>
      </c>
      <c r="DI85" s="22">
        <f t="shared" si="69"/>
        <v>38.209452861526096</v>
      </c>
      <c r="DJ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10.41</v>
      </c>
      <c r="DO85" s="12">
        <f>IF('Données projet'!$A$166&gt;35,DO84+DN85-DW84,IF(A85&lt;'Données projet'!$A$166,$DL$205^A85,IF(A85='Données projet'!$A$166,'Données projet'!$B$166,DO84+DN85-DW84)))</f>
        <v>356.95999999999992</v>
      </c>
      <c r="DP85" s="17">
        <f>DO85*VLOOKUP('Données projet'!$B$14,Paramètres!$A$1:$I$89,3,0)*VLOOKUP('Données projet'!$B$14,Paramètres!$A$1:$I$89,5,0)</f>
        <v>239.44876799999994</v>
      </c>
      <c r="DQ85" s="13">
        <f t="shared" si="97"/>
        <v>58.320914364839041</v>
      </c>
      <c r="DR85" s="20">
        <f t="shared" si="70"/>
        <v>518.61553011876128</v>
      </c>
      <c r="DS85" s="59">
        <f t="shared" si="71"/>
        <v>790.12162175074832</v>
      </c>
      <c r="DT85" s="59">
        <f ca="1">AVERAGE(OFFSET($DS$3,0,0,'Données projet'!$E$14+1,1))-AVERAGE(OFFSET($H$3,0,0,'Données projet'!$E$14+1,1))</f>
        <v>441.20130048888439</v>
      </c>
      <c r="DU85" s="59">
        <f t="shared" si="98"/>
        <v>237.47732532183946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98.300475148851206</v>
      </c>
      <c r="EB85" s="21">
        <f>EXP(-LN(2)/25)*EB84+(1-EXP(-LN(2)/25))/(LN(2)/25)*Calculateur!DW85*Calculateur!DY85*VLOOKUP('Données projet'!$B$14,Paramètres!$A$1:$I$89,3,0)*0.475*44/12</f>
        <v>0</v>
      </c>
      <c r="EC85" s="21">
        <f>EXP(-LN(2)/2)*EC84+(1-EXP(-LN(2)/2))/(LN(2)/2)*DW85*DZ85*VLOOKUP('Données projet'!$B$14,Paramètres!$A$1:$I$89,3,0)*0.475*44/12</f>
        <v>0</v>
      </c>
      <c r="ED85" s="22">
        <f t="shared" si="72"/>
        <v>98.300475148851206</v>
      </c>
      <c r="EE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319</v>
      </c>
      <c r="EK85" s="17">
        <f>EJ85*VLOOKUP('Données projet'!$B$15,Paramètres!$A$1:$I$89,3,0)*VLOOKUP('Données projet'!$B$15,Paramètres!$A$1:$I$89,5,0)</f>
        <v>253.79640000000001</v>
      </c>
      <c r="EL85" s="13">
        <f t="shared" si="99"/>
        <v>61.39816832228076</v>
      </c>
      <c r="EM85" s="20">
        <f t="shared" si="73"/>
        <v>548.96387316130563</v>
      </c>
      <c r="EN85" s="59">
        <f t="shared" si="74"/>
        <v>820.46996479329266</v>
      </c>
      <c r="EO85" s="59">
        <f ca="1">AVERAGE(OFFSET($EN$3,0,0,'Données projet'!$E$15+1,1))-AVERAGE(OFFSET($H$3,0,0,'Données projet'!$E$15+1,1))</f>
        <v>377.27600411578322</v>
      </c>
      <c r="EP85" s="59">
        <f t="shared" si="100"/>
        <v>364.58250627635425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>
        <f>EXP(-LN(2)/35)*EV84+(1-EXP(-LN(2)/35))/(LN(2)/35)*ER85*ES85*VLOOKUP('Données projet'!$B$15,Paramètres!$A$1:$I$89,3,0)*0.475*44/12</f>
        <v>51.103488908810021</v>
      </c>
      <c r="EW85" s="21">
        <f>EXP(-LN(2)/25)*EW84+(1-EXP(-LN(2)/25))/(LN(2)/25)*Calculateur!ER85*Calculateur!ET85*VLOOKUP('Données projet'!$B$15,Paramètres!$A$1:$I$89,3,0)*0.475*44/12</f>
        <v>0</v>
      </c>
      <c r="EX85" s="21">
        <f>EXP(-LN(2)/2)*EX84+(1-EXP(-LN(2)/2))/(LN(2)/2)*ER85*EU85*VLOOKUP('Données projet'!$B$15,Paramètres!$A$1:$I$89,3,0)*0.475*44/12</f>
        <v>0</v>
      </c>
      <c r="EY85" s="22">
        <f t="shared" si="75"/>
        <v>51.103488908810021</v>
      </c>
      <c r="EZ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319</v>
      </c>
      <c r="FF85" s="17">
        <f>FE85*VLOOKUP('Données projet'!$B$16,Paramètres!$A$1:$I$89,3,0)*VLOOKUP('Données projet'!$B$16,Paramètres!$A$1:$I$89,5,0)</f>
        <v>258.77280000000002</v>
      </c>
      <c r="FG85" s="13">
        <f t="shared" si="101"/>
        <v>62.460716522234691</v>
      </c>
      <c r="FH85" s="20">
        <f t="shared" si="76"/>
        <v>559.48170794289206</v>
      </c>
      <c r="FI85" s="59">
        <f t="shared" si="77"/>
        <v>830.98779957487909</v>
      </c>
      <c r="FJ85" s="59">
        <f ca="1">AVERAGE(OFFSET($FI$3,0,0,'Données projet'!$E$16+1,1))-AVERAGE(OFFSET($H$3,0,0,'Données projet'!$E$16+1,1))</f>
        <v>383.47399633251354</v>
      </c>
      <c r="FK85" s="59">
        <f t="shared" si="102"/>
        <v>370.49129421395628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>
        <f>EXP(-LN(2)/35)*FQ84+(1-EXP(-LN(2)/35))/(LN(2)/35)*FM85*FN85*VLOOKUP('Données projet'!$B$16,Paramètres!$A$1:$I$89,3,0)*0.475*44/12</f>
        <v>52.105518103100451</v>
      </c>
      <c r="FR85" s="21">
        <f>EXP(-LN(2)/25)*FR84+(1-EXP(-LN(2)/25))/(LN(2)/25)*Calculateur!FM85*Calculateur!FO85*VLOOKUP('Données projet'!$B$16,Paramètres!$A$1:$I$89,3,0)*0.475*44/12</f>
        <v>0</v>
      </c>
      <c r="FS85" s="21">
        <f>EXP(-LN(2)/2)*FS84+(1-EXP(-LN(2)/2))/(LN(2)/2)*FM85*FP85*VLOOKUP('Données projet'!$B$16,Paramètres!$A$1:$I$89,3,0)*0.475*44/12</f>
        <v>0</v>
      </c>
      <c r="FT85" s="22">
        <f t="shared" si="78"/>
        <v>52.105518103100451</v>
      </c>
      <c r="FU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10.41</v>
      </c>
      <c r="FZ85" s="12">
        <f>IF('Données projet'!$A$244&gt;35,FZ84+FY85-GH84,IF(A85&lt;'Données projet'!$A$244,$FW$205^A85,IF(A85='Données projet'!$A$244,'Données projet'!$B$244,FZ84+FY85-GH84)))</f>
        <v>356.95999999999992</v>
      </c>
      <c r="GA85" s="17">
        <f>FZ85*VLOOKUP('Données projet'!$B$17,Paramètres!$A$1:$I$89,3,0)*VLOOKUP('Données projet'!$B$17,Paramètres!$A$1:$I$89,5,0)</f>
        <v>339.68313599999993</v>
      </c>
      <c r="GB85" s="13">
        <f t="shared" si="103"/>
        <v>79.434476761127598</v>
      </c>
      <c r="GC85" s="20">
        <f t="shared" si="79"/>
        <v>729.96317555896383</v>
      </c>
      <c r="GD85" s="59">
        <f t="shared" si="80"/>
        <v>1001.4692671909509</v>
      </c>
      <c r="GE85" s="59">
        <f ca="1">AVERAGE(OFFSET($GD$3,0,0,'Données projet'!$E$17+1,1))-AVERAGE(OFFSET($H$3,0,0,'Données projet'!$E$17+1,1))</f>
        <v>592.58528889137358</v>
      </c>
      <c r="GF85" s="59">
        <f t="shared" si="104"/>
        <v>311.31528020403709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>
        <f>EXP(-LN(2)/35)*GL84+(1-EXP(-LN(2)/35))/(LN(2)/35)*GH85*GI85*VLOOKUP('Données projet'!$B$17,Paramètres!$A$1:$I$89,3,0)*0.475*44/12</f>
        <v>113.13828271848912</v>
      </c>
      <c r="GM85" s="21">
        <f>EXP(-LN(2)/25)*GM84+(1-EXP(-LN(2)/25))/(LN(2)/25)*Calculateur!GH85*Calculateur!GJ85*VLOOKUP('Données projet'!$B$17,Paramètres!$A$1:$I$89,3,0)*0.475*44/12</f>
        <v>0</v>
      </c>
      <c r="GN85" s="21">
        <f>EXP(-LN(2)/2)*GN84+(1-EXP(-LN(2)/2))/(LN(2)/2)*GH85*GK85*VLOOKUP('Données projet'!$B$17,Paramètres!$A$1:$I$89,3,0)*0.475*44/12</f>
        <v>0</v>
      </c>
      <c r="GO85" s="21">
        <f t="shared" si="81"/>
        <v>113.13828271848912</v>
      </c>
      <c r="GP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328.00000000000006</v>
      </c>
      <c r="GV85" s="17">
        <f>GU85*VLOOKUP('Données projet'!$B$18,Paramètres!$A$1:$I$89,3,0)*VLOOKUP('Données projet'!$B$18,Paramètres!$A$1:$I$89,5,0)</f>
        <v>255.84000000000006</v>
      </c>
      <c r="GW85" s="13">
        <f t="shared" si="105"/>
        <v>61.834803371075836</v>
      </c>
      <c r="GX85" s="20">
        <f t="shared" si="82"/>
        <v>553.28361587129041</v>
      </c>
      <c r="GY85" s="59">
        <f t="shared" si="83"/>
        <v>824.78970750327744</v>
      </c>
      <c r="GZ85" s="59">
        <f ca="1">AVERAGE(OFFSET($GY$3,0,0,'Données projet'!$E$18+1,1))-AVERAGE(OFFSET($H$3,0,0,'Données projet'!$E$18+1,1))</f>
        <v>308.85018589589453</v>
      </c>
      <c r="HA85" s="59">
        <f t="shared" si="106"/>
        <v>302.59481222418219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>
        <f>EXP(-LN(2)/35)*HG84+(1-EXP(-LN(2)/35))/(LN(2)/35)*HC85*HD85*VLOOKUP('Données projet'!$B$18,Paramètres!$A$1:$I$89,3,0)*0.475*44/12</f>
        <v>38.944732374769629</v>
      </c>
      <c r="HH85" s="21">
        <f>EXP(-LN(2)/25)*HH84+(1-EXP(-LN(2)/25))/(LN(2)/25)*Calculateur!HC85*Calculateur!HE85*VLOOKUP('Données projet'!$B$18,Paramètres!$A$1:$I$89,3,0)*0.475*44/12</f>
        <v>0</v>
      </c>
      <c r="HI85" s="21">
        <f>EXP(-LN(2)/2)*HI84+(1-EXP(-LN(2)/2))/(LN(2)/2)*HC85*HF85*VLOOKUP('Données projet'!$B$18,Paramètres!$A$1:$I$89,3,0)*0.475*44/12</f>
        <v>0</v>
      </c>
      <c r="HJ85" s="22">
        <f t="shared" si="84"/>
        <v>38.944732374769629</v>
      </c>
    </row>
    <row r="86" spans="1:218" x14ac:dyDescent="0.35">
      <c r="A86" s="10">
        <f t="shared" si="85"/>
        <v>83</v>
      </c>
      <c r="B86" s="72">
        <f>'Scénario référence'!$B$16*5+'Scénario référence'!$B$17*0+'Scénario référence'!$B$18*5</f>
        <v>5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66">
        <f t="shared" si="56"/>
        <v>183.33333333333334</v>
      </c>
      <c r="I86" s="6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10.41</v>
      </c>
      <c r="N86" s="13">
        <f>IF('Données projet'!$A$36&gt;35,N85+M86-V85,IF(A86&lt;'Données projet'!$A$36,$K$205^A86,IF(A86='Données projet'!$A$36,'Données projet'!$B$36,N85+M86-V85)))</f>
        <v>367.36999999999995</v>
      </c>
      <c r="O86" s="13">
        <f>N86*VLOOKUP('Données projet'!$B$9,Paramètres!$A$1:$I$89,3,0)*VLOOKUP('Données projet'!$B$9,Paramètres!$A$1:$I$89,5,0)</f>
        <v>332.39637599999992</v>
      </c>
      <c r="P86" s="13">
        <f t="shared" si="87"/>
        <v>77.926927644548115</v>
      </c>
      <c r="Q86" s="20">
        <f t="shared" si="54"/>
        <v>714.64642051425437</v>
      </c>
      <c r="R86" s="59">
        <f t="shared" si="55"/>
        <v>986.53116599135785</v>
      </c>
      <c r="S86" s="59">
        <f ca="1">AVERAGE(OFFSET($R$3,0,0,'Données projet'!$E$9+1,1))-AVERAGE(OFFSET($H$3,0,0,'Données projet'!$E$9+1,1))</f>
        <v>567.42635821507474</v>
      </c>
      <c r="T86" s="59">
        <f t="shared" si="88"/>
        <v>299.04735309930152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105.46464229690571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105.46464229690571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10.41</v>
      </c>
      <c r="AI86" s="13">
        <f>IF('Données projet'!$A$62&gt;35,AI85+AH86-AQ85,IF(A86&lt;'Données projet'!$A$62,$AF$205^A86,IF(A86='Données projet'!$A$62,'Données projet'!$B$62,AI85+AH86-AQ85)))</f>
        <v>367.36999999999995</v>
      </c>
      <c r="AJ86" s="13">
        <f>AI86*VLOOKUP('Données projet'!$B$10,Paramètres!$A$1:$I$89,3,0)*VLOOKUP('Données projet'!$B$10,Paramètres!$A$1:$I$89,5,0)</f>
        <v>372.51317999999998</v>
      </c>
      <c r="AK86" s="13">
        <f t="shared" si="89"/>
        <v>86.181256332416311</v>
      </c>
      <c r="AL86" s="20">
        <f t="shared" si="58"/>
        <v>798.89280994562489</v>
      </c>
      <c r="AM86" s="59">
        <f t="shared" si="59"/>
        <v>1070.7775554227283</v>
      </c>
      <c r="AN86" s="59">
        <f ca="1">AVERAGE(OFFSET($AM$3,0,0,'Données projet'!$E$10+1,1))-AVERAGE(OFFSET($H$3,0,0,'Données projet'!$E$10+1,1))</f>
        <v>626.09203985591455</v>
      </c>
      <c r="AO86" s="59">
        <f t="shared" si="90"/>
        <v>327.65191296575199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118.19313360860123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118.19313360860123</v>
      </c>
      <c r="AY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8.4</v>
      </c>
      <c r="BD86" s="12">
        <f>IF('Données projet'!$A$88&gt;35,BD85+BC86-BL85,IF(A86&lt;'Données projet'!$A$88,$BA$205^A86,IF(A86='Données projet'!$A$88,'Données projet'!$B$88,BD85+BC86-BL85)))</f>
        <v>348.19999999999982</v>
      </c>
      <c r="BE86" s="13">
        <f>BD86*VLOOKUP('Données projet'!$B$11,Paramètres!$A$1:$I$89,3,0)*VLOOKUP('Données projet'!$B$11,Paramètres!$A$1:$I$89,5,0)</f>
        <v>298.75559999999984</v>
      </c>
      <c r="BF86" s="13">
        <f t="shared" si="91"/>
        <v>70.915526361788181</v>
      </c>
      <c r="BG86" s="20">
        <f t="shared" si="61"/>
        <v>643.84387841344744</v>
      </c>
      <c r="BH86" s="59">
        <f t="shared" si="62"/>
        <v>915.72862389055092</v>
      </c>
      <c r="BI86" s="59">
        <f ca="1">AVERAGE(OFFSET($BH$3,0,0,'Données projet'!$E$11+1,1))-AVERAGE(OFFSET($H$3,0,0,'Données projet'!$E$11+1,1))</f>
        <v>481.23392184981651</v>
      </c>
      <c r="BJ86" s="59">
        <f t="shared" si="92"/>
        <v>275.88160405468193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88.42382598946314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88.42382598946314</v>
      </c>
      <c r="BT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>
        <f>VLOOKUP(A86,'Données projet'!$A$113:$I$133,2,0)</f>
        <v>516.09</v>
      </c>
      <c r="BW86" s="12">
        <f>VLOOKUP(A86,'Données projet'!$A$113:$I$133,9,0)</f>
        <v>14.338750000000005</v>
      </c>
      <c r="BX86" s="12">
        <f t="array" ref="BX86">INDEX(BW:BW,MIN(IF(ISNUMBER(BW86:BW282),ROW(BW86:BW282),"")))</f>
        <v>14.338750000000005</v>
      </c>
      <c r="BY86" s="12">
        <f>IF('Données projet'!$A$114&gt;35,BY85+BX86-CG85,IF(A86&lt;'Données projet'!$A$114,$BV$205^A86,IF(A86='Données projet'!$A$114,'Données projet'!$B$114,BY85+BX86-CG85)))</f>
        <v>516.08999999999946</v>
      </c>
      <c r="BZ86" s="13">
        <f>BY86*VLOOKUP('Données projet'!$B$12,Paramètres!$A$1:$I$89,3,0)*VLOOKUP('Données projet'!$B$12,Paramètres!$A$1:$I$89,5,0)</f>
        <v>241.53011999999973</v>
      </c>
      <c r="CA86" s="13">
        <f t="shared" si="93"/>
        <v>58.768621387125215</v>
      </c>
      <c r="CB86" s="20">
        <f t="shared" si="64"/>
        <v>523.02030791590926</v>
      </c>
      <c r="CC86" s="59">
        <f t="shared" si="65"/>
        <v>794.90505339301274</v>
      </c>
      <c r="CD86" s="59">
        <f ca="1">AVERAGE(OFFSET($CC$3,0,0,'Données projet'!$E$12+1,1))-AVERAGE(OFFSET($H$3,0,0,'Données projet'!$E$12+1,1))</f>
        <v>331.86732359395467</v>
      </c>
      <c r="CE86" s="59">
        <f t="shared" si="94"/>
        <v>208.64489375183106</v>
      </c>
      <c r="CF86" s="15">
        <f>IF(ISNA(VLOOKUP(A86,'Données projet'!$A$113:$I$133,3,0)),0,VLOOKUP(A86,'Données projet'!$A$113:$I$133,3,0))</f>
        <v>6</v>
      </c>
      <c r="CG86" s="15">
        <f>IF(ISNA(VLOOKUP(A86,'Données projet'!$A$113:$I$133,4,0)),0,VLOOKUP(A86,'Données projet'!$A$113:$I$133,4,0))</f>
        <v>90.24</v>
      </c>
      <c r="CH86" s="16">
        <f>IF(ISNA(VLOOKUP(A86,'Données projet'!$A$113:$I$133,5,0)),0%,VLOOKUP(A86,'Données projet'!$A$113:$I$133,5,0)*VLOOKUP('Données projet'!$B$12,Paramètres!$A$1:$I$89,7,0))</f>
        <v>0.55000000000000004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130.92531449723384</v>
      </c>
      <c r="CL86" s="21">
        <f>EXP(-LN(2)/25)*CL85+(1-EXP(-LN(2)/25))/(LN(2)/25)*Calculateur!CG86*Calculateur!CI86*VLOOKUP('Données projet'!$B$12,Paramètres!$A$1:$I$89,3,0)*0.475*44/12</f>
        <v>0</v>
      </c>
      <c r="CM86" s="21">
        <f>EXP(-LN(2)/2)*CM85+(1-EXP(-LN(2)/2))/(LN(2)/2)*CG86*CJ86*VLOOKUP('Données projet'!$B$12,Paramètres!$A$1:$I$89,3,0)*0.475*44/12</f>
        <v>0</v>
      </c>
      <c r="CN86" s="22">
        <f t="shared" si="66"/>
        <v>130.92531449723384</v>
      </c>
      <c r="CO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319</v>
      </c>
      <c r="CU86" s="17">
        <f>CT86*VLOOKUP('Données projet'!$B$13,Paramètres!$A$1:$I$89,3,0)*VLOOKUP('Données projet'!$B$13,Paramètres!$A$1:$I$89,5,0)</f>
        <v>233.89079999999998</v>
      </c>
      <c r="CV86" s="13">
        <f t="shared" si="95"/>
        <v>57.123140349023068</v>
      </c>
      <c r="CW86" s="20">
        <f t="shared" si="67"/>
        <v>506.84927944121517</v>
      </c>
      <c r="CX86" s="59">
        <f t="shared" si="68"/>
        <v>778.73402491831871</v>
      </c>
      <c r="CY86" s="59">
        <f ca="1">AVERAGE(OFFSET($CX$3,0,0,'Données projet'!$E$13+1,1))-AVERAGE(OFFSET($H$3,0,0,'Données projet'!$E$13+1,1))</f>
        <v>352.45777291109863</v>
      </c>
      <c r="CZ86" s="59">
        <f t="shared" si="96"/>
        <v>340.92165104349181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37.460188796376592</v>
      </c>
      <c r="DG86" s="21">
        <f>EXP(-LN(2)/25)*DG85+(1-EXP(-LN(2)/25))/(LN(2)/25)*Calculateur!DB86*Calculateur!DD86*VLOOKUP('Données projet'!$B$13,Paramètres!$A$1:$I$89,3,0)*0.475*44/12</f>
        <v>0</v>
      </c>
      <c r="DH86" s="21">
        <f>EXP(-LN(2)/2)*DH85+(1-EXP(-LN(2)/2))/(LN(2)/2)*DB86*DE86*VLOOKUP('Données projet'!$B$13,Paramètres!$A$1:$I$89,3,0)*0.475*44/12</f>
        <v>0</v>
      </c>
      <c r="DI86" s="22">
        <f t="shared" si="69"/>
        <v>37.460188796376592</v>
      </c>
      <c r="DJ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10.41</v>
      </c>
      <c r="DO86" s="12">
        <f>IF('Données projet'!$A$166&gt;35,DO85+DN86-DW85,IF(A86&lt;'Données projet'!$A$166,$DL$205^A86,IF(A86='Données projet'!$A$166,'Données projet'!$B$166,DO85+DN86-DW85)))</f>
        <v>367.36999999999995</v>
      </c>
      <c r="DP86" s="17">
        <f>DO86*VLOOKUP('Données projet'!$B$14,Paramètres!$A$1:$I$89,3,0)*VLOOKUP('Données projet'!$B$14,Paramètres!$A$1:$I$89,5,0)</f>
        <v>246.43179599999996</v>
      </c>
      <c r="DQ86" s="13">
        <f t="shared" si="97"/>
        <v>59.821225570679459</v>
      </c>
      <c r="DR86" s="20">
        <f t="shared" si="70"/>
        <v>533.39067923560003</v>
      </c>
      <c r="DS86" s="59">
        <f t="shared" si="71"/>
        <v>805.27542471270351</v>
      </c>
      <c r="DT86" s="59">
        <f ca="1">AVERAGE(OFFSET($DS$3,0,0,'Données projet'!$E$14+1,1))-AVERAGE(OFFSET($H$3,0,0,'Données projet'!$E$14+1,1))</f>
        <v>441.20130048888439</v>
      </c>
      <c r="DU86" s="59">
        <f t="shared" si="98"/>
        <v>237.47732532183946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96.372862788551771</v>
      </c>
      <c r="EB86" s="21">
        <f>EXP(-LN(2)/25)*EB85+(1-EXP(-LN(2)/25))/(LN(2)/25)*Calculateur!DW86*Calculateur!DY86*VLOOKUP('Données projet'!$B$14,Paramètres!$A$1:$I$89,3,0)*0.475*44/12</f>
        <v>0</v>
      </c>
      <c r="EC86" s="21">
        <f>EXP(-LN(2)/2)*EC85+(1-EXP(-LN(2)/2))/(LN(2)/2)*DW86*DZ86*VLOOKUP('Données projet'!$B$14,Paramètres!$A$1:$I$89,3,0)*0.475*44/12</f>
        <v>0</v>
      </c>
      <c r="ED86" s="22">
        <f t="shared" si="72"/>
        <v>96.372862788551771</v>
      </c>
      <c r="EE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319</v>
      </c>
      <c r="EK86" s="17">
        <f>EJ86*VLOOKUP('Données projet'!$B$15,Paramètres!$A$1:$I$89,3,0)*VLOOKUP('Données projet'!$B$15,Paramètres!$A$1:$I$89,5,0)</f>
        <v>253.79640000000001</v>
      </c>
      <c r="EL86" s="13">
        <f t="shared" si="99"/>
        <v>61.39816832228076</v>
      </c>
      <c r="EM86" s="20">
        <f t="shared" si="73"/>
        <v>548.96387316130563</v>
      </c>
      <c r="EN86" s="59">
        <f t="shared" si="74"/>
        <v>820.84861863840911</v>
      </c>
      <c r="EO86" s="59">
        <f ca="1">AVERAGE(OFFSET($EN$3,0,0,'Données projet'!$E$15+1,1))-AVERAGE(OFFSET($H$3,0,0,'Données projet'!$E$15+1,1))</f>
        <v>377.27600411578322</v>
      </c>
      <c r="EP86" s="59">
        <f t="shared" si="100"/>
        <v>364.58250627635425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>
        <f>EXP(-LN(2)/35)*EV85+(1-EXP(-LN(2)/35))/(LN(2)/35)*ER86*ES86*VLOOKUP('Données projet'!$B$15,Paramètres!$A$1:$I$89,3,0)*0.475*44/12</f>
        <v>50.101380661358704</v>
      </c>
      <c r="EW86" s="21">
        <f>EXP(-LN(2)/25)*EW85+(1-EXP(-LN(2)/25))/(LN(2)/25)*Calculateur!ER86*Calculateur!ET86*VLOOKUP('Données projet'!$B$15,Paramètres!$A$1:$I$89,3,0)*0.475*44/12</f>
        <v>0</v>
      </c>
      <c r="EX86" s="21">
        <f>EXP(-LN(2)/2)*EX85+(1-EXP(-LN(2)/2))/(LN(2)/2)*ER86*EU86*VLOOKUP('Données projet'!$B$15,Paramètres!$A$1:$I$89,3,0)*0.475*44/12</f>
        <v>0</v>
      </c>
      <c r="EY86" s="22">
        <f t="shared" si="75"/>
        <v>50.101380661358704</v>
      </c>
      <c r="EZ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319</v>
      </c>
      <c r="FF86" s="17">
        <f>FE86*VLOOKUP('Données projet'!$B$16,Paramètres!$A$1:$I$89,3,0)*VLOOKUP('Données projet'!$B$16,Paramètres!$A$1:$I$89,5,0)</f>
        <v>258.77280000000002</v>
      </c>
      <c r="FG86" s="13">
        <f t="shared" si="101"/>
        <v>62.460716522234691</v>
      </c>
      <c r="FH86" s="20">
        <f t="shared" si="76"/>
        <v>559.48170794289206</v>
      </c>
      <c r="FI86" s="59">
        <f t="shared" si="77"/>
        <v>831.36645341999554</v>
      </c>
      <c r="FJ86" s="59">
        <f ca="1">AVERAGE(OFFSET($FI$3,0,0,'Données projet'!$E$16+1,1))-AVERAGE(OFFSET($H$3,0,0,'Données projet'!$E$16+1,1))</f>
        <v>383.47399633251354</v>
      </c>
      <c r="FK86" s="59">
        <f t="shared" si="102"/>
        <v>370.49129421395628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>
        <f>EXP(-LN(2)/35)*FQ85+(1-EXP(-LN(2)/35))/(LN(2)/35)*FM86*FN86*VLOOKUP('Données projet'!$B$16,Paramètres!$A$1:$I$89,3,0)*0.475*44/12</f>
        <v>51.083760674326555</v>
      </c>
      <c r="FR86" s="21">
        <f>EXP(-LN(2)/25)*FR85+(1-EXP(-LN(2)/25))/(LN(2)/25)*Calculateur!FM86*Calculateur!FO86*VLOOKUP('Données projet'!$B$16,Paramètres!$A$1:$I$89,3,0)*0.475*44/12</f>
        <v>0</v>
      </c>
      <c r="FS86" s="21">
        <f>EXP(-LN(2)/2)*FS85+(1-EXP(-LN(2)/2))/(LN(2)/2)*FM86*FP86*VLOOKUP('Données projet'!$B$16,Paramètres!$A$1:$I$89,3,0)*0.475*44/12</f>
        <v>0</v>
      </c>
      <c r="FT86" s="22">
        <f t="shared" si="78"/>
        <v>51.083760674326555</v>
      </c>
      <c r="FU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10.41</v>
      </c>
      <c r="FZ86" s="12">
        <f>IF('Données projet'!$A$244&gt;35,FZ85+FY86-GH85,IF(A86&lt;'Données projet'!$A$244,$FW$205^A86,IF(A86='Données projet'!$A$244,'Données projet'!$B$244,FZ85+FY86-GH85)))</f>
        <v>367.36999999999995</v>
      </c>
      <c r="GA86" s="17">
        <f>FZ86*VLOOKUP('Données projet'!$B$17,Paramètres!$A$1:$I$89,3,0)*VLOOKUP('Données projet'!$B$17,Paramètres!$A$1:$I$89,5,0)</f>
        <v>349.58929199999994</v>
      </c>
      <c r="GB86" s="13">
        <f t="shared" si="103"/>
        <v>81.477936417285449</v>
      </c>
      <c r="GC86" s="20">
        <f t="shared" si="79"/>
        <v>750.77542282677189</v>
      </c>
      <c r="GD86" s="59">
        <f t="shared" si="80"/>
        <v>1022.6601683038754</v>
      </c>
      <c r="GE86" s="59">
        <f ca="1">AVERAGE(OFFSET($GD$3,0,0,'Données projet'!$E$17+1,1))-AVERAGE(OFFSET($H$3,0,0,'Données projet'!$E$17+1,1))</f>
        <v>592.58528889137358</v>
      </c>
      <c r="GF86" s="59">
        <f t="shared" si="104"/>
        <v>311.31528020403709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>
        <f>EXP(-LN(2)/35)*GL85+(1-EXP(-LN(2)/35))/(LN(2)/35)*GH86*GI86*VLOOKUP('Données projet'!$B$17,Paramètres!$A$1:$I$89,3,0)*0.475*44/12</f>
        <v>110.91971000191808</v>
      </c>
      <c r="GM86" s="21">
        <f>EXP(-LN(2)/25)*GM85+(1-EXP(-LN(2)/25))/(LN(2)/25)*Calculateur!GH86*Calculateur!GJ86*VLOOKUP('Données projet'!$B$17,Paramètres!$A$1:$I$89,3,0)*0.475*44/12</f>
        <v>0</v>
      </c>
      <c r="GN86" s="21">
        <f>EXP(-LN(2)/2)*GN85+(1-EXP(-LN(2)/2))/(LN(2)/2)*GH86*GK86*VLOOKUP('Données projet'!$B$17,Paramètres!$A$1:$I$89,3,0)*0.475*44/12</f>
        <v>0</v>
      </c>
      <c r="GO86" s="21">
        <f t="shared" si="81"/>
        <v>110.91971000191808</v>
      </c>
      <c r="GP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328.00000000000006</v>
      </c>
      <c r="GV86" s="17">
        <f>GU86*VLOOKUP('Données projet'!$B$18,Paramètres!$A$1:$I$89,3,0)*VLOOKUP('Données projet'!$B$18,Paramètres!$A$1:$I$89,5,0)</f>
        <v>255.84000000000006</v>
      </c>
      <c r="GW86" s="13">
        <f t="shared" si="105"/>
        <v>61.834803371075836</v>
      </c>
      <c r="GX86" s="20">
        <f t="shared" si="82"/>
        <v>553.28361587129041</v>
      </c>
      <c r="GY86" s="59">
        <f t="shared" si="83"/>
        <v>825.16836134839389</v>
      </c>
      <c r="GZ86" s="59">
        <f ca="1">AVERAGE(OFFSET($GY$3,0,0,'Données projet'!$E$18+1,1))-AVERAGE(OFFSET($H$3,0,0,'Données projet'!$E$18+1,1))</f>
        <v>308.85018589589453</v>
      </c>
      <c r="HA86" s="59">
        <f t="shared" si="106"/>
        <v>302.59481222418219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>
        <f>EXP(-LN(2)/35)*HG85+(1-EXP(-LN(2)/35))/(LN(2)/35)*HC86*HD86*VLOOKUP('Données projet'!$B$18,Paramètres!$A$1:$I$89,3,0)*0.475*44/12</f>
        <v>38.181049926841638</v>
      </c>
      <c r="HH86" s="21">
        <f>EXP(-LN(2)/25)*HH85+(1-EXP(-LN(2)/25))/(LN(2)/25)*Calculateur!HC86*Calculateur!HE86*VLOOKUP('Données projet'!$B$18,Paramètres!$A$1:$I$89,3,0)*0.475*44/12</f>
        <v>0</v>
      </c>
      <c r="HI86" s="21">
        <f>EXP(-LN(2)/2)*HI85+(1-EXP(-LN(2)/2))/(LN(2)/2)*HC86*HF86*VLOOKUP('Données projet'!$B$18,Paramètres!$A$1:$I$89,3,0)*0.475*44/12</f>
        <v>0</v>
      </c>
      <c r="HJ86" s="22">
        <f t="shared" si="84"/>
        <v>38.181049926841638</v>
      </c>
    </row>
    <row r="87" spans="1:218" x14ac:dyDescent="0.35">
      <c r="A87" s="10">
        <f t="shared" si="85"/>
        <v>84</v>
      </c>
      <c r="B87" s="72">
        <f>'Scénario référence'!$B$16*5+'Scénario référence'!$B$17*0+'Scénario référence'!$B$18*5</f>
        <v>5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66">
        <f t="shared" si="56"/>
        <v>183.33333333333334</v>
      </c>
      <c r="I87" s="6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10.41</v>
      </c>
      <c r="N87" s="13">
        <f>IF('Données projet'!$A$36&gt;35,N86+M87-V86,IF(A87&lt;'Données projet'!$A$36,$K$205^A87,IF(A87='Données projet'!$A$36,'Données projet'!$B$36,N86+M87-V86)))</f>
        <v>377.78</v>
      </c>
      <c r="O87" s="13">
        <f>N87*VLOOKUP('Données projet'!$B$9,Paramètres!$A$1:$I$89,3,0)*VLOOKUP('Données projet'!$B$9,Paramètres!$A$1:$I$89,5,0)</f>
        <v>341.81534399999998</v>
      </c>
      <c r="P87" s="13">
        <f t="shared" si="87"/>
        <v>79.874891668491202</v>
      </c>
      <c r="Q87" s="20">
        <f t="shared" si="54"/>
        <v>734.44382712262211</v>
      </c>
      <c r="R87" s="59">
        <f t="shared" si="55"/>
        <v>1006.7006576471724</v>
      </c>
      <c r="S87" s="59">
        <f ca="1">AVERAGE(OFFSET($R$3,0,0,'Données projet'!$E$9+1,1))-AVERAGE(OFFSET($H$3,0,0,'Données projet'!$E$9+1,1))</f>
        <v>567.42635821507474</v>
      </c>
      <c r="T87" s="59">
        <f t="shared" si="88"/>
        <v>299.04735309930152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103.39654498854341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103.39654498854341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10.41</v>
      </c>
      <c r="AI87" s="13">
        <f>IF('Données projet'!$A$62&gt;35,AI86+AH87-AQ86,IF(A87&lt;'Données projet'!$A$62,$AF$205^A87,IF(A87='Données projet'!$A$62,'Données projet'!$B$62,AI86+AH87-AQ86)))</f>
        <v>377.78</v>
      </c>
      <c r="AJ87" s="13">
        <f>AI87*VLOOKUP('Données projet'!$B$10,Paramètres!$A$1:$I$89,3,0)*VLOOKUP('Données projet'!$B$10,Paramètres!$A$1:$I$89,5,0)</f>
        <v>383.06891999999999</v>
      </c>
      <c r="AK87" s="13">
        <f t="shared" si="89"/>
        <v>88.335556417741373</v>
      </c>
      <c r="AL87" s="20">
        <f t="shared" si="58"/>
        <v>821.02946309423294</v>
      </c>
      <c r="AM87" s="59">
        <f t="shared" si="59"/>
        <v>1093.2862936187832</v>
      </c>
      <c r="AN87" s="59">
        <f ca="1">AVERAGE(OFFSET($AM$3,0,0,'Données projet'!$E$10+1,1))-AVERAGE(OFFSET($H$3,0,0,'Données projet'!$E$10+1,1))</f>
        <v>626.09203985591455</v>
      </c>
      <c r="AO87" s="59">
        <f t="shared" si="90"/>
        <v>327.65191296575199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115.8754383492297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115.8754383492297</v>
      </c>
      <c r="AY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8.4</v>
      </c>
      <c r="BD87" s="12">
        <f>IF('Données projet'!$A$88&gt;35,BD86+BC87-BL86,IF(A87&lt;'Données projet'!$A$88,$BA$205^A87,IF(A87='Données projet'!$A$88,'Données projet'!$B$88,BD86+BC87-BL86)))</f>
        <v>356.5999999999998</v>
      </c>
      <c r="BE87" s="13">
        <f>BD87*VLOOKUP('Données projet'!$B$11,Paramètres!$A$1:$I$89,3,0)*VLOOKUP('Données projet'!$B$11,Paramètres!$A$1:$I$89,5,0)</f>
        <v>305.96279999999985</v>
      </c>
      <c r="BF87" s="13">
        <f t="shared" si="91"/>
        <v>72.425059957831166</v>
      </c>
      <c r="BG87" s="20">
        <f t="shared" si="61"/>
        <v>659.02552275988899</v>
      </c>
      <c r="BH87" s="59">
        <f t="shared" si="62"/>
        <v>931.2823532844393</v>
      </c>
      <c r="BI87" s="59">
        <f ca="1">AVERAGE(OFFSET($BH$3,0,0,'Données projet'!$E$11+1,1))-AVERAGE(OFFSET($H$3,0,0,'Données projet'!$E$11+1,1))</f>
        <v>481.23392184981651</v>
      </c>
      <c r="BJ87" s="59">
        <f t="shared" si="92"/>
        <v>275.88160405468193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86.689888695018155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86.689888695018155</v>
      </c>
      <c r="BT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13.233750000000001</v>
      </c>
      <c r="BY87" s="12">
        <f>IF('Données projet'!$A$114&gt;35,BY86+BX87-CG86,IF(A87&lt;'Données projet'!$A$114,$BV$205^A87,IF(A87='Données projet'!$A$114,'Données projet'!$B$114,BY86+BX87-CG86)))</f>
        <v>439.08374999999944</v>
      </c>
      <c r="BZ87" s="13">
        <f>BY87*VLOOKUP('Données projet'!$B$12,Paramètres!$A$1:$I$89,3,0)*VLOOKUP('Données projet'!$B$12,Paramètres!$A$1:$I$89,5,0)</f>
        <v>205.49119499999972</v>
      </c>
      <c r="CA87" s="13">
        <f t="shared" si="93"/>
        <v>50.949057217114365</v>
      </c>
      <c r="CB87" s="20">
        <f t="shared" si="64"/>
        <v>446.63343927814032</v>
      </c>
      <c r="CC87" s="59">
        <f t="shared" si="65"/>
        <v>718.89026980269068</v>
      </c>
      <c r="CD87" s="59">
        <f ca="1">AVERAGE(OFFSET($CC$3,0,0,'Données projet'!$E$12+1,1))-AVERAGE(OFFSET($H$3,0,0,'Données projet'!$E$12+1,1))</f>
        <v>331.86732359395467</v>
      </c>
      <c r="CE87" s="59">
        <f t="shared" si="94"/>
        <v>208.64489375183106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128.35794893649975</v>
      </c>
      <c r="CL87" s="21">
        <f>EXP(-LN(2)/25)*CL86+(1-EXP(-LN(2)/25))/(LN(2)/25)*Calculateur!CG87*Calculateur!CI87*VLOOKUP('Données projet'!$B$12,Paramètres!$A$1:$I$89,3,0)*0.475*44/12</f>
        <v>0</v>
      </c>
      <c r="CM87" s="21">
        <f>EXP(-LN(2)/2)*CM86+(1-EXP(-LN(2)/2))/(LN(2)/2)*CG87*CJ87*VLOOKUP('Données projet'!$B$12,Paramètres!$A$1:$I$89,3,0)*0.475*44/12</f>
        <v>0</v>
      </c>
      <c r="CN87" s="22">
        <f t="shared" si="66"/>
        <v>128.35794893649975</v>
      </c>
      <c r="CO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319</v>
      </c>
      <c r="CU87" s="17">
        <f>CT87*VLOOKUP('Données projet'!$B$13,Paramètres!$A$1:$I$89,3,0)*VLOOKUP('Données projet'!$B$13,Paramètres!$A$1:$I$89,5,0)</f>
        <v>233.89079999999998</v>
      </c>
      <c r="CV87" s="13">
        <f t="shared" si="95"/>
        <v>57.123140349023068</v>
      </c>
      <c r="CW87" s="20">
        <f t="shared" si="67"/>
        <v>506.84927944121517</v>
      </c>
      <c r="CX87" s="59">
        <f t="shared" si="68"/>
        <v>779.10610996576543</v>
      </c>
      <c r="CY87" s="59">
        <f ca="1">AVERAGE(OFFSET($CX$3,0,0,'Données projet'!$E$13+1,1))-AVERAGE(OFFSET($H$3,0,0,'Données projet'!$E$13+1,1))</f>
        <v>352.45777291109863</v>
      </c>
      <c r="CZ87" s="59">
        <f t="shared" si="96"/>
        <v>340.92165104349181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36.725617342538712</v>
      </c>
      <c r="DG87" s="21">
        <f>EXP(-LN(2)/25)*DG86+(1-EXP(-LN(2)/25))/(LN(2)/25)*Calculateur!DB87*Calculateur!DD87*VLOOKUP('Données projet'!$B$13,Paramètres!$A$1:$I$89,3,0)*0.475*44/12</f>
        <v>0</v>
      </c>
      <c r="DH87" s="21">
        <f>EXP(-LN(2)/2)*DH86+(1-EXP(-LN(2)/2))/(LN(2)/2)*DB87*DE87*VLOOKUP('Données projet'!$B$13,Paramètres!$A$1:$I$89,3,0)*0.475*44/12</f>
        <v>0</v>
      </c>
      <c r="DI87" s="22">
        <f t="shared" si="69"/>
        <v>36.725617342538712</v>
      </c>
      <c r="DJ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10.41</v>
      </c>
      <c r="DO87" s="12">
        <f>IF('Données projet'!$A$166&gt;35,DO86+DN87-DW86,IF(A87&lt;'Données projet'!$A$166,$DL$205^A87,IF(A87='Données projet'!$A$166,'Données projet'!$B$166,DO86+DN87-DW86)))</f>
        <v>377.78</v>
      </c>
      <c r="DP87" s="17">
        <f>DO87*VLOOKUP('Données projet'!$B$14,Paramètres!$A$1:$I$89,3,0)*VLOOKUP('Données projet'!$B$14,Paramètres!$A$1:$I$89,5,0)</f>
        <v>253.41482399999998</v>
      </c>
      <c r="DQ87" s="13">
        <f t="shared" si="97"/>
        <v>61.316595641104968</v>
      </c>
      <c r="DR87" s="20">
        <f t="shared" si="70"/>
        <v>548.15722254159107</v>
      </c>
      <c r="DS87" s="59">
        <f t="shared" si="71"/>
        <v>820.41405306614138</v>
      </c>
      <c r="DT87" s="59">
        <f ca="1">AVERAGE(OFFSET($DS$3,0,0,'Données projet'!$E$14+1,1))-AVERAGE(OFFSET($H$3,0,0,'Données projet'!$E$14+1,1))</f>
        <v>441.20130048888439</v>
      </c>
      <c r="DU87" s="59">
        <f t="shared" si="98"/>
        <v>237.47732532183946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94.483049730910366</v>
      </c>
      <c r="EB87" s="21">
        <f>EXP(-LN(2)/25)*EB86+(1-EXP(-LN(2)/25))/(LN(2)/25)*Calculateur!DW87*Calculateur!DY87*VLOOKUP('Données projet'!$B$14,Paramètres!$A$1:$I$89,3,0)*0.475*44/12</f>
        <v>0</v>
      </c>
      <c r="EC87" s="21">
        <f>EXP(-LN(2)/2)*EC86+(1-EXP(-LN(2)/2))/(LN(2)/2)*DW87*DZ87*VLOOKUP('Données projet'!$B$14,Paramètres!$A$1:$I$89,3,0)*0.475*44/12</f>
        <v>0</v>
      </c>
      <c r="ED87" s="22">
        <f t="shared" si="72"/>
        <v>94.483049730910366</v>
      </c>
      <c r="EE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319</v>
      </c>
      <c r="EK87" s="17">
        <f>EJ87*VLOOKUP('Données projet'!$B$15,Paramètres!$A$1:$I$89,3,0)*VLOOKUP('Données projet'!$B$15,Paramètres!$A$1:$I$89,5,0)</f>
        <v>253.79640000000001</v>
      </c>
      <c r="EL87" s="13">
        <f t="shared" si="99"/>
        <v>61.39816832228076</v>
      </c>
      <c r="EM87" s="20">
        <f t="shared" si="73"/>
        <v>548.96387316130563</v>
      </c>
      <c r="EN87" s="59">
        <f t="shared" si="74"/>
        <v>821.22070368585594</v>
      </c>
      <c r="EO87" s="59">
        <f ca="1">AVERAGE(OFFSET($EN$3,0,0,'Données projet'!$E$15+1,1))-AVERAGE(OFFSET($H$3,0,0,'Données projet'!$E$15+1,1))</f>
        <v>377.27600411578322</v>
      </c>
      <c r="EP87" s="59">
        <f t="shared" si="100"/>
        <v>364.58250627635425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>
        <f>EXP(-LN(2)/35)*EV86+(1-EXP(-LN(2)/35))/(LN(2)/35)*ER87*ES87*VLOOKUP('Données projet'!$B$15,Paramètres!$A$1:$I$89,3,0)*0.475*44/12</f>
        <v>49.118923145414229</v>
      </c>
      <c r="EW87" s="21">
        <f>EXP(-LN(2)/25)*EW86+(1-EXP(-LN(2)/25))/(LN(2)/25)*Calculateur!ER87*Calculateur!ET87*VLOOKUP('Données projet'!$B$15,Paramètres!$A$1:$I$89,3,0)*0.475*44/12</f>
        <v>0</v>
      </c>
      <c r="EX87" s="21">
        <f>EXP(-LN(2)/2)*EX86+(1-EXP(-LN(2)/2))/(LN(2)/2)*ER87*EU87*VLOOKUP('Données projet'!$B$15,Paramètres!$A$1:$I$89,3,0)*0.475*44/12</f>
        <v>0</v>
      </c>
      <c r="EY87" s="22">
        <f t="shared" si="75"/>
        <v>49.118923145414229</v>
      </c>
      <c r="EZ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319</v>
      </c>
      <c r="FF87" s="17">
        <f>FE87*VLOOKUP('Données projet'!$B$16,Paramètres!$A$1:$I$89,3,0)*VLOOKUP('Données projet'!$B$16,Paramètres!$A$1:$I$89,5,0)</f>
        <v>258.77280000000002</v>
      </c>
      <c r="FG87" s="13">
        <f t="shared" si="101"/>
        <v>62.460716522234691</v>
      </c>
      <c r="FH87" s="20">
        <f t="shared" si="76"/>
        <v>559.48170794289206</v>
      </c>
      <c r="FI87" s="59">
        <f t="shared" si="77"/>
        <v>831.73853846744237</v>
      </c>
      <c r="FJ87" s="59">
        <f ca="1">AVERAGE(OFFSET($FI$3,0,0,'Données projet'!$E$16+1,1))-AVERAGE(OFFSET($H$3,0,0,'Données projet'!$E$16+1,1))</f>
        <v>383.47399633251354</v>
      </c>
      <c r="FK87" s="59">
        <f t="shared" si="102"/>
        <v>370.49129421395628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>
        <f>EXP(-LN(2)/35)*FQ86+(1-EXP(-LN(2)/35))/(LN(2)/35)*FM87*FN87*VLOOKUP('Données projet'!$B$16,Paramètres!$A$1:$I$89,3,0)*0.475*44/12</f>
        <v>50.082039285520423</v>
      </c>
      <c r="FR87" s="21">
        <f>EXP(-LN(2)/25)*FR86+(1-EXP(-LN(2)/25))/(LN(2)/25)*Calculateur!FM87*Calculateur!FO87*VLOOKUP('Données projet'!$B$16,Paramètres!$A$1:$I$89,3,0)*0.475*44/12</f>
        <v>0</v>
      </c>
      <c r="FS87" s="21">
        <f>EXP(-LN(2)/2)*FS86+(1-EXP(-LN(2)/2))/(LN(2)/2)*FM87*FP87*VLOOKUP('Données projet'!$B$16,Paramètres!$A$1:$I$89,3,0)*0.475*44/12</f>
        <v>0</v>
      </c>
      <c r="FT87" s="22">
        <f t="shared" si="78"/>
        <v>50.082039285520423</v>
      </c>
      <c r="FU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10.41</v>
      </c>
      <c r="FZ87" s="12">
        <f>IF('Données projet'!$A$244&gt;35,FZ86+FY87-GH86,IF(A87&lt;'Données projet'!$A$244,$FW$205^A87,IF(A87='Données projet'!$A$244,'Données projet'!$B$244,FZ86+FY87-GH86)))</f>
        <v>377.78</v>
      </c>
      <c r="GA87" s="17">
        <f>FZ87*VLOOKUP('Données projet'!$B$17,Paramètres!$A$1:$I$89,3,0)*VLOOKUP('Données projet'!$B$17,Paramètres!$A$1:$I$89,5,0)</f>
        <v>359.49544800000001</v>
      </c>
      <c r="GB87" s="13">
        <f t="shared" si="103"/>
        <v>83.51466612912472</v>
      </c>
      <c r="GC87" s="20">
        <f t="shared" si="79"/>
        <v>771.57594877489225</v>
      </c>
      <c r="GD87" s="59">
        <f t="shared" si="80"/>
        <v>1043.8327792994426</v>
      </c>
      <c r="GE87" s="59">
        <f ca="1">AVERAGE(OFFSET($GD$3,0,0,'Données projet'!$E$17+1,1))-AVERAGE(OFFSET($H$3,0,0,'Données projet'!$E$17+1,1))</f>
        <v>592.58528889137358</v>
      </c>
      <c r="GF87" s="59">
        <f t="shared" si="104"/>
        <v>311.31528020403709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>
        <f>EXP(-LN(2)/35)*GL86+(1-EXP(-LN(2)/35))/(LN(2)/35)*GH87*GI87*VLOOKUP('Données projet'!$B$17,Paramètres!$A$1:$I$89,3,0)*0.475*44/12</f>
        <v>108.74464214312326</v>
      </c>
      <c r="GM87" s="21">
        <f>EXP(-LN(2)/25)*GM86+(1-EXP(-LN(2)/25))/(LN(2)/25)*Calculateur!GH87*Calculateur!GJ87*VLOOKUP('Données projet'!$B$17,Paramètres!$A$1:$I$89,3,0)*0.475*44/12</f>
        <v>0</v>
      </c>
      <c r="GN87" s="21">
        <f>EXP(-LN(2)/2)*GN86+(1-EXP(-LN(2)/2))/(LN(2)/2)*GH87*GK87*VLOOKUP('Données projet'!$B$17,Paramètres!$A$1:$I$89,3,0)*0.475*44/12</f>
        <v>0</v>
      </c>
      <c r="GO87" s="21">
        <f t="shared" si="81"/>
        <v>108.74464214312326</v>
      </c>
      <c r="GP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328.00000000000006</v>
      </c>
      <c r="GV87" s="17">
        <f>GU87*VLOOKUP('Données projet'!$B$18,Paramètres!$A$1:$I$89,3,0)*VLOOKUP('Données projet'!$B$18,Paramètres!$A$1:$I$89,5,0)</f>
        <v>255.84000000000006</v>
      </c>
      <c r="GW87" s="13">
        <f t="shared" si="105"/>
        <v>61.834803371075836</v>
      </c>
      <c r="GX87" s="20">
        <f t="shared" si="82"/>
        <v>553.28361587129041</v>
      </c>
      <c r="GY87" s="59">
        <f t="shared" si="83"/>
        <v>825.54044639584072</v>
      </c>
      <c r="GZ87" s="59">
        <f ca="1">AVERAGE(OFFSET($GY$3,0,0,'Données projet'!$E$18+1,1))-AVERAGE(OFFSET($H$3,0,0,'Données projet'!$E$18+1,1))</f>
        <v>308.85018589589453</v>
      </c>
      <c r="HA87" s="59">
        <f t="shared" si="106"/>
        <v>302.59481222418219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>
        <f>EXP(-LN(2)/35)*HG86+(1-EXP(-LN(2)/35))/(LN(2)/35)*HC87*HD87*VLOOKUP('Données projet'!$B$18,Paramètres!$A$1:$I$89,3,0)*0.475*44/12</f>
        <v>37.432342825917218</v>
      </c>
      <c r="HH87" s="21">
        <f>EXP(-LN(2)/25)*HH86+(1-EXP(-LN(2)/25))/(LN(2)/25)*Calculateur!HC87*Calculateur!HE87*VLOOKUP('Données projet'!$B$18,Paramètres!$A$1:$I$89,3,0)*0.475*44/12</f>
        <v>0</v>
      </c>
      <c r="HI87" s="21">
        <f>EXP(-LN(2)/2)*HI86+(1-EXP(-LN(2)/2))/(LN(2)/2)*HC87*HF87*VLOOKUP('Données projet'!$B$18,Paramètres!$A$1:$I$89,3,0)*0.475*44/12</f>
        <v>0</v>
      </c>
      <c r="HJ87" s="22">
        <f t="shared" si="84"/>
        <v>37.432342825917218</v>
      </c>
    </row>
    <row r="88" spans="1:218" x14ac:dyDescent="0.35">
      <c r="A88" s="10">
        <f t="shared" si="85"/>
        <v>85</v>
      </c>
      <c r="B88" s="72">
        <f>'Scénario référence'!$B$16*5+'Scénario référence'!$B$17*0+'Scénario référence'!$B$18*5</f>
        <v>5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66">
        <f t="shared" si="56"/>
        <v>183.33333333333334</v>
      </c>
      <c r="I88" s="6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10.41</v>
      </c>
      <c r="N88" s="13">
        <f>IF('Données projet'!$A$36&gt;35,N87+M88-V87,IF(A88&lt;'Données projet'!$A$36,$K$205^A88,IF(A88='Données projet'!$A$36,'Données projet'!$B$36,N87+M88-V87)))</f>
        <v>388.19</v>
      </c>
      <c r="O88" s="13">
        <f>N88*VLOOKUP('Données projet'!$B$9,Paramètres!$A$1:$I$89,3,0)*VLOOKUP('Données projet'!$B$9,Paramètres!$A$1:$I$89,5,0)</f>
        <v>351.23431199999999</v>
      </c>
      <c r="P88" s="13">
        <f t="shared" si="87"/>
        <v>81.816616800686063</v>
      </c>
      <c r="Q88" s="20">
        <f t="shared" si="54"/>
        <v>754.23036766119492</v>
      </c>
      <c r="R88" s="59">
        <f t="shared" si="55"/>
        <v>1026.8528283894764</v>
      </c>
      <c r="S88" s="59">
        <f ca="1">AVERAGE(OFFSET($R$3,0,0,'Données projet'!$E$9+1,1))-AVERAGE(OFFSET($H$3,0,0,'Données projet'!$E$9+1,1))</f>
        <v>567.42635821507474</v>
      </c>
      <c r="T88" s="59">
        <f t="shared" si="88"/>
        <v>299.04735309930152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101.36900180698331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101.36900180698331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10.41</v>
      </c>
      <c r="AI88" s="13">
        <f>IF('Données projet'!$A$62&gt;35,AI87+AH88-AQ87,IF(A88&lt;'Données projet'!$A$62,$AF$205^A88,IF(A88='Données projet'!$A$62,'Données projet'!$B$62,AI87+AH88-AQ87)))</f>
        <v>388.19</v>
      </c>
      <c r="AJ88" s="13">
        <f>AI88*VLOOKUP('Données projet'!$B$10,Paramètres!$A$1:$I$89,3,0)*VLOOKUP('Données projet'!$B$10,Paramètres!$A$1:$I$89,5,0)</f>
        <v>393.62466000000001</v>
      </c>
      <c r="AK88" s="13">
        <f t="shared" si="89"/>
        <v>90.482956763204399</v>
      </c>
      <c r="AL88" s="20">
        <f t="shared" si="58"/>
        <v>843.15409919591423</v>
      </c>
      <c r="AM88" s="59">
        <f t="shared" si="59"/>
        <v>1115.7765599241957</v>
      </c>
      <c r="AN88" s="59">
        <f ca="1">AVERAGE(OFFSET($AM$3,0,0,'Données projet'!$E$10+1,1))-AVERAGE(OFFSET($H$3,0,0,'Données projet'!$E$10+1,1))</f>
        <v>626.09203985591455</v>
      </c>
      <c r="AO88" s="59">
        <f t="shared" si="90"/>
        <v>327.65191296575199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113.60319168023992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113.60319168023992</v>
      </c>
      <c r="AY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>
        <f>VLOOKUP(A88,'Données projet'!$A$87:$I$107,2,0)</f>
        <v>365</v>
      </c>
      <c r="BB88" s="12">
        <f>VLOOKUP(A88,'Données projet'!$A$87:$I$107,9,0)</f>
        <v>8.4</v>
      </c>
      <c r="BC88" s="12">
        <f t="array" ref="BC88">INDEX(BB:BB,MIN(IF(ISNUMBER(BB88:BB284),ROW(BB88:BB284),"")))</f>
        <v>8.4</v>
      </c>
      <c r="BD88" s="12">
        <f>IF('Données projet'!$A$88&gt;35,BD87+BC88-BL87,IF(A88&lt;'Données projet'!$A$88,$BA$205^A88,IF(A88='Données projet'!$A$88,'Données projet'!$B$88,BD87+BC88-BL87)))</f>
        <v>364.99999999999977</v>
      </c>
      <c r="BE88" s="13">
        <f>BD88*VLOOKUP('Données projet'!$B$11,Paramètres!$A$1:$I$89,3,0)*VLOOKUP('Données projet'!$B$11,Paramètres!$A$1:$I$89,5,0)</f>
        <v>313.16999999999985</v>
      </c>
      <c r="BF88" s="13">
        <f t="shared" si="91"/>
        <v>73.930459835341836</v>
      </c>
      <c r="BG88" s="20">
        <f t="shared" si="61"/>
        <v>674.19996754655335</v>
      </c>
      <c r="BH88" s="59">
        <f t="shared" si="62"/>
        <v>946.82242827483492</v>
      </c>
      <c r="BI88" s="59">
        <f ca="1">AVERAGE(OFFSET($BH$3,0,0,'Données projet'!$E$11+1,1))-AVERAGE(OFFSET($H$3,0,0,'Données projet'!$E$11+1,1))</f>
        <v>481.23392184981651</v>
      </c>
      <c r="BJ88" s="59">
        <f t="shared" si="92"/>
        <v>275.88160405468193</v>
      </c>
      <c r="BK88" s="15">
        <f>IF(ISNA(VLOOKUP(A88,'Données projet'!$A$87:$I$107,3,0)),0,VLOOKUP(A88,'Données projet'!$A$87:$I$107,3,0))</f>
        <v>13</v>
      </c>
      <c r="BL88" s="15">
        <f>IF(ISNA(VLOOKUP(A88,'Données projet'!$A$87:$I$107,4,0)),0,VLOOKUP(A88,'Données projet'!$A$87:$I$107,4,0))</f>
        <v>27</v>
      </c>
      <c r="BM88" s="16">
        <f>IF(ISNA(VLOOKUP(A88,'Données projet'!$A$87:$I$107,5,0)),0%,VLOOKUP(A88,'Données projet'!$A$87:$I$107,5,0)*VLOOKUP('Données projet'!$B$11,Paramètres!$A$1:$I$89,7,0))</f>
        <v>0.53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98.562896063817888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98.562896063817888</v>
      </c>
      <c r="BT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13.233750000000001</v>
      </c>
      <c r="BY88" s="12">
        <f>IF('Données projet'!$A$114&gt;35,BY87+BX88-CG87,IF(A88&lt;'Données projet'!$A$114,$BV$205^A88,IF(A88='Données projet'!$A$114,'Données projet'!$B$114,BY87+BX88-CG87)))</f>
        <v>452.31749999999943</v>
      </c>
      <c r="BZ88" s="13">
        <f>BY88*VLOOKUP('Données projet'!$B$12,Paramètres!$A$1:$I$89,3,0)*VLOOKUP('Données projet'!$B$12,Paramètres!$A$1:$I$89,5,0)</f>
        <v>211.68458999999973</v>
      </c>
      <c r="CA88" s="13">
        <f t="shared" si="93"/>
        <v>52.303539640433733</v>
      </c>
      <c r="CB88" s="20">
        <f t="shared" si="64"/>
        <v>459.77932579042158</v>
      </c>
      <c r="CC88" s="59">
        <f t="shared" si="65"/>
        <v>732.40178651870315</v>
      </c>
      <c r="CD88" s="59">
        <f ca="1">AVERAGE(OFFSET($CC$3,0,0,'Données projet'!$E$12+1,1))-AVERAGE(OFFSET($H$3,0,0,'Données projet'!$E$12+1,1))</f>
        <v>331.86732359395467</v>
      </c>
      <c r="CE88" s="59">
        <f t="shared" si="94"/>
        <v>208.64489375183106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125.84092784847329</v>
      </c>
      <c r="CL88" s="21">
        <f>EXP(-LN(2)/25)*CL87+(1-EXP(-LN(2)/25))/(LN(2)/25)*Calculateur!CG88*Calculateur!CI88*VLOOKUP('Données projet'!$B$12,Paramètres!$A$1:$I$89,3,0)*0.475*44/12</f>
        <v>0</v>
      </c>
      <c r="CM88" s="21">
        <f>EXP(-LN(2)/2)*CM87+(1-EXP(-LN(2)/2))/(LN(2)/2)*CG88*CJ88*VLOOKUP('Données projet'!$B$12,Paramètres!$A$1:$I$89,3,0)*0.475*44/12</f>
        <v>0</v>
      </c>
      <c r="CN88" s="22">
        <f t="shared" si="66"/>
        <v>125.84092784847329</v>
      </c>
      <c r="CO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319</v>
      </c>
      <c r="CU88" s="17">
        <f>CT88*VLOOKUP('Données projet'!$B$13,Paramètres!$A$1:$I$89,3,0)*VLOOKUP('Données projet'!$B$13,Paramètres!$A$1:$I$89,5,0)</f>
        <v>233.89079999999998</v>
      </c>
      <c r="CV88" s="13">
        <f t="shared" si="95"/>
        <v>57.123140349023068</v>
      </c>
      <c r="CW88" s="20">
        <f t="shared" si="67"/>
        <v>506.84927944121517</v>
      </c>
      <c r="CX88" s="59">
        <f t="shared" si="68"/>
        <v>779.47174016949668</v>
      </c>
      <c r="CY88" s="59">
        <f ca="1">AVERAGE(OFFSET($CX$3,0,0,'Données projet'!$E$13+1,1))-AVERAGE(OFFSET($H$3,0,0,'Données projet'!$E$13+1,1))</f>
        <v>352.45777291109863</v>
      </c>
      <c r="CZ88" s="59">
        <f t="shared" si="96"/>
        <v>340.92165104349181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36.005450386866251</v>
      </c>
      <c r="DG88" s="21">
        <f>EXP(-LN(2)/25)*DG87+(1-EXP(-LN(2)/25))/(LN(2)/25)*Calculateur!DB88*Calculateur!DD88*VLOOKUP('Données projet'!$B$13,Paramètres!$A$1:$I$89,3,0)*0.475*44/12</f>
        <v>0</v>
      </c>
      <c r="DH88" s="21">
        <f>EXP(-LN(2)/2)*DH87+(1-EXP(-LN(2)/2))/(LN(2)/2)*DB88*DE88*VLOOKUP('Données projet'!$B$13,Paramètres!$A$1:$I$89,3,0)*0.475*44/12</f>
        <v>0</v>
      </c>
      <c r="DI88" s="22">
        <f t="shared" si="69"/>
        <v>36.005450386866251</v>
      </c>
      <c r="DJ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10.41</v>
      </c>
      <c r="DO88" s="12">
        <f>IF('Données projet'!$A$166&gt;35,DO87+DN88-DW87,IF(A88&lt;'Données projet'!$A$166,$DL$205^A88,IF(A88='Données projet'!$A$166,'Données projet'!$B$166,DO87+DN88-DW87)))</f>
        <v>388.19</v>
      </c>
      <c r="DP88" s="17">
        <f>DO88*VLOOKUP('Données projet'!$B$14,Paramètres!$A$1:$I$89,3,0)*VLOOKUP('Données projet'!$B$14,Paramètres!$A$1:$I$89,5,0)</f>
        <v>260.397852</v>
      </c>
      <c r="DQ88" s="13">
        <f t="shared" si="97"/>
        <v>62.807176376677099</v>
      </c>
      <c r="DR88" s="20">
        <f t="shared" si="70"/>
        <v>562.91542442271259</v>
      </c>
      <c r="DS88" s="59">
        <f t="shared" si="71"/>
        <v>835.53788515099404</v>
      </c>
      <c r="DT88" s="59">
        <f ca="1">AVERAGE(OFFSET($DS$3,0,0,'Données projet'!$E$14+1,1))-AVERAGE(OFFSET($H$3,0,0,'Données projet'!$E$14+1,1))</f>
        <v>441.20130048888439</v>
      </c>
      <c r="DU88" s="59">
        <f t="shared" si="98"/>
        <v>237.47732532183946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92.630294754657157</v>
      </c>
      <c r="EB88" s="21">
        <f>EXP(-LN(2)/25)*EB87+(1-EXP(-LN(2)/25))/(LN(2)/25)*Calculateur!DW88*Calculateur!DY88*VLOOKUP('Données projet'!$B$14,Paramètres!$A$1:$I$89,3,0)*0.475*44/12</f>
        <v>0</v>
      </c>
      <c r="EC88" s="21">
        <f>EXP(-LN(2)/2)*EC87+(1-EXP(-LN(2)/2))/(LN(2)/2)*DW88*DZ88*VLOOKUP('Données projet'!$B$14,Paramètres!$A$1:$I$89,3,0)*0.475*44/12</f>
        <v>0</v>
      </c>
      <c r="ED88" s="22">
        <f t="shared" si="72"/>
        <v>92.630294754657157</v>
      </c>
      <c r="EE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319</v>
      </c>
      <c r="EK88" s="17">
        <f>EJ88*VLOOKUP('Données projet'!$B$15,Paramètres!$A$1:$I$89,3,0)*VLOOKUP('Données projet'!$B$15,Paramètres!$A$1:$I$89,5,0)</f>
        <v>253.79640000000001</v>
      </c>
      <c r="EL88" s="13">
        <f t="shared" si="99"/>
        <v>61.39816832228076</v>
      </c>
      <c r="EM88" s="20">
        <f t="shared" si="73"/>
        <v>548.96387316130563</v>
      </c>
      <c r="EN88" s="59">
        <f t="shared" si="74"/>
        <v>821.58633388958719</v>
      </c>
      <c r="EO88" s="59">
        <f ca="1">AVERAGE(OFFSET($EN$3,0,0,'Données projet'!$E$15+1,1))-AVERAGE(OFFSET($H$3,0,0,'Données projet'!$E$15+1,1))</f>
        <v>377.27600411578322</v>
      </c>
      <c r="EP88" s="59">
        <f t="shared" si="100"/>
        <v>364.58250627635425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>
        <f>EXP(-LN(2)/35)*EV87+(1-EXP(-LN(2)/35))/(LN(2)/35)*ER88*ES88*VLOOKUP('Données projet'!$B$15,Paramètres!$A$1:$I$89,3,0)*0.475*44/12</f>
        <v>48.155731022117514</v>
      </c>
      <c r="EW88" s="21">
        <f>EXP(-LN(2)/25)*EW87+(1-EXP(-LN(2)/25))/(LN(2)/25)*Calculateur!ER88*Calculateur!ET88*VLOOKUP('Données projet'!$B$15,Paramètres!$A$1:$I$89,3,0)*0.475*44/12</f>
        <v>0</v>
      </c>
      <c r="EX88" s="21">
        <f>EXP(-LN(2)/2)*EX87+(1-EXP(-LN(2)/2))/(LN(2)/2)*ER88*EU88*VLOOKUP('Données projet'!$B$15,Paramètres!$A$1:$I$89,3,0)*0.475*44/12</f>
        <v>0</v>
      </c>
      <c r="EY88" s="22">
        <f t="shared" si="75"/>
        <v>48.155731022117514</v>
      </c>
      <c r="EZ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319</v>
      </c>
      <c r="FF88" s="17">
        <f>FE88*VLOOKUP('Données projet'!$B$16,Paramètres!$A$1:$I$89,3,0)*VLOOKUP('Données projet'!$B$16,Paramètres!$A$1:$I$89,5,0)</f>
        <v>258.77280000000002</v>
      </c>
      <c r="FG88" s="13">
        <f t="shared" si="101"/>
        <v>62.460716522234691</v>
      </c>
      <c r="FH88" s="20">
        <f t="shared" si="76"/>
        <v>559.48170794289206</v>
      </c>
      <c r="FI88" s="59">
        <f t="shared" si="77"/>
        <v>832.10416867117351</v>
      </c>
      <c r="FJ88" s="59">
        <f ca="1">AVERAGE(OFFSET($FI$3,0,0,'Données projet'!$E$16+1,1))-AVERAGE(OFFSET($H$3,0,0,'Données projet'!$E$16+1,1))</f>
        <v>383.47399633251354</v>
      </c>
      <c r="FK88" s="59">
        <f t="shared" si="102"/>
        <v>370.49129421395628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>
        <f>EXP(-LN(2)/35)*FQ87+(1-EXP(-LN(2)/35))/(LN(2)/35)*FM88*FN88*VLOOKUP('Données projet'!$B$16,Paramètres!$A$1:$I$89,3,0)*0.475*44/12</f>
        <v>49.099961042159066</v>
      </c>
      <c r="FR88" s="21">
        <f>EXP(-LN(2)/25)*FR87+(1-EXP(-LN(2)/25))/(LN(2)/25)*Calculateur!FM88*Calculateur!FO88*VLOOKUP('Données projet'!$B$16,Paramètres!$A$1:$I$89,3,0)*0.475*44/12</f>
        <v>0</v>
      </c>
      <c r="FS88" s="21">
        <f>EXP(-LN(2)/2)*FS87+(1-EXP(-LN(2)/2))/(LN(2)/2)*FM88*FP88*VLOOKUP('Données projet'!$B$16,Paramètres!$A$1:$I$89,3,0)*0.475*44/12</f>
        <v>0</v>
      </c>
      <c r="FT88" s="22">
        <f t="shared" si="78"/>
        <v>49.099961042159066</v>
      </c>
      <c r="FU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10.41</v>
      </c>
      <c r="FZ88" s="12">
        <f>IF('Données projet'!$A$244&gt;35,FZ87+FY88-GH87,IF(A88&lt;'Données projet'!$A$244,$FW$205^A88,IF(A88='Données projet'!$A$244,'Données projet'!$B$244,FZ87+FY88-GH87)))</f>
        <v>388.19</v>
      </c>
      <c r="GA88" s="17">
        <f>FZ88*VLOOKUP('Données projet'!$B$17,Paramètres!$A$1:$I$89,3,0)*VLOOKUP('Données projet'!$B$17,Paramètres!$A$1:$I$89,5,0)</f>
        <v>369.40160400000002</v>
      </c>
      <c r="GB88" s="13">
        <f t="shared" si="103"/>
        <v>85.544872652631781</v>
      </c>
      <c r="GC88" s="20">
        <f t="shared" si="79"/>
        <v>792.36511350333376</v>
      </c>
      <c r="GD88" s="59">
        <f t="shared" si="80"/>
        <v>1064.9875742316153</v>
      </c>
      <c r="GE88" s="59">
        <f ca="1">AVERAGE(OFFSET($GD$3,0,0,'Données projet'!$E$17+1,1))-AVERAGE(OFFSET($H$3,0,0,'Données projet'!$E$17+1,1))</f>
        <v>592.58528889137358</v>
      </c>
      <c r="GF88" s="59">
        <f t="shared" si="104"/>
        <v>311.31528020403709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>
        <f>EXP(-LN(2)/35)*GL87+(1-EXP(-LN(2)/35))/(LN(2)/35)*GH88*GI88*VLOOKUP('Données projet'!$B$17,Paramètres!$A$1:$I$89,3,0)*0.475*44/12</f>
        <v>106.61222603837901</v>
      </c>
      <c r="GM88" s="21">
        <f>EXP(-LN(2)/25)*GM87+(1-EXP(-LN(2)/25))/(LN(2)/25)*Calculateur!GH88*Calculateur!GJ88*VLOOKUP('Données projet'!$B$17,Paramètres!$A$1:$I$89,3,0)*0.475*44/12</f>
        <v>0</v>
      </c>
      <c r="GN88" s="21">
        <f>EXP(-LN(2)/2)*GN87+(1-EXP(-LN(2)/2))/(LN(2)/2)*GH88*GK88*VLOOKUP('Données projet'!$B$17,Paramètres!$A$1:$I$89,3,0)*0.475*44/12</f>
        <v>0</v>
      </c>
      <c r="GO88" s="21">
        <f t="shared" si="81"/>
        <v>106.61222603837901</v>
      </c>
      <c r="GP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328.00000000000006</v>
      </c>
      <c r="GV88" s="17">
        <f>GU88*VLOOKUP('Données projet'!$B$18,Paramètres!$A$1:$I$89,3,0)*VLOOKUP('Données projet'!$B$18,Paramètres!$A$1:$I$89,5,0)</f>
        <v>255.84000000000006</v>
      </c>
      <c r="GW88" s="13">
        <f t="shared" si="105"/>
        <v>61.834803371075836</v>
      </c>
      <c r="GX88" s="20">
        <f t="shared" si="82"/>
        <v>553.28361587129041</v>
      </c>
      <c r="GY88" s="59">
        <f t="shared" si="83"/>
        <v>825.90607659957186</v>
      </c>
      <c r="GZ88" s="59">
        <f ca="1">AVERAGE(OFFSET($GY$3,0,0,'Données projet'!$E$18+1,1))-AVERAGE(OFFSET($H$3,0,0,'Données projet'!$E$18+1,1))</f>
        <v>308.85018589589453</v>
      </c>
      <c r="HA88" s="59">
        <f t="shared" si="106"/>
        <v>302.59481222418219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>
        <f>EXP(-LN(2)/35)*HG87+(1-EXP(-LN(2)/35))/(LN(2)/35)*HC88*HD88*VLOOKUP('Données projet'!$B$18,Paramètres!$A$1:$I$89,3,0)*0.475*44/12</f>
        <v>36.698317414575683</v>
      </c>
      <c r="HH88" s="21">
        <f>EXP(-LN(2)/25)*HH87+(1-EXP(-LN(2)/25))/(LN(2)/25)*Calculateur!HC88*Calculateur!HE88*VLOOKUP('Données projet'!$B$18,Paramètres!$A$1:$I$89,3,0)*0.475*44/12</f>
        <v>0</v>
      </c>
      <c r="HI88" s="21">
        <f>EXP(-LN(2)/2)*HI87+(1-EXP(-LN(2)/2))/(LN(2)/2)*HC88*HF88*VLOOKUP('Données projet'!$B$18,Paramètres!$A$1:$I$89,3,0)*0.475*44/12</f>
        <v>0</v>
      </c>
      <c r="HJ88" s="22">
        <f t="shared" si="84"/>
        <v>36.698317414575683</v>
      </c>
    </row>
    <row r="89" spans="1:218" x14ac:dyDescent="0.35">
      <c r="A89" s="10">
        <f t="shared" si="85"/>
        <v>86</v>
      </c>
      <c r="B89" s="72">
        <f>'Scénario référence'!$B$16*5+'Scénario référence'!$B$17*0+'Scénario référence'!$B$18*5</f>
        <v>5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66">
        <f t="shared" si="56"/>
        <v>183.33333333333334</v>
      </c>
      <c r="I89" s="6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10.41</v>
      </c>
      <c r="N89" s="13">
        <f>IF('Données projet'!$A$36&gt;35,N88+M89-V88,IF(A89&lt;'Données projet'!$A$36,$K$205^A89,IF(A89='Données projet'!$A$36,'Données projet'!$B$36,N88+M89-V88)))</f>
        <v>398.6</v>
      </c>
      <c r="O89" s="13">
        <f>N89*VLOOKUP('Données projet'!$B$9,Paramètres!$A$1:$I$89,3,0)*VLOOKUP('Données projet'!$B$9,Paramètres!$A$1:$I$89,5,0)</f>
        <v>360.65328</v>
      </c>
      <c r="P89" s="13">
        <f t="shared" si="87"/>
        <v>83.752289576604468</v>
      </c>
      <c r="Q89" s="20">
        <f t="shared" si="54"/>
        <v>774.006367012586</v>
      </c>
      <c r="R89" s="59">
        <f t="shared" si="55"/>
        <v>1046.9881150779906</v>
      </c>
      <c r="S89" s="59">
        <f ca="1">AVERAGE(OFFSET($R$3,0,0,'Données projet'!$E$9+1,1))-AVERAGE(OFFSET($H$3,0,0,'Données projet'!$E$9+1,1))</f>
        <v>567.42635821507474</v>
      </c>
      <c r="T89" s="59">
        <f t="shared" si="88"/>
        <v>299.04735309930152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99.381217510534356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99.381217510534356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10.41</v>
      </c>
      <c r="AI89" s="13">
        <f>IF('Données projet'!$A$62&gt;35,AI88+AH89-AQ88,IF(A89&lt;'Données projet'!$A$62,$AF$205^A89,IF(A89='Données projet'!$A$62,'Données projet'!$B$62,AI88+AH89-AQ88)))</f>
        <v>398.6</v>
      </c>
      <c r="AJ89" s="13">
        <f>AI89*VLOOKUP('Données projet'!$B$10,Paramètres!$A$1:$I$89,3,0)*VLOOKUP('Données projet'!$B$10,Paramètres!$A$1:$I$89,5,0)</f>
        <v>404.18040000000008</v>
      </c>
      <c r="AK89" s="13">
        <f t="shared" si="89"/>
        <v>92.623663662853104</v>
      </c>
      <c r="AL89" s="20">
        <f t="shared" si="58"/>
        <v>865.26707754613597</v>
      </c>
      <c r="AM89" s="59">
        <f t="shared" si="59"/>
        <v>1138.2488256115407</v>
      </c>
      <c r="AN89" s="59">
        <f ca="1">AVERAGE(OFFSET($AM$3,0,0,'Données projet'!$E$10+1,1))-AVERAGE(OFFSET($H$3,0,0,'Données projet'!$E$10+1,1))</f>
        <v>626.09203985591455</v>
      </c>
      <c r="AO89" s="59">
        <f t="shared" si="90"/>
        <v>327.65191296575199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111.37550238249541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111.37550238249541</v>
      </c>
      <c r="AY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7.8</v>
      </c>
      <c r="BD89" s="12">
        <f>IF('Données projet'!$A$88&gt;35,BD88+BC89-BL88,IF(A89&lt;'Données projet'!$A$88,$BA$205^A89,IF(A89='Données projet'!$A$88,'Données projet'!$B$88,BD88+BC89-BL88)))</f>
        <v>345.79999999999978</v>
      </c>
      <c r="BE89" s="13">
        <f>BD89*VLOOKUP('Données projet'!$B$11,Paramètres!$A$1:$I$89,3,0)*VLOOKUP('Données projet'!$B$11,Paramètres!$A$1:$I$89,5,0)</f>
        <v>296.69639999999981</v>
      </c>
      <c r="BF89" s="13">
        <f t="shared" si="91"/>
        <v>70.48345633189993</v>
      </c>
      <c r="BG89" s="20">
        <f t="shared" si="61"/>
        <v>639.50491644472538</v>
      </c>
      <c r="BH89" s="59">
        <f t="shared" si="62"/>
        <v>912.48666451013014</v>
      </c>
      <c r="BI89" s="59">
        <f ca="1">AVERAGE(OFFSET($BH$3,0,0,'Données projet'!$E$11+1,1))-AVERAGE(OFFSET($H$3,0,0,'Données projet'!$E$11+1,1))</f>
        <v>481.23392184981651</v>
      </c>
      <c r="BJ89" s="59">
        <f t="shared" si="92"/>
        <v>275.88160405468193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96.630137789436915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96.630137789436915</v>
      </c>
      <c r="BT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13.233750000000001</v>
      </c>
      <c r="BY89" s="12">
        <f>IF('Données projet'!$A$114&gt;35,BY88+BX89-CG88,IF(A89&lt;'Données projet'!$A$114,$BV$205^A89,IF(A89='Données projet'!$A$114,'Données projet'!$B$114,BY88+BX89-CG88)))</f>
        <v>465.55124999999941</v>
      </c>
      <c r="BZ89" s="13">
        <f>BY89*VLOOKUP('Données projet'!$B$12,Paramètres!$A$1:$I$89,3,0)*VLOOKUP('Données projet'!$B$12,Paramètres!$A$1:$I$89,5,0)</f>
        <v>217.87798499999974</v>
      </c>
      <c r="CA89" s="13">
        <f t="shared" si="93"/>
        <v>53.653416401808421</v>
      </c>
      <c r="CB89" s="20">
        <f t="shared" si="64"/>
        <v>472.91719077481588</v>
      </c>
      <c r="CC89" s="59">
        <f t="shared" si="65"/>
        <v>745.89893884022058</v>
      </c>
      <c r="CD89" s="59">
        <f ca="1">AVERAGE(OFFSET($CC$3,0,0,'Données projet'!$E$12+1,1))-AVERAGE(OFFSET($H$3,0,0,'Données projet'!$E$12+1,1))</f>
        <v>331.86732359395467</v>
      </c>
      <c r="CE89" s="59">
        <f t="shared" si="94"/>
        <v>208.64489375183106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123.37326400875175</v>
      </c>
      <c r="CL89" s="21">
        <f>EXP(-LN(2)/25)*CL88+(1-EXP(-LN(2)/25))/(LN(2)/25)*Calculateur!CG89*Calculateur!CI89*VLOOKUP('Données projet'!$B$12,Paramètres!$A$1:$I$89,3,0)*0.475*44/12</f>
        <v>0</v>
      </c>
      <c r="CM89" s="21">
        <f>EXP(-LN(2)/2)*CM88+(1-EXP(-LN(2)/2))/(LN(2)/2)*CG89*CJ89*VLOOKUP('Données projet'!$B$12,Paramètres!$A$1:$I$89,3,0)*0.475*44/12</f>
        <v>0</v>
      </c>
      <c r="CN89" s="22">
        <f t="shared" si="66"/>
        <v>123.37326400875175</v>
      </c>
      <c r="CO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319</v>
      </c>
      <c r="CU89" s="17">
        <f>CT89*VLOOKUP('Données projet'!$B$13,Paramètres!$A$1:$I$89,3,0)*VLOOKUP('Données projet'!$B$13,Paramètres!$A$1:$I$89,5,0)</f>
        <v>233.89079999999998</v>
      </c>
      <c r="CV89" s="13">
        <f t="shared" si="95"/>
        <v>57.123140349023068</v>
      </c>
      <c r="CW89" s="20">
        <f t="shared" si="67"/>
        <v>506.84927944121517</v>
      </c>
      <c r="CX89" s="59">
        <f t="shared" si="68"/>
        <v>779.83102750661988</v>
      </c>
      <c r="CY89" s="59">
        <f ca="1">AVERAGE(OFFSET($CX$3,0,0,'Données projet'!$E$13+1,1))-AVERAGE(OFFSET($H$3,0,0,'Données projet'!$E$13+1,1))</f>
        <v>352.45777291109863</v>
      </c>
      <c r="CZ89" s="59">
        <f t="shared" si="96"/>
        <v>340.92165104349181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35.299405465936054</v>
      </c>
      <c r="DG89" s="21">
        <f>EXP(-LN(2)/25)*DG88+(1-EXP(-LN(2)/25))/(LN(2)/25)*Calculateur!DB89*Calculateur!DD89*VLOOKUP('Données projet'!$B$13,Paramètres!$A$1:$I$89,3,0)*0.475*44/12</f>
        <v>0</v>
      </c>
      <c r="DH89" s="21">
        <f>EXP(-LN(2)/2)*DH88+(1-EXP(-LN(2)/2))/(LN(2)/2)*DB89*DE89*VLOOKUP('Données projet'!$B$13,Paramètres!$A$1:$I$89,3,0)*0.475*44/12</f>
        <v>0</v>
      </c>
      <c r="DI89" s="22">
        <f t="shared" si="69"/>
        <v>35.299405465936054</v>
      </c>
      <c r="DJ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10.41</v>
      </c>
      <c r="DO89" s="12">
        <f>IF('Données projet'!$A$166&gt;35,DO88+DN89-DW88,IF(A89&lt;'Données projet'!$A$166,$DL$205^A89,IF(A89='Données projet'!$A$166,'Données projet'!$B$166,DO88+DN89-DW88)))</f>
        <v>398.6</v>
      </c>
      <c r="DP89" s="17">
        <f>DO89*VLOOKUP('Données projet'!$B$14,Paramètres!$A$1:$I$89,3,0)*VLOOKUP('Données projet'!$B$14,Paramètres!$A$1:$I$89,5,0)</f>
        <v>267.38087999999999</v>
      </c>
      <c r="DQ89" s="13">
        <f t="shared" si="97"/>
        <v>64.293110972833858</v>
      </c>
      <c r="DR89" s="20">
        <f t="shared" si="70"/>
        <v>577.66553427768554</v>
      </c>
      <c r="DS89" s="59">
        <f t="shared" si="71"/>
        <v>850.64728234309018</v>
      </c>
      <c r="DT89" s="59">
        <f ca="1">AVERAGE(OFFSET($DS$3,0,0,'Données projet'!$E$14+1,1))-AVERAGE(OFFSET($H$3,0,0,'Données projet'!$E$14+1,1))</f>
        <v>441.20130048888439</v>
      </c>
      <c r="DU89" s="59">
        <f t="shared" si="98"/>
        <v>237.47732532183946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90.813871173419329</v>
      </c>
      <c r="EB89" s="21">
        <f>EXP(-LN(2)/25)*EB88+(1-EXP(-LN(2)/25))/(LN(2)/25)*Calculateur!DW89*Calculateur!DY89*VLOOKUP('Données projet'!$B$14,Paramètres!$A$1:$I$89,3,0)*0.475*44/12</f>
        <v>0</v>
      </c>
      <c r="EC89" s="21">
        <f>EXP(-LN(2)/2)*EC88+(1-EXP(-LN(2)/2))/(LN(2)/2)*DW89*DZ89*VLOOKUP('Données projet'!$B$14,Paramètres!$A$1:$I$89,3,0)*0.475*44/12</f>
        <v>0</v>
      </c>
      <c r="ED89" s="22">
        <f t="shared" si="72"/>
        <v>90.813871173419329</v>
      </c>
      <c r="EE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319</v>
      </c>
      <c r="EK89" s="17">
        <f>EJ89*VLOOKUP('Données projet'!$B$15,Paramètres!$A$1:$I$89,3,0)*VLOOKUP('Données projet'!$B$15,Paramètres!$A$1:$I$89,5,0)</f>
        <v>253.79640000000001</v>
      </c>
      <c r="EL89" s="13">
        <f t="shared" si="99"/>
        <v>61.39816832228076</v>
      </c>
      <c r="EM89" s="20">
        <f t="shared" si="73"/>
        <v>548.96387316130563</v>
      </c>
      <c r="EN89" s="59">
        <f t="shared" si="74"/>
        <v>821.94562122671027</v>
      </c>
      <c r="EO89" s="59">
        <f ca="1">AVERAGE(OFFSET($EN$3,0,0,'Données projet'!$E$15+1,1))-AVERAGE(OFFSET($H$3,0,0,'Données projet'!$E$15+1,1))</f>
        <v>377.27600411578322</v>
      </c>
      <c r="EP89" s="59">
        <f t="shared" si="100"/>
        <v>364.58250627635425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>
        <f>EXP(-LN(2)/35)*EV88+(1-EXP(-LN(2)/35))/(LN(2)/35)*ER89*ES89*VLOOKUP('Données projet'!$B$15,Paramètres!$A$1:$I$89,3,0)*0.475*44/12</f>
        <v>47.211426508869458</v>
      </c>
      <c r="EW89" s="21">
        <f>EXP(-LN(2)/25)*EW88+(1-EXP(-LN(2)/25))/(LN(2)/25)*Calculateur!ER89*Calculateur!ET89*VLOOKUP('Données projet'!$B$15,Paramètres!$A$1:$I$89,3,0)*0.475*44/12</f>
        <v>0</v>
      </c>
      <c r="EX89" s="21">
        <f>EXP(-LN(2)/2)*EX88+(1-EXP(-LN(2)/2))/(LN(2)/2)*ER89*EU89*VLOOKUP('Données projet'!$B$15,Paramètres!$A$1:$I$89,3,0)*0.475*44/12</f>
        <v>0</v>
      </c>
      <c r="EY89" s="22">
        <f t="shared" si="75"/>
        <v>47.211426508869458</v>
      </c>
      <c r="EZ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319</v>
      </c>
      <c r="FF89" s="17">
        <f>FE89*VLOOKUP('Données projet'!$B$16,Paramètres!$A$1:$I$89,3,0)*VLOOKUP('Données projet'!$B$16,Paramètres!$A$1:$I$89,5,0)</f>
        <v>258.77280000000002</v>
      </c>
      <c r="FG89" s="13">
        <f t="shared" si="101"/>
        <v>62.460716522234691</v>
      </c>
      <c r="FH89" s="20">
        <f t="shared" si="76"/>
        <v>559.48170794289206</v>
      </c>
      <c r="FI89" s="59">
        <f t="shared" si="77"/>
        <v>832.46345600829682</v>
      </c>
      <c r="FJ89" s="59">
        <f ca="1">AVERAGE(OFFSET($FI$3,0,0,'Données projet'!$E$16+1,1))-AVERAGE(OFFSET($H$3,0,0,'Données projet'!$E$16+1,1))</f>
        <v>383.47399633251354</v>
      </c>
      <c r="FK89" s="59">
        <f t="shared" si="102"/>
        <v>370.49129421395628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>
        <f>EXP(-LN(2)/35)*FQ88+(1-EXP(-LN(2)/35))/(LN(2)/35)*FM89*FN89*VLOOKUP('Données projet'!$B$16,Paramètres!$A$1:$I$89,3,0)*0.475*44/12</f>
        <v>48.137140754141441</v>
      </c>
      <c r="FR89" s="21">
        <f>EXP(-LN(2)/25)*FR88+(1-EXP(-LN(2)/25))/(LN(2)/25)*Calculateur!FM89*Calculateur!FO89*VLOOKUP('Données projet'!$B$16,Paramètres!$A$1:$I$89,3,0)*0.475*44/12</f>
        <v>0</v>
      </c>
      <c r="FS89" s="21">
        <f>EXP(-LN(2)/2)*FS88+(1-EXP(-LN(2)/2))/(LN(2)/2)*FM89*FP89*VLOOKUP('Données projet'!$B$16,Paramètres!$A$1:$I$89,3,0)*0.475*44/12</f>
        <v>0</v>
      </c>
      <c r="FT89" s="22">
        <f t="shared" si="78"/>
        <v>48.137140754141441</v>
      </c>
      <c r="FU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10.41</v>
      </c>
      <c r="FZ89" s="12">
        <f>IF('Données projet'!$A$244&gt;35,FZ88+FY89-GH88,IF(A89&lt;'Données projet'!$A$244,$FW$205^A89,IF(A89='Données projet'!$A$244,'Données projet'!$B$244,FZ88+FY89-GH88)))</f>
        <v>398.6</v>
      </c>
      <c r="GA89" s="17">
        <f>FZ89*VLOOKUP('Données projet'!$B$17,Paramètres!$A$1:$I$89,3,0)*VLOOKUP('Données projet'!$B$17,Paramètres!$A$1:$I$89,5,0)</f>
        <v>379.30776000000003</v>
      </c>
      <c r="GB89" s="13">
        <f t="shared" si="103"/>
        <v>87.568751023409277</v>
      </c>
      <c r="GC89" s="20">
        <f t="shared" si="79"/>
        <v>813.14325669910443</v>
      </c>
      <c r="GD89" s="59">
        <f t="shared" si="80"/>
        <v>1086.1250047645092</v>
      </c>
      <c r="GE89" s="59">
        <f ca="1">AVERAGE(OFFSET($GD$3,0,0,'Données projet'!$E$17+1,1))-AVERAGE(OFFSET($H$3,0,0,'Données projet'!$E$17+1,1))</f>
        <v>592.58528889137358</v>
      </c>
      <c r="GF89" s="59">
        <f t="shared" si="104"/>
        <v>311.31528020403709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>
        <f>EXP(-LN(2)/35)*GL88+(1-EXP(-LN(2)/35))/(LN(2)/35)*GH89*GI89*VLOOKUP('Données projet'!$B$17,Paramètres!$A$1:$I$89,3,0)*0.475*44/12</f>
        <v>104.52162531280339</v>
      </c>
      <c r="GM89" s="21">
        <f>EXP(-LN(2)/25)*GM88+(1-EXP(-LN(2)/25))/(LN(2)/25)*Calculateur!GH89*Calculateur!GJ89*VLOOKUP('Données projet'!$B$17,Paramètres!$A$1:$I$89,3,0)*0.475*44/12</f>
        <v>0</v>
      </c>
      <c r="GN89" s="21">
        <f>EXP(-LN(2)/2)*GN88+(1-EXP(-LN(2)/2))/(LN(2)/2)*GH89*GK89*VLOOKUP('Données projet'!$B$17,Paramètres!$A$1:$I$89,3,0)*0.475*44/12</f>
        <v>0</v>
      </c>
      <c r="GO89" s="21">
        <f t="shared" si="81"/>
        <v>104.52162531280339</v>
      </c>
      <c r="GP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328.00000000000006</v>
      </c>
      <c r="GV89" s="17">
        <f>GU89*VLOOKUP('Données projet'!$B$18,Paramètres!$A$1:$I$89,3,0)*VLOOKUP('Données projet'!$B$18,Paramètres!$A$1:$I$89,5,0)</f>
        <v>255.84000000000006</v>
      </c>
      <c r="GW89" s="13">
        <f t="shared" si="105"/>
        <v>61.834803371075836</v>
      </c>
      <c r="GX89" s="20">
        <f t="shared" si="82"/>
        <v>553.28361587129041</v>
      </c>
      <c r="GY89" s="59">
        <f t="shared" si="83"/>
        <v>826.26536393669517</v>
      </c>
      <c r="GZ89" s="59">
        <f ca="1">AVERAGE(OFFSET($GY$3,0,0,'Données projet'!$E$18+1,1))-AVERAGE(OFFSET($H$3,0,0,'Données projet'!$E$18+1,1))</f>
        <v>308.85018589589453</v>
      </c>
      <c r="HA89" s="59">
        <f t="shared" si="106"/>
        <v>302.59481222418219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>
        <f>EXP(-LN(2)/35)*HG88+(1-EXP(-LN(2)/35))/(LN(2)/35)*HC89*HD89*VLOOKUP('Données projet'!$B$18,Paramètres!$A$1:$I$89,3,0)*0.475*44/12</f>
        <v>35.978685793839261</v>
      </c>
      <c r="HH89" s="21">
        <f>EXP(-LN(2)/25)*HH88+(1-EXP(-LN(2)/25))/(LN(2)/25)*Calculateur!HC89*Calculateur!HE89*VLOOKUP('Données projet'!$B$18,Paramètres!$A$1:$I$89,3,0)*0.475*44/12</f>
        <v>0</v>
      </c>
      <c r="HI89" s="21">
        <f>EXP(-LN(2)/2)*HI88+(1-EXP(-LN(2)/2))/(LN(2)/2)*HC89*HF89*VLOOKUP('Données projet'!$B$18,Paramètres!$A$1:$I$89,3,0)*0.475*44/12</f>
        <v>0</v>
      </c>
      <c r="HJ89" s="22">
        <f t="shared" si="84"/>
        <v>35.978685793839261</v>
      </c>
    </row>
    <row r="90" spans="1:218" x14ac:dyDescent="0.35">
      <c r="A90" s="10">
        <f t="shared" si="85"/>
        <v>87</v>
      </c>
      <c r="B90" s="72">
        <f>'Scénario référence'!$B$16*5+'Scénario référence'!$B$17*0+'Scénario référence'!$B$18*5</f>
        <v>5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66">
        <f t="shared" si="56"/>
        <v>183.33333333333334</v>
      </c>
      <c r="I90" s="6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10.41</v>
      </c>
      <c r="N90" s="13">
        <f>IF('Données projet'!$A$36&gt;35,N89+M90-V89,IF(A90&lt;'Données projet'!$A$36,$K$205^A90,IF(A90='Données projet'!$A$36,'Données projet'!$B$36,N89+M90-V89)))</f>
        <v>409.01000000000005</v>
      </c>
      <c r="O90" s="13">
        <f>N90*VLOOKUP('Données projet'!$B$9,Paramètres!$A$1:$I$89,3,0)*VLOOKUP('Données projet'!$B$9,Paramètres!$A$1:$I$89,5,0)</f>
        <v>370.07224800000006</v>
      </c>
      <c r="P90" s="13">
        <f t="shared" si="87"/>
        <v>85.682086233509125</v>
      </c>
      <c r="Q90" s="20">
        <f t="shared" si="54"/>
        <v>793.77213212336176</v>
      </c>
      <c r="R90" s="59">
        <f t="shared" si="55"/>
        <v>1067.1069346938366</v>
      </c>
      <c r="S90" s="59">
        <f ca="1">AVERAGE(OFFSET($R$3,0,0,'Données projet'!$E$9+1,1))-AVERAGE(OFFSET($H$3,0,0,'Données projet'!$E$9+1,1))</f>
        <v>567.42635821507474</v>
      </c>
      <c r="T90" s="59">
        <f t="shared" si="88"/>
        <v>299.04735309930152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97.432412451710064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97.432412451710064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10.41</v>
      </c>
      <c r="AI90" s="13">
        <f>IF('Données projet'!$A$62&gt;35,AI89+AH90-AQ89,IF(A90&lt;'Données projet'!$A$62,$AF$205^A90,IF(A90='Données projet'!$A$62,'Données projet'!$B$62,AI89+AH90-AQ89)))</f>
        <v>409.01000000000005</v>
      </c>
      <c r="AJ90" s="13">
        <f>AI90*VLOOKUP('Données projet'!$B$10,Paramètres!$A$1:$I$89,3,0)*VLOOKUP('Données projet'!$B$10,Paramètres!$A$1:$I$89,5,0)</f>
        <v>414.73614000000009</v>
      </c>
      <c r="AK90" s="13">
        <f t="shared" si="89"/>
        <v>94.757872021698574</v>
      </c>
      <c r="AL90" s="20">
        <f t="shared" si="58"/>
        <v>887.36873760445849</v>
      </c>
      <c r="AM90" s="59">
        <f t="shared" si="59"/>
        <v>1160.7035401749333</v>
      </c>
      <c r="AN90" s="59">
        <f ca="1">AVERAGE(OFFSET($AM$3,0,0,'Données projet'!$E$10+1,1))-AVERAGE(OFFSET($H$3,0,0,'Données projet'!$E$10+1,1))</f>
        <v>626.09203985591455</v>
      </c>
      <c r="AO90" s="59">
        <f t="shared" si="90"/>
        <v>327.65191296575199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109.19149671312337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109.19149671312337</v>
      </c>
      <c r="AY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7.8</v>
      </c>
      <c r="BD90" s="12">
        <f>IF('Données projet'!$A$88&gt;35,BD89+BC90-BL89,IF(A90&lt;'Données projet'!$A$88,$BA$205^A90,IF(A90='Données projet'!$A$88,'Données projet'!$B$88,BD89+BC90-BL89)))</f>
        <v>353.5999999999998</v>
      </c>
      <c r="BE90" s="13">
        <f>BD90*VLOOKUP('Données projet'!$B$11,Paramètres!$A$1:$I$89,3,0)*VLOOKUP('Données projet'!$B$11,Paramètres!$A$1:$I$89,5,0)</f>
        <v>303.38879999999989</v>
      </c>
      <c r="BF90" s="13">
        <f t="shared" si="91"/>
        <v>71.88642102141435</v>
      </c>
      <c r="BG90" s="20">
        <f t="shared" si="61"/>
        <v>653.60434327896314</v>
      </c>
      <c r="BH90" s="59">
        <f t="shared" si="62"/>
        <v>926.93914584943798</v>
      </c>
      <c r="BI90" s="59">
        <f ca="1">AVERAGE(OFFSET($BH$3,0,0,'Données projet'!$E$11+1,1))-AVERAGE(OFFSET($H$3,0,0,'Données projet'!$E$11+1,1))</f>
        <v>481.23392184981651</v>
      </c>
      <c r="BJ90" s="59">
        <f t="shared" si="92"/>
        <v>275.88160405468193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94.735279725950406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94.735279725950406</v>
      </c>
      <c r="BT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13.233750000000001</v>
      </c>
      <c r="BY90" s="12">
        <f>IF('Données projet'!$A$114&gt;35,BY89+BX90-CG89,IF(A90&lt;'Données projet'!$A$114,$BV$205^A90,IF(A90='Données projet'!$A$114,'Données projet'!$B$114,BY89+BX90-CG89)))</f>
        <v>478.7849999999994</v>
      </c>
      <c r="BZ90" s="13">
        <f>BY90*VLOOKUP('Données projet'!$B$12,Paramètres!$A$1:$I$89,3,0)*VLOOKUP('Données projet'!$B$12,Paramètres!$A$1:$I$89,5,0)</f>
        <v>224.07137999999972</v>
      </c>
      <c r="CA90" s="13">
        <f t="shared" si="93"/>
        <v>54.998833459119965</v>
      </c>
      <c r="CB90" s="20">
        <f t="shared" si="64"/>
        <v>486.04728844130017</v>
      </c>
      <c r="CC90" s="59">
        <f t="shared" si="65"/>
        <v>759.38209101177495</v>
      </c>
      <c r="CD90" s="59">
        <f ca="1">AVERAGE(OFFSET($CC$3,0,0,'Données projet'!$E$12+1,1))-AVERAGE(OFFSET($H$3,0,0,'Données projet'!$E$12+1,1))</f>
        <v>331.86732359395467</v>
      </c>
      <c r="CE90" s="59">
        <f t="shared" si="94"/>
        <v>208.64489375183106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120.95398955180083</v>
      </c>
      <c r="CL90" s="21">
        <f>EXP(-LN(2)/25)*CL89+(1-EXP(-LN(2)/25))/(LN(2)/25)*Calculateur!CG90*Calculateur!CI90*VLOOKUP('Données projet'!$B$12,Paramètres!$A$1:$I$89,3,0)*0.475*44/12</f>
        <v>0</v>
      </c>
      <c r="CM90" s="21">
        <f>EXP(-LN(2)/2)*CM89+(1-EXP(-LN(2)/2))/(LN(2)/2)*CG90*CJ90*VLOOKUP('Données projet'!$B$12,Paramètres!$A$1:$I$89,3,0)*0.475*44/12</f>
        <v>0</v>
      </c>
      <c r="CN90" s="22">
        <f t="shared" si="66"/>
        <v>120.95398955180083</v>
      </c>
      <c r="CO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319</v>
      </c>
      <c r="CU90" s="17">
        <f>CT90*VLOOKUP('Données projet'!$B$13,Paramètres!$A$1:$I$89,3,0)*VLOOKUP('Données projet'!$B$13,Paramètres!$A$1:$I$89,5,0)</f>
        <v>233.89079999999998</v>
      </c>
      <c r="CV90" s="13">
        <f t="shared" si="95"/>
        <v>57.123140349023068</v>
      </c>
      <c r="CW90" s="20">
        <f t="shared" si="67"/>
        <v>506.84927944121517</v>
      </c>
      <c r="CX90" s="59">
        <f t="shared" si="68"/>
        <v>780.18408201168995</v>
      </c>
      <c r="CY90" s="59">
        <f ca="1">AVERAGE(OFFSET($CX$3,0,0,'Données projet'!$E$13+1,1))-AVERAGE(OFFSET($H$3,0,0,'Données projet'!$E$13+1,1))</f>
        <v>352.45777291109863</v>
      </c>
      <c r="CZ90" s="59">
        <f t="shared" si="96"/>
        <v>340.92165104349181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34.607205655260422</v>
      </c>
      <c r="DG90" s="21">
        <f>EXP(-LN(2)/25)*DG89+(1-EXP(-LN(2)/25))/(LN(2)/25)*Calculateur!DB90*Calculateur!DD90*VLOOKUP('Données projet'!$B$13,Paramètres!$A$1:$I$89,3,0)*0.475*44/12</f>
        <v>0</v>
      </c>
      <c r="DH90" s="21">
        <f>EXP(-LN(2)/2)*DH89+(1-EXP(-LN(2)/2))/(LN(2)/2)*DB90*DE90*VLOOKUP('Données projet'!$B$13,Paramètres!$A$1:$I$89,3,0)*0.475*44/12</f>
        <v>0</v>
      </c>
      <c r="DI90" s="22">
        <f t="shared" si="69"/>
        <v>34.607205655260422</v>
      </c>
      <c r="DJ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10.41</v>
      </c>
      <c r="DO90" s="12">
        <f>IF('Données projet'!$A$166&gt;35,DO89+DN90-DW89,IF(A90&lt;'Données projet'!$A$166,$DL$205^A90,IF(A90='Données projet'!$A$166,'Données projet'!$B$166,DO89+DN90-DW89)))</f>
        <v>409.01000000000005</v>
      </c>
      <c r="DP90" s="17">
        <f>DO90*VLOOKUP('Données projet'!$B$14,Paramètres!$A$1:$I$89,3,0)*VLOOKUP('Données projet'!$B$14,Paramètres!$A$1:$I$89,5,0)</f>
        <v>274.36390800000004</v>
      </c>
      <c r="DQ90" s="13">
        <f t="shared" si="97"/>
        <v>65.774534719511138</v>
      </c>
      <c r="DR90" s="20">
        <f t="shared" si="70"/>
        <v>592.40778773648196</v>
      </c>
      <c r="DS90" s="59">
        <f t="shared" si="71"/>
        <v>865.7425903069568</v>
      </c>
      <c r="DT90" s="59">
        <f ca="1">AVERAGE(OFFSET($DS$3,0,0,'Données projet'!$E$14+1,1))-AVERAGE(OFFSET($H$3,0,0,'Données projet'!$E$14+1,1))</f>
        <v>441.20130048888439</v>
      </c>
      <c r="DU90" s="59">
        <f t="shared" si="98"/>
        <v>237.47732532183946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89.033066550700582</v>
      </c>
      <c r="EB90" s="21">
        <f>EXP(-LN(2)/25)*EB89+(1-EXP(-LN(2)/25))/(LN(2)/25)*Calculateur!DW90*Calculateur!DY90*VLOOKUP('Données projet'!$B$14,Paramètres!$A$1:$I$89,3,0)*0.475*44/12</f>
        <v>0</v>
      </c>
      <c r="EC90" s="21">
        <f>EXP(-LN(2)/2)*EC89+(1-EXP(-LN(2)/2))/(LN(2)/2)*DW90*DZ90*VLOOKUP('Données projet'!$B$14,Paramètres!$A$1:$I$89,3,0)*0.475*44/12</f>
        <v>0</v>
      </c>
      <c r="ED90" s="22">
        <f t="shared" si="72"/>
        <v>89.033066550700582</v>
      </c>
      <c r="EE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319</v>
      </c>
      <c r="EK90" s="17">
        <f>EJ90*VLOOKUP('Données projet'!$B$15,Paramètres!$A$1:$I$89,3,0)*VLOOKUP('Données projet'!$B$15,Paramètres!$A$1:$I$89,5,0)</f>
        <v>253.79640000000001</v>
      </c>
      <c r="EL90" s="13">
        <f t="shared" si="99"/>
        <v>61.39816832228076</v>
      </c>
      <c r="EM90" s="20">
        <f t="shared" si="73"/>
        <v>548.96387316130563</v>
      </c>
      <c r="EN90" s="59">
        <f t="shared" si="74"/>
        <v>822.29867573178046</v>
      </c>
      <c r="EO90" s="59">
        <f ca="1">AVERAGE(OFFSET($EN$3,0,0,'Données projet'!$E$15+1,1))-AVERAGE(OFFSET($H$3,0,0,'Données projet'!$E$15+1,1))</f>
        <v>377.27600411578322</v>
      </c>
      <c r="EP90" s="59">
        <f t="shared" si="100"/>
        <v>364.58250627635425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>
        <f>EXP(-LN(2)/35)*EV89+(1-EXP(-LN(2)/35))/(LN(2)/35)*ER90*ES90*VLOOKUP('Données projet'!$B$15,Paramètres!$A$1:$I$89,3,0)*0.475*44/12</f>
        <v>46.285639231157319</v>
      </c>
      <c r="EW90" s="21">
        <f>EXP(-LN(2)/25)*EW89+(1-EXP(-LN(2)/25))/(LN(2)/25)*Calculateur!ER90*Calculateur!ET90*VLOOKUP('Données projet'!$B$15,Paramètres!$A$1:$I$89,3,0)*0.475*44/12</f>
        <v>0</v>
      </c>
      <c r="EX90" s="21">
        <f>EXP(-LN(2)/2)*EX89+(1-EXP(-LN(2)/2))/(LN(2)/2)*ER90*EU90*VLOOKUP('Données projet'!$B$15,Paramètres!$A$1:$I$89,3,0)*0.475*44/12</f>
        <v>0</v>
      </c>
      <c r="EY90" s="22">
        <f t="shared" si="75"/>
        <v>46.285639231157319</v>
      </c>
      <c r="EZ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319</v>
      </c>
      <c r="FF90" s="17">
        <f>FE90*VLOOKUP('Données projet'!$B$16,Paramètres!$A$1:$I$89,3,0)*VLOOKUP('Données projet'!$B$16,Paramètres!$A$1:$I$89,5,0)</f>
        <v>258.77280000000002</v>
      </c>
      <c r="FG90" s="13">
        <f t="shared" si="101"/>
        <v>62.460716522234691</v>
      </c>
      <c r="FH90" s="20">
        <f t="shared" si="76"/>
        <v>559.48170794289206</v>
      </c>
      <c r="FI90" s="59">
        <f t="shared" si="77"/>
        <v>832.81651051336689</v>
      </c>
      <c r="FJ90" s="59">
        <f ca="1">AVERAGE(OFFSET($FI$3,0,0,'Données projet'!$E$16+1,1))-AVERAGE(OFFSET($H$3,0,0,'Données projet'!$E$16+1,1))</f>
        <v>383.47399633251354</v>
      </c>
      <c r="FK90" s="59">
        <f t="shared" si="102"/>
        <v>370.49129421395628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>
        <f>EXP(-LN(2)/35)*FQ89+(1-EXP(-LN(2)/35))/(LN(2)/35)*FM90*FN90*VLOOKUP('Données projet'!$B$16,Paramètres!$A$1:$I$89,3,0)*0.475*44/12</f>
        <v>47.193200784709454</v>
      </c>
      <c r="FR90" s="21">
        <f>EXP(-LN(2)/25)*FR89+(1-EXP(-LN(2)/25))/(LN(2)/25)*Calculateur!FM90*Calculateur!FO90*VLOOKUP('Données projet'!$B$16,Paramètres!$A$1:$I$89,3,0)*0.475*44/12</f>
        <v>0</v>
      </c>
      <c r="FS90" s="21">
        <f>EXP(-LN(2)/2)*FS89+(1-EXP(-LN(2)/2))/(LN(2)/2)*FM90*FP90*VLOOKUP('Données projet'!$B$16,Paramètres!$A$1:$I$89,3,0)*0.475*44/12</f>
        <v>0</v>
      </c>
      <c r="FT90" s="22">
        <f t="shared" si="78"/>
        <v>47.193200784709454</v>
      </c>
      <c r="FU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10.41</v>
      </c>
      <c r="FZ90" s="12">
        <f>IF('Données projet'!$A$244&gt;35,FZ89+FY90-GH89,IF(A90&lt;'Données projet'!$A$244,$FW$205^A90,IF(A90='Données projet'!$A$244,'Données projet'!$B$244,FZ89+FY90-GH89)))</f>
        <v>409.01000000000005</v>
      </c>
      <c r="GA90" s="17">
        <f>FZ90*VLOOKUP('Données projet'!$B$17,Paramètres!$A$1:$I$89,3,0)*VLOOKUP('Données projet'!$B$17,Paramètres!$A$1:$I$89,5,0)</f>
        <v>389.21391600000004</v>
      </c>
      <c r="GB90" s="13">
        <f t="shared" si="103"/>
        <v>89.586485509577855</v>
      </c>
      <c r="GC90" s="20">
        <f t="shared" si="79"/>
        <v>833.91069929584819</v>
      </c>
      <c r="GD90" s="59">
        <f t="shared" si="80"/>
        <v>1107.2455018663231</v>
      </c>
      <c r="GE90" s="59">
        <f ca="1">AVERAGE(OFFSET($GD$3,0,0,'Données projet'!$E$17+1,1))-AVERAGE(OFFSET($H$3,0,0,'Données projet'!$E$17+1,1))</f>
        <v>592.58528889137358</v>
      </c>
      <c r="GF90" s="59">
        <f t="shared" si="104"/>
        <v>311.31528020403709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>
        <f>EXP(-LN(2)/35)*GL89+(1-EXP(-LN(2)/35))/(LN(2)/35)*GH90*GI90*VLOOKUP('Données projet'!$B$17,Paramètres!$A$1:$I$89,3,0)*0.475*44/12</f>
        <v>102.47201999231578</v>
      </c>
      <c r="GM90" s="21">
        <f>EXP(-LN(2)/25)*GM89+(1-EXP(-LN(2)/25))/(LN(2)/25)*Calculateur!GH90*Calculateur!GJ90*VLOOKUP('Données projet'!$B$17,Paramètres!$A$1:$I$89,3,0)*0.475*44/12</f>
        <v>0</v>
      </c>
      <c r="GN90" s="21">
        <f>EXP(-LN(2)/2)*GN89+(1-EXP(-LN(2)/2))/(LN(2)/2)*GH90*GK90*VLOOKUP('Données projet'!$B$17,Paramètres!$A$1:$I$89,3,0)*0.475*44/12</f>
        <v>0</v>
      </c>
      <c r="GO90" s="21">
        <f t="shared" si="81"/>
        <v>102.47201999231578</v>
      </c>
      <c r="GP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328.00000000000006</v>
      </c>
      <c r="GV90" s="17">
        <f>GU90*VLOOKUP('Données projet'!$B$18,Paramètres!$A$1:$I$89,3,0)*VLOOKUP('Données projet'!$B$18,Paramètres!$A$1:$I$89,5,0)</f>
        <v>255.84000000000006</v>
      </c>
      <c r="GW90" s="13">
        <f t="shared" si="105"/>
        <v>61.834803371075836</v>
      </c>
      <c r="GX90" s="20">
        <f t="shared" si="82"/>
        <v>553.28361587129041</v>
      </c>
      <c r="GY90" s="59">
        <f t="shared" si="83"/>
        <v>826.61841844176524</v>
      </c>
      <c r="GZ90" s="59">
        <f ca="1">AVERAGE(OFFSET($GY$3,0,0,'Données projet'!$E$18+1,1))-AVERAGE(OFFSET($H$3,0,0,'Données projet'!$E$18+1,1))</f>
        <v>308.85018589589453</v>
      </c>
      <c r="HA90" s="59">
        <f t="shared" si="106"/>
        <v>302.59481222418219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>
        <f>EXP(-LN(2)/35)*HG89+(1-EXP(-LN(2)/35))/(LN(2)/35)*HC90*HD90*VLOOKUP('Données projet'!$B$18,Paramètres!$A$1:$I$89,3,0)*0.475*44/12</f>
        <v>35.273165710253537</v>
      </c>
      <c r="HH90" s="21">
        <f>EXP(-LN(2)/25)*HH89+(1-EXP(-LN(2)/25))/(LN(2)/25)*Calculateur!HC90*Calculateur!HE90*VLOOKUP('Données projet'!$B$18,Paramètres!$A$1:$I$89,3,0)*0.475*44/12</f>
        <v>0</v>
      </c>
      <c r="HI90" s="21">
        <f>EXP(-LN(2)/2)*HI89+(1-EXP(-LN(2)/2))/(LN(2)/2)*HC90*HF90*VLOOKUP('Données projet'!$B$18,Paramètres!$A$1:$I$89,3,0)*0.475*44/12</f>
        <v>0</v>
      </c>
      <c r="HJ90" s="22">
        <f t="shared" si="84"/>
        <v>35.273165710253537</v>
      </c>
    </row>
    <row r="91" spans="1:218" x14ac:dyDescent="0.35">
      <c r="A91" s="10">
        <f t="shared" si="85"/>
        <v>88</v>
      </c>
      <c r="B91" s="72">
        <f>'Scénario référence'!$B$16*5+'Scénario référence'!$B$17*0+'Scénario référence'!$B$18*5</f>
        <v>5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66">
        <f t="shared" si="56"/>
        <v>183.33333333333334</v>
      </c>
      <c r="I91" s="6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10.41</v>
      </c>
      <c r="N91" s="13">
        <f>IF('Données projet'!$A$36&gt;35,N90+M91-V90,IF(A91&lt;'Données projet'!$A$36,$K$205^A91,IF(A91='Données projet'!$A$36,'Données projet'!$B$36,N90+M91-V90)))</f>
        <v>419.42000000000007</v>
      </c>
      <c r="O91" s="13">
        <f>N91*VLOOKUP('Données projet'!$B$9,Paramètres!$A$1:$I$89,3,0)*VLOOKUP('Données projet'!$B$9,Paramètres!$A$1:$I$89,5,0)</f>
        <v>379.49121600000007</v>
      </c>
      <c r="P91" s="13">
        <f t="shared" si="87"/>
        <v>87.606173526430666</v>
      </c>
      <c r="Q91" s="20">
        <f t="shared" si="54"/>
        <v>813.52795342520028</v>
      </c>
      <c r="R91" s="59">
        <f t="shared" si="55"/>
        <v>1087.2096857943939</v>
      </c>
      <c r="S91" s="59">
        <f ca="1">AVERAGE(OFFSET($R$3,0,0,'Données projet'!$E$9+1,1))-AVERAGE(OFFSET($H$3,0,0,'Données projet'!$E$9+1,1))</f>
        <v>567.42635821507474</v>
      </c>
      <c r="T91" s="59">
        <f t="shared" si="88"/>
        <v>299.04735309930152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95.52182227143561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95.52182227143561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10.41</v>
      </c>
      <c r="AI91" s="13">
        <f>IF('Données projet'!$A$62&gt;35,AI90+AH91-AQ90,IF(A91&lt;'Données projet'!$A$62,$AF$205^A91,IF(A91='Données projet'!$A$62,'Données projet'!$B$62,AI90+AH91-AQ90)))</f>
        <v>419.42000000000007</v>
      </c>
      <c r="AJ91" s="13">
        <f>AI91*VLOOKUP('Données projet'!$B$10,Paramètres!$A$1:$I$89,3,0)*VLOOKUP('Données projet'!$B$10,Paramètres!$A$1:$I$89,5,0)</f>
        <v>425.29188000000011</v>
      </c>
      <c r="AK91" s="13">
        <f t="shared" si="89"/>
        <v>96.885766258124534</v>
      </c>
      <c r="AL91" s="20">
        <f t="shared" si="58"/>
        <v>909.45940056623385</v>
      </c>
      <c r="AM91" s="59">
        <f t="shared" si="59"/>
        <v>1183.1411329354275</v>
      </c>
      <c r="AN91" s="59">
        <f ca="1">AVERAGE(OFFSET($AM$3,0,0,'Données projet'!$E$10+1,1))-AVERAGE(OFFSET($H$3,0,0,'Données projet'!$E$10+1,1))</f>
        <v>626.09203985591455</v>
      </c>
      <c r="AO91" s="59">
        <f t="shared" si="90"/>
        <v>327.65191296575199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107.05031806281579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107.05031806281579</v>
      </c>
      <c r="AY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7.8</v>
      </c>
      <c r="BD91" s="12">
        <f>IF('Données projet'!$A$88&gt;35,BD90+BC91-BL90,IF(A91&lt;'Données projet'!$A$88,$BA$205^A91,IF(A91='Données projet'!$A$88,'Données projet'!$B$88,BD90+BC91-BL90)))</f>
        <v>361.39999999999981</v>
      </c>
      <c r="BE91" s="13">
        <f>BD91*VLOOKUP('Données projet'!$B$11,Paramètres!$A$1:$I$89,3,0)*VLOOKUP('Données projet'!$B$11,Paramètres!$A$1:$I$89,5,0)</f>
        <v>310.08119999999985</v>
      </c>
      <c r="BF91" s="13">
        <f t="shared" si="91"/>
        <v>73.285787705139427</v>
      </c>
      <c r="BG91" s="20">
        <f t="shared" si="61"/>
        <v>667.69750358645092</v>
      </c>
      <c r="BH91" s="59">
        <f t="shared" si="62"/>
        <v>941.37923595564462</v>
      </c>
      <c r="BI91" s="59">
        <f ca="1">AVERAGE(OFFSET($BH$3,0,0,'Données projet'!$E$11+1,1))-AVERAGE(OFFSET($H$3,0,0,'Données projet'!$E$11+1,1))</f>
        <v>481.23392184981651</v>
      </c>
      <c r="BJ91" s="59">
        <f t="shared" si="92"/>
        <v>275.88160405468193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92.877578673339571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92.877578673339571</v>
      </c>
      <c r="BT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13.233750000000001</v>
      </c>
      <c r="BY91" s="12">
        <f>IF('Données projet'!$A$114&gt;35,BY90+BX91-CG90,IF(A91&lt;'Données projet'!$A$114,$BV$205^A91,IF(A91='Données projet'!$A$114,'Données projet'!$B$114,BY90+BX91-CG90)))</f>
        <v>492.01874999999939</v>
      </c>
      <c r="BZ91" s="13">
        <f>BY91*VLOOKUP('Données projet'!$B$12,Paramètres!$A$1:$I$89,3,0)*VLOOKUP('Données projet'!$B$12,Paramètres!$A$1:$I$89,5,0)</f>
        <v>230.2647749999997</v>
      </c>
      <c r="CA91" s="13">
        <f t="shared" si="93"/>
        <v>56.33992824246085</v>
      </c>
      <c r="CB91" s="20">
        <f t="shared" si="64"/>
        <v>499.16985814728554</v>
      </c>
      <c r="CC91" s="59">
        <f t="shared" si="65"/>
        <v>772.85159051647929</v>
      </c>
      <c r="CD91" s="59">
        <f ca="1">AVERAGE(OFFSET($CC$3,0,0,'Données projet'!$E$12+1,1))-AVERAGE(OFFSET($H$3,0,0,'Données projet'!$E$12+1,1))</f>
        <v>331.86732359395467</v>
      </c>
      <c r="CE91" s="59">
        <f t="shared" si="94"/>
        <v>208.64489375183106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118.582155591339</v>
      </c>
      <c r="CL91" s="21">
        <f>EXP(-LN(2)/25)*CL90+(1-EXP(-LN(2)/25))/(LN(2)/25)*Calculateur!CG91*Calculateur!CI91*VLOOKUP('Données projet'!$B$12,Paramètres!$A$1:$I$89,3,0)*0.475*44/12</f>
        <v>0</v>
      </c>
      <c r="CM91" s="21">
        <f>EXP(-LN(2)/2)*CM90+(1-EXP(-LN(2)/2))/(LN(2)/2)*CG91*CJ91*VLOOKUP('Données projet'!$B$12,Paramètres!$A$1:$I$89,3,0)*0.475*44/12</f>
        <v>0</v>
      </c>
      <c r="CN91" s="22">
        <f t="shared" si="66"/>
        <v>118.582155591339</v>
      </c>
      <c r="CO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319</v>
      </c>
      <c r="CU91" s="17">
        <f>CT91*VLOOKUP('Données projet'!$B$13,Paramètres!$A$1:$I$89,3,0)*VLOOKUP('Données projet'!$B$13,Paramètres!$A$1:$I$89,5,0)</f>
        <v>233.89079999999998</v>
      </c>
      <c r="CV91" s="13">
        <f t="shared" si="95"/>
        <v>57.123140349023068</v>
      </c>
      <c r="CW91" s="20">
        <f t="shared" si="67"/>
        <v>506.84927944121517</v>
      </c>
      <c r="CX91" s="59">
        <f t="shared" si="68"/>
        <v>780.53101181040893</v>
      </c>
      <c r="CY91" s="59">
        <f ca="1">AVERAGE(OFFSET($CX$3,0,0,'Données projet'!$E$13+1,1))-AVERAGE(OFFSET($H$3,0,0,'Données projet'!$E$13+1,1))</f>
        <v>352.45777291109863</v>
      </c>
      <c r="CZ91" s="59">
        <f t="shared" si="96"/>
        <v>340.92165104349181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33.928579460671941</v>
      </c>
      <c r="DG91" s="21">
        <f>EXP(-LN(2)/25)*DG90+(1-EXP(-LN(2)/25))/(LN(2)/25)*Calculateur!DB91*Calculateur!DD91*VLOOKUP('Données projet'!$B$13,Paramètres!$A$1:$I$89,3,0)*0.475*44/12</f>
        <v>0</v>
      </c>
      <c r="DH91" s="21">
        <f>EXP(-LN(2)/2)*DH90+(1-EXP(-LN(2)/2))/(LN(2)/2)*DB91*DE91*VLOOKUP('Données projet'!$B$13,Paramètres!$A$1:$I$89,3,0)*0.475*44/12</f>
        <v>0</v>
      </c>
      <c r="DI91" s="22">
        <f t="shared" si="69"/>
        <v>33.928579460671941</v>
      </c>
      <c r="DJ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10.41</v>
      </c>
      <c r="DO91" s="12">
        <f>IF('Données projet'!$A$166&gt;35,DO90+DN91-DW90,IF(A91&lt;'Données projet'!$A$166,$DL$205^A91,IF(A91='Données projet'!$A$166,'Données projet'!$B$166,DO90+DN91-DW90)))</f>
        <v>419.42000000000007</v>
      </c>
      <c r="DP91" s="17">
        <f>DO91*VLOOKUP('Données projet'!$B$14,Paramètres!$A$1:$I$89,3,0)*VLOOKUP('Données projet'!$B$14,Paramètres!$A$1:$I$89,5,0)</f>
        <v>281.34693600000008</v>
      </c>
      <c r="DQ91" s="13">
        <f t="shared" si="97"/>
        <v>67.251575627534038</v>
      </c>
      <c r="DR91" s="20">
        <f t="shared" si="70"/>
        <v>607.14240775128849</v>
      </c>
      <c r="DS91" s="59">
        <f t="shared" si="71"/>
        <v>880.82414012048218</v>
      </c>
      <c r="DT91" s="59">
        <f ca="1">AVERAGE(OFFSET($DS$3,0,0,'Données projet'!$E$14+1,1))-AVERAGE(OFFSET($H$3,0,0,'Données projet'!$E$14+1,1))</f>
        <v>441.20130048888439</v>
      </c>
      <c r="DU91" s="59">
        <f t="shared" si="98"/>
        <v>237.47732532183946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87.287182420449781</v>
      </c>
      <c r="EB91" s="21">
        <f>EXP(-LN(2)/25)*EB90+(1-EXP(-LN(2)/25))/(LN(2)/25)*Calculateur!DW91*Calculateur!DY91*VLOOKUP('Données projet'!$B$14,Paramètres!$A$1:$I$89,3,0)*0.475*44/12</f>
        <v>0</v>
      </c>
      <c r="EC91" s="21">
        <f>EXP(-LN(2)/2)*EC90+(1-EXP(-LN(2)/2))/(LN(2)/2)*DW91*DZ91*VLOOKUP('Données projet'!$B$14,Paramètres!$A$1:$I$89,3,0)*0.475*44/12</f>
        <v>0</v>
      </c>
      <c r="ED91" s="22">
        <f t="shared" si="72"/>
        <v>87.287182420449781</v>
      </c>
      <c r="EE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319</v>
      </c>
      <c r="EK91" s="17">
        <f>EJ91*VLOOKUP('Données projet'!$B$15,Paramètres!$A$1:$I$89,3,0)*VLOOKUP('Données projet'!$B$15,Paramètres!$A$1:$I$89,5,0)</f>
        <v>253.79640000000001</v>
      </c>
      <c r="EL91" s="13">
        <f t="shared" si="99"/>
        <v>61.39816832228076</v>
      </c>
      <c r="EM91" s="20">
        <f t="shared" si="73"/>
        <v>548.96387316130563</v>
      </c>
      <c r="EN91" s="59">
        <f t="shared" si="74"/>
        <v>822.64560553049932</v>
      </c>
      <c r="EO91" s="59">
        <f ca="1">AVERAGE(OFFSET($EN$3,0,0,'Données projet'!$E$15+1,1))-AVERAGE(OFFSET($H$3,0,0,'Données projet'!$E$15+1,1))</f>
        <v>377.27600411578322</v>
      </c>
      <c r="EP91" s="59">
        <f t="shared" si="100"/>
        <v>364.58250627635425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>
        <f>EXP(-LN(2)/35)*EV90+(1-EXP(-LN(2)/35))/(LN(2)/35)*ER91*ES91*VLOOKUP('Données projet'!$B$15,Paramètres!$A$1:$I$89,3,0)*0.475*44/12</f>
        <v>45.378006077286628</v>
      </c>
      <c r="EW91" s="21">
        <f>EXP(-LN(2)/25)*EW90+(1-EXP(-LN(2)/25))/(LN(2)/25)*Calculateur!ER91*Calculateur!ET91*VLOOKUP('Données projet'!$B$15,Paramètres!$A$1:$I$89,3,0)*0.475*44/12</f>
        <v>0</v>
      </c>
      <c r="EX91" s="21">
        <f>EXP(-LN(2)/2)*EX90+(1-EXP(-LN(2)/2))/(LN(2)/2)*ER91*EU91*VLOOKUP('Données projet'!$B$15,Paramètres!$A$1:$I$89,3,0)*0.475*44/12</f>
        <v>0</v>
      </c>
      <c r="EY91" s="22">
        <f t="shared" si="75"/>
        <v>45.378006077286628</v>
      </c>
      <c r="EZ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319</v>
      </c>
      <c r="FF91" s="17">
        <f>FE91*VLOOKUP('Données projet'!$B$16,Paramètres!$A$1:$I$89,3,0)*VLOOKUP('Données projet'!$B$16,Paramètres!$A$1:$I$89,5,0)</f>
        <v>258.77280000000002</v>
      </c>
      <c r="FG91" s="13">
        <f t="shared" si="101"/>
        <v>62.460716522234691</v>
      </c>
      <c r="FH91" s="20">
        <f t="shared" si="76"/>
        <v>559.48170794289206</v>
      </c>
      <c r="FI91" s="59">
        <f t="shared" si="77"/>
        <v>833.16344031208575</v>
      </c>
      <c r="FJ91" s="59">
        <f ca="1">AVERAGE(OFFSET($FI$3,0,0,'Données projet'!$E$16+1,1))-AVERAGE(OFFSET($H$3,0,0,'Données projet'!$E$16+1,1))</f>
        <v>383.47399633251354</v>
      </c>
      <c r="FK91" s="59">
        <f t="shared" si="102"/>
        <v>370.49129421395628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>
        <f>EXP(-LN(2)/35)*FQ90+(1-EXP(-LN(2)/35))/(LN(2)/35)*FM91*FN91*VLOOKUP('Données projet'!$B$16,Paramètres!$A$1:$I$89,3,0)*0.475*44/12</f>
        <v>46.267770902331499</v>
      </c>
      <c r="FR91" s="21">
        <f>EXP(-LN(2)/25)*FR90+(1-EXP(-LN(2)/25))/(LN(2)/25)*Calculateur!FM91*Calculateur!FO91*VLOOKUP('Données projet'!$B$16,Paramètres!$A$1:$I$89,3,0)*0.475*44/12</f>
        <v>0</v>
      </c>
      <c r="FS91" s="21">
        <f>EXP(-LN(2)/2)*FS90+(1-EXP(-LN(2)/2))/(LN(2)/2)*FM91*FP91*VLOOKUP('Données projet'!$B$16,Paramètres!$A$1:$I$89,3,0)*0.475*44/12</f>
        <v>0</v>
      </c>
      <c r="FT91" s="22">
        <f t="shared" si="78"/>
        <v>46.267770902331499</v>
      </c>
      <c r="FU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10.41</v>
      </c>
      <c r="FZ91" s="12">
        <f>IF('Données projet'!$A$244&gt;35,FZ90+FY91-GH90,IF(A91&lt;'Données projet'!$A$244,$FW$205^A91,IF(A91='Données projet'!$A$244,'Données projet'!$B$244,FZ90+FY91-GH90)))</f>
        <v>419.42000000000007</v>
      </c>
      <c r="GA91" s="17">
        <f>FZ91*VLOOKUP('Données projet'!$B$17,Paramètres!$A$1:$I$89,3,0)*VLOOKUP('Données projet'!$B$17,Paramètres!$A$1:$I$89,5,0)</f>
        <v>399.12007200000005</v>
      </c>
      <c r="GB91" s="13">
        <f t="shared" si="103"/>
        <v>91.598250464935191</v>
      </c>
      <c r="GC91" s="20">
        <f t="shared" si="79"/>
        <v>854.66774495976222</v>
      </c>
      <c r="GD91" s="59">
        <f t="shared" si="80"/>
        <v>1128.3494773289558</v>
      </c>
      <c r="GE91" s="59">
        <f ca="1">AVERAGE(OFFSET($GD$3,0,0,'Données projet'!$E$17+1,1))-AVERAGE(OFFSET($H$3,0,0,'Données projet'!$E$17+1,1))</f>
        <v>592.58528889137358</v>
      </c>
      <c r="GF91" s="59">
        <f t="shared" si="104"/>
        <v>311.31528020403709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>
        <f>EXP(-LN(2)/35)*GL90+(1-EXP(-LN(2)/35))/(LN(2)/35)*GH91*GI91*VLOOKUP('Données projet'!$B$17,Paramètres!$A$1:$I$89,3,0)*0.475*44/12</f>
        <v>100.46260618202713</v>
      </c>
      <c r="GM91" s="21">
        <f>EXP(-LN(2)/25)*GM90+(1-EXP(-LN(2)/25))/(LN(2)/25)*Calculateur!GH91*Calculateur!GJ91*VLOOKUP('Données projet'!$B$17,Paramètres!$A$1:$I$89,3,0)*0.475*44/12</f>
        <v>0</v>
      </c>
      <c r="GN91" s="21">
        <f>EXP(-LN(2)/2)*GN90+(1-EXP(-LN(2)/2))/(LN(2)/2)*GH91*GK91*VLOOKUP('Données projet'!$B$17,Paramètres!$A$1:$I$89,3,0)*0.475*44/12</f>
        <v>0</v>
      </c>
      <c r="GO91" s="21">
        <f t="shared" si="81"/>
        <v>100.46260618202713</v>
      </c>
      <c r="GP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328.00000000000006</v>
      </c>
      <c r="GV91" s="17">
        <f>GU91*VLOOKUP('Données projet'!$B$18,Paramètres!$A$1:$I$89,3,0)*VLOOKUP('Données projet'!$B$18,Paramètres!$A$1:$I$89,5,0)</f>
        <v>255.84000000000006</v>
      </c>
      <c r="GW91" s="13">
        <f t="shared" si="105"/>
        <v>61.834803371075836</v>
      </c>
      <c r="GX91" s="20">
        <f t="shared" si="82"/>
        <v>553.28361587129041</v>
      </c>
      <c r="GY91" s="59">
        <f t="shared" si="83"/>
        <v>826.9653482404841</v>
      </c>
      <c r="GZ91" s="59">
        <f ca="1">AVERAGE(OFFSET($GY$3,0,0,'Données projet'!$E$18+1,1))-AVERAGE(OFFSET($H$3,0,0,'Données projet'!$E$18+1,1))</f>
        <v>308.85018589589453</v>
      </c>
      <c r="HA91" s="59">
        <f t="shared" si="106"/>
        <v>302.59481222418219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>
        <f>EXP(-LN(2)/35)*HG90+(1-EXP(-LN(2)/35))/(LN(2)/35)*HC91*HD91*VLOOKUP('Données projet'!$B$18,Paramètres!$A$1:$I$89,3,0)*0.475*44/12</f>
        <v>34.581480445182166</v>
      </c>
      <c r="HH91" s="21">
        <f>EXP(-LN(2)/25)*HH90+(1-EXP(-LN(2)/25))/(LN(2)/25)*Calculateur!HC91*Calculateur!HE91*VLOOKUP('Données projet'!$B$18,Paramètres!$A$1:$I$89,3,0)*0.475*44/12</f>
        <v>0</v>
      </c>
      <c r="HI91" s="21">
        <f>EXP(-LN(2)/2)*HI90+(1-EXP(-LN(2)/2))/(LN(2)/2)*HC91*HF91*VLOOKUP('Données projet'!$B$18,Paramètres!$A$1:$I$89,3,0)*0.475*44/12</f>
        <v>0</v>
      </c>
      <c r="HJ91" s="22">
        <f t="shared" si="84"/>
        <v>34.581480445182166</v>
      </c>
    </row>
    <row r="92" spans="1:218" x14ac:dyDescent="0.35">
      <c r="A92" s="10">
        <f t="shared" si="85"/>
        <v>89</v>
      </c>
      <c r="B92" s="72">
        <f>'Scénario référence'!$B$16*5+'Scénario référence'!$B$17*0+'Scénario référence'!$B$18*5</f>
        <v>5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66">
        <f t="shared" si="56"/>
        <v>183.33333333333334</v>
      </c>
      <c r="I92" s="6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>
        <f>VLOOKUP(A92,'Données projet'!$A$35:$I$55,2,0)</f>
        <v>429.83</v>
      </c>
      <c r="L92" s="12">
        <f>VLOOKUP(A92,'Données projet'!$A$35:$I$55,9,0)</f>
        <v>10.41</v>
      </c>
      <c r="M92" s="12">
        <f t="array" ref="M92">INDEX(L:L,MIN(IF(ISNUMBER(L92:L288),ROW(L92:L288),"")))</f>
        <v>10.41</v>
      </c>
      <c r="N92" s="13">
        <f>IF('Données projet'!$A$36&gt;35,N91+M92-V91,IF(A92&lt;'Données projet'!$A$36,$K$205^A92,IF(A92='Données projet'!$A$36,'Données projet'!$B$36,N91+M92-V91)))</f>
        <v>429.8300000000001</v>
      </c>
      <c r="O92" s="13">
        <f>N92*VLOOKUP('Données projet'!$B$9,Paramètres!$A$1:$I$89,3,0)*VLOOKUP('Données projet'!$B$9,Paramètres!$A$1:$I$89,5,0)</f>
        <v>388.91018400000007</v>
      </c>
      <c r="P92" s="13">
        <f t="shared" si="87"/>
        <v>89.524709460853941</v>
      </c>
      <c r="Q92" s="20">
        <f t="shared" si="54"/>
        <v>833.27410611098742</v>
      </c>
      <c r="R92" s="59">
        <f t="shared" si="55"/>
        <v>1107.2967498225109</v>
      </c>
      <c r="S92" s="59">
        <f ca="1">AVERAGE(OFFSET($R$3,0,0,'Données projet'!$E$9+1,1))-AVERAGE(OFFSET($H$3,0,0,'Données projet'!$E$9+1,1))</f>
        <v>567.42635821507474</v>
      </c>
      <c r="T92" s="59">
        <f t="shared" si="88"/>
        <v>299.04735309930152</v>
      </c>
      <c r="U92" s="15">
        <f>IF(ISNA(VLOOKUP(A92,'Données projet'!$A$35:$I$55,3,0)),0,VLOOKUP(A92,'Données projet'!$A$35:$I$55,3,0))</f>
        <v>8</v>
      </c>
      <c r="V92" s="15">
        <f>IF(ISNA(VLOOKUP(A92,'Données projet'!$A$35:$I$55,4,0)),0,VLOOKUP(A92,'Données projet'!$A$35:$I$55,4,0))</f>
        <v>64.5</v>
      </c>
      <c r="W92" s="16">
        <f>IF(ISNA(VLOOKUP(A92,'Données projet'!$A$35:$I$55,5,0)),0%,VLOOKUP(A92,'Données projet'!$A$35:$I$55,5,0)*VLOOKUP('Données projet'!$B$9,Paramètres!$A$1:$I$89,7,0))</f>
        <v>0.43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121.39006553864958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121.39006553864958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>
        <f>VLOOKUP(A92,'Données projet'!$A$61:$I$81,2,0)</f>
        <v>429.83</v>
      </c>
      <c r="AG92" s="12">
        <f>VLOOKUP(A92,'Données projet'!$A$61:$I$81,9,0)</f>
        <v>10.41</v>
      </c>
      <c r="AH92" s="12">
        <f t="array" ref="AH92">INDEX(AG:AG,MIN(IF(ISNUMBER(AG92:AG288),ROW(AG92:AG288),"")))</f>
        <v>10.41</v>
      </c>
      <c r="AI92" s="13">
        <f>IF('Données projet'!$A$62&gt;35,AI91+AH92-AQ91,IF(A92&lt;'Données projet'!$A$62,$AF$205^A92,IF(A92='Données projet'!$A$62,'Données projet'!$B$62,AI91+AH92-AQ91)))</f>
        <v>429.8300000000001</v>
      </c>
      <c r="AJ92" s="13">
        <f>AI92*VLOOKUP('Données projet'!$B$10,Paramètres!$A$1:$I$89,3,0)*VLOOKUP('Données projet'!$B$10,Paramètres!$A$1:$I$89,5,0)</f>
        <v>435.84762000000012</v>
      </c>
      <c r="AK92" s="13">
        <f t="shared" si="89"/>
        <v>99.007521114182325</v>
      </c>
      <c r="AL92" s="20">
        <f t="shared" si="58"/>
        <v>931.53937077386763</v>
      </c>
      <c r="AM92" s="59">
        <f t="shared" si="59"/>
        <v>1205.5620144853913</v>
      </c>
      <c r="AN92" s="59">
        <f ca="1">AVERAGE(OFFSET($AM$3,0,0,'Données projet'!$E$10+1,1))-AVERAGE(OFFSET($H$3,0,0,'Données projet'!$E$10+1,1))</f>
        <v>626.09203985591455</v>
      </c>
      <c r="AO92" s="59">
        <f t="shared" si="90"/>
        <v>327.65191296575199</v>
      </c>
      <c r="AP92" s="15">
        <f>IF(ISNA(VLOOKUP(A92,'Données projet'!$A$61:$I$81,3,0)),0,VLOOKUP(A92,'Données projet'!$A$61:$I$81,3,0))</f>
        <v>8</v>
      </c>
      <c r="AQ92" s="15">
        <f>IF(ISNA(VLOOKUP(A92,'Données projet'!$A$61:$I$81,4,0)),0,VLOOKUP(A92,'Données projet'!$A$61:$I$81,4,0))</f>
        <v>64.5</v>
      </c>
      <c r="AR92" s="16">
        <f>IF(ISNA(VLOOKUP(A92,'Données projet'!$A$61:$I$81,5,0)),0%,VLOOKUP(A92,'Données projet'!$A$61:$I$81,5,0)*VLOOKUP('Données projet'!$B$10,Paramètres!$A$1:$I$89,7,0))</f>
        <v>0.43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136.04059068986595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136.04059068986595</v>
      </c>
      <c r="AY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7.8</v>
      </c>
      <c r="BD92" s="12">
        <f>IF('Données projet'!$A$88&gt;35,BD91+BC92-BL91,IF(A92&lt;'Données projet'!$A$88,$BA$205^A92,IF(A92='Données projet'!$A$88,'Données projet'!$B$88,BD91+BC92-BL91)))</f>
        <v>369.19999999999982</v>
      </c>
      <c r="BE92" s="13">
        <f>BD92*VLOOKUP('Données projet'!$B$11,Paramètres!$A$1:$I$89,3,0)*VLOOKUP('Données projet'!$B$11,Paramètres!$A$1:$I$89,5,0)</f>
        <v>316.77359999999987</v>
      </c>
      <c r="BF92" s="13">
        <f t="shared" si="91"/>
        <v>74.681642981668006</v>
      </c>
      <c r="BG92" s="20">
        <f t="shared" si="61"/>
        <v>681.78454819307149</v>
      </c>
      <c r="BH92" s="59">
        <f t="shared" si="62"/>
        <v>955.80719190459513</v>
      </c>
      <c r="BI92" s="59">
        <f ca="1">AVERAGE(OFFSET($BH$3,0,0,'Données projet'!$E$11+1,1))-AVERAGE(OFFSET($H$3,0,0,'Données projet'!$E$11+1,1))</f>
        <v>481.23392184981651</v>
      </c>
      <c r="BJ92" s="59">
        <f t="shared" si="92"/>
        <v>275.88160405468193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91.056306005284682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91.056306005284682</v>
      </c>
      <c r="BT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13.233750000000001</v>
      </c>
      <c r="BY92" s="12">
        <f>IF('Données projet'!$A$114&gt;35,BY91+BX92-CG91,IF(A92&lt;'Données projet'!$A$114,$BV$205^A92,IF(A92='Données projet'!$A$114,'Données projet'!$B$114,BY91+BX92-CG91)))</f>
        <v>505.25249999999937</v>
      </c>
      <c r="BZ92" s="13">
        <f>BY92*VLOOKUP('Données projet'!$B$12,Paramètres!$A$1:$I$89,3,0)*VLOOKUP('Données projet'!$B$12,Paramètres!$A$1:$I$89,5,0)</f>
        <v>236.45816999999968</v>
      </c>
      <c r="CA92" s="13">
        <f t="shared" si="93"/>
        <v>57.676830368175608</v>
      </c>
      <c r="CB92" s="20">
        <f t="shared" si="64"/>
        <v>512.28512564123855</v>
      </c>
      <c r="CC92" s="59">
        <f t="shared" si="65"/>
        <v>786.30776935276208</v>
      </c>
      <c r="CD92" s="59">
        <f ca="1">AVERAGE(OFFSET($CC$3,0,0,'Données projet'!$E$12+1,1))-AVERAGE(OFFSET($H$3,0,0,'Données projet'!$E$12+1,1))</f>
        <v>331.86732359395467</v>
      </c>
      <c r="CE92" s="59">
        <f t="shared" si="94"/>
        <v>208.64489375183106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116.25683184816596</v>
      </c>
      <c r="CL92" s="21">
        <f>EXP(-LN(2)/25)*CL91+(1-EXP(-LN(2)/25))/(LN(2)/25)*Calculateur!CG92*Calculateur!CI92*VLOOKUP('Données projet'!$B$12,Paramètres!$A$1:$I$89,3,0)*0.475*44/12</f>
        <v>0</v>
      </c>
      <c r="CM92" s="21">
        <f>EXP(-LN(2)/2)*CM91+(1-EXP(-LN(2)/2))/(LN(2)/2)*CG92*CJ92*VLOOKUP('Données projet'!$B$12,Paramètres!$A$1:$I$89,3,0)*0.475*44/12</f>
        <v>0</v>
      </c>
      <c r="CN92" s="22">
        <f t="shared" si="66"/>
        <v>116.25683184816596</v>
      </c>
      <c r="CO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319</v>
      </c>
      <c r="CU92" s="17">
        <f>CT92*VLOOKUP('Données projet'!$B$13,Paramètres!$A$1:$I$89,3,0)*VLOOKUP('Données projet'!$B$13,Paramètres!$A$1:$I$89,5,0)</f>
        <v>233.89079999999998</v>
      </c>
      <c r="CV92" s="13">
        <f t="shared" si="95"/>
        <v>57.123140349023068</v>
      </c>
      <c r="CW92" s="20">
        <f t="shared" si="67"/>
        <v>506.84927944121517</v>
      </c>
      <c r="CX92" s="59">
        <f t="shared" si="68"/>
        <v>780.87192315273876</v>
      </c>
      <c r="CY92" s="59">
        <f ca="1">AVERAGE(OFFSET($CX$3,0,0,'Données projet'!$E$13+1,1))-AVERAGE(OFFSET($H$3,0,0,'Données projet'!$E$13+1,1))</f>
        <v>352.45777291109863</v>
      </c>
      <c r="CZ92" s="59">
        <f t="shared" si="96"/>
        <v>340.92165104349181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33.263260711838235</v>
      </c>
      <c r="DG92" s="21">
        <f>EXP(-LN(2)/25)*DG91+(1-EXP(-LN(2)/25))/(LN(2)/25)*Calculateur!DB92*Calculateur!DD92*VLOOKUP('Données projet'!$B$13,Paramètres!$A$1:$I$89,3,0)*0.475*44/12</f>
        <v>0</v>
      </c>
      <c r="DH92" s="21">
        <f>EXP(-LN(2)/2)*DH91+(1-EXP(-LN(2)/2))/(LN(2)/2)*DB92*DE92*VLOOKUP('Données projet'!$B$13,Paramètres!$A$1:$I$89,3,0)*0.475*44/12</f>
        <v>0</v>
      </c>
      <c r="DI92" s="22">
        <f t="shared" si="69"/>
        <v>33.263260711838235</v>
      </c>
      <c r="DJ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>
        <f>VLOOKUP(A92,'Données projet'!$A$165:$I$185,2,0)</f>
        <v>429.83</v>
      </c>
      <c r="DM92" s="12">
        <f>VLOOKUP(A92,'Données projet'!$A$165:$I$185,9,0)</f>
        <v>10.41</v>
      </c>
      <c r="DN92" s="12">
        <f t="array" ref="DN92">INDEX(DM:DM,MIN(IF(ISNUMBER(DM92:DM288),ROW(DM92:DM288),"")))</f>
        <v>10.41</v>
      </c>
      <c r="DO92" s="12">
        <f>IF('Données projet'!$A$166&gt;35,DO91+DN92-DW91,IF(A92&lt;'Données projet'!$A$166,$DL$205^A92,IF(A92='Données projet'!$A$166,'Données projet'!$B$166,DO91+DN92-DW91)))</f>
        <v>429.8300000000001</v>
      </c>
      <c r="DP92" s="17">
        <f>DO92*VLOOKUP('Données projet'!$B$14,Paramètres!$A$1:$I$89,3,0)*VLOOKUP('Données projet'!$B$14,Paramètres!$A$1:$I$89,5,0)</f>
        <v>288.32996400000007</v>
      </c>
      <c r="DQ92" s="13">
        <f t="shared" si="97"/>
        <v>68.72435499106922</v>
      </c>
      <c r="DR92" s="20">
        <f t="shared" si="70"/>
        <v>621.86960557611235</v>
      </c>
      <c r="DS92" s="59">
        <f t="shared" si="71"/>
        <v>895.89224928763588</v>
      </c>
      <c r="DT92" s="59">
        <f ca="1">AVERAGE(OFFSET($DS$3,0,0,'Données projet'!$E$14+1,1))-AVERAGE(OFFSET($H$3,0,0,'Données projet'!$E$14+1,1))</f>
        <v>441.20130048888439</v>
      </c>
      <c r="DU92" s="59">
        <f t="shared" si="98"/>
        <v>237.47732532183946</v>
      </c>
      <c r="DV92" s="15">
        <f>IF(ISNA(VLOOKUP(A92,'Données projet'!$A$165:$I$185,3,0)),0,VLOOKUP(A92,'Données projet'!$A$165:$I$185,3,0))</f>
        <v>8</v>
      </c>
      <c r="DW92" s="15">
        <f>IF(ISNA(VLOOKUP(A92,'Données projet'!$A$165:$I$185,4,0)),0,VLOOKUP(A92,'Données projet'!$A$165:$I$185,4,0))</f>
        <v>64.5</v>
      </c>
      <c r="DX92" s="16">
        <f>IF(ISNA(VLOOKUP(A92,'Données projet'!$A$165:$I$185,5,0)),0%,VLOOKUP(A92,'Données projet'!$A$165:$I$185,5,0)*VLOOKUP('Données projet'!$B$14,Paramètres!$A$1:$I$89,7,0))</f>
        <v>0.53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110.92540471635222</v>
      </c>
      <c r="EB92" s="21">
        <f>EXP(-LN(2)/25)*EB91+(1-EXP(-LN(2)/25))/(LN(2)/25)*Calculateur!DW92*Calculateur!DY92*VLOOKUP('Données projet'!$B$14,Paramètres!$A$1:$I$89,3,0)*0.475*44/12</f>
        <v>0</v>
      </c>
      <c r="EC92" s="21">
        <f>EXP(-LN(2)/2)*EC91+(1-EXP(-LN(2)/2))/(LN(2)/2)*DW92*DZ92*VLOOKUP('Données projet'!$B$14,Paramètres!$A$1:$I$89,3,0)*0.475*44/12</f>
        <v>0</v>
      </c>
      <c r="ED92" s="22">
        <f t="shared" si="72"/>
        <v>110.92540471635222</v>
      </c>
      <c r="EE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319</v>
      </c>
      <c r="EK92" s="17">
        <f>EJ92*VLOOKUP('Données projet'!$B$15,Paramètres!$A$1:$I$89,3,0)*VLOOKUP('Données projet'!$B$15,Paramètres!$A$1:$I$89,5,0)</f>
        <v>253.79640000000001</v>
      </c>
      <c r="EL92" s="13">
        <f t="shared" si="99"/>
        <v>61.39816832228076</v>
      </c>
      <c r="EM92" s="20">
        <f t="shared" si="73"/>
        <v>548.96387316130563</v>
      </c>
      <c r="EN92" s="59">
        <f t="shared" si="74"/>
        <v>822.98651687282927</v>
      </c>
      <c r="EO92" s="59">
        <f ca="1">AVERAGE(OFFSET($EN$3,0,0,'Données projet'!$E$15+1,1))-AVERAGE(OFFSET($H$3,0,0,'Données projet'!$E$15+1,1))</f>
        <v>377.27600411578322</v>
      </c>
      <c r="EP92" s="59">
        <f t="shared" si="100"/>
        <v>364.58250627635425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>
        <f>EXP(-LN(2)/35)*EV91+(1-EXP(-LN(2)/35))/(LN(2)/35)*ER92*ES92*VLOOKUP('Données projet'!$B$15,Paramètres!$A$1:$I$89,3,0)*0.475*44/12</f>
        <v>44.488171055961786</v>
      </c>
      <c r="EW92" s="21">
        <f>EXP(-LN(2)/25)*EW91+(1-EXP(-LN(2)/25))/(LN(2)/25)*Calculateur!ER92*Calculateur!ET92*VLOOKUP('Données projet'!$B$15,Paramètres!$A$1:$I$89,3,0)*0.475*44/12</f>
        <v>0</v>
      </c>
      <c r="EX92" s="21">
        <f>EXP(-LN(2)/2)*EX91+(1-EXP(-LN(2)/2))/(LN(2)/2)*ER92*EU92*VLOOKUP('Données projet'!$B$15,Paramètres!$A$1:$I$89,3,0)*0.475*44/12</f>
        <v>0</v>
      </c>
      <c r="EY92" s="22">
        <f t="shared" si="75"/>
        <v>44.488171055961786</v>
      </c>
      <c r="EZ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319</v>
      </c>
      <c r="FF92" s="17">
        <f>FE92*VLOOKUP('Données projet'!$B$16,Paramètres!$A$1:$I$89,3,0)*VLOOKUP('Données projet'!$B$16,Paramètres!$A$1:$I$89,5,0)</f>
        <v>258.77280000000002</v>
      </c>
      <c r="FG92" s="13">
        <f t="shared" si="101"/>
        <v>62.460716522234691</v>
      </c>
      <c r="FH92" s="20">
        <f t="shared" si="76"/>
        <v>559.48170794289206</v>
      </c>
      <c r="FI92" s="59">
        <f t="shared" si="77"/>
        <v>833.50435165441559</v>
      </c>
      <c r="FJ92" s="59">
        <f ca="1">AVERAGE(OFFSET($FI$3,0,0,'Données projet'!$E$16+1,1))-AVERAGE(OFFSET($H$3,0,0,'Données projet'!$E$16+1,1))</f>
        <v>383.47399633251354</v>
      </c>
      <c r="FK92" s="59">
        <f t="shared" si="102"/>
        <v>370.49129421395628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>
        <f>EXP(-LN(2)/35)*FQ91+(1-EXP(-LN(2)/35))/(LN(2)/35)*FM92*FN92*VLOOKUP('Données projet'!$B$16,Paramètres!$A$1:$I$89,3,0)*0.475*44/12</f>
        <v>45.360488135490478</v>
      </c>
      <c r="FR92" s="21">
        <f>EXP(-LN(2)/25)*FR91+(1-EXP(-LN(2)/25))/(LN(2)/25)*Calculateur!FM92*Calculateur!FO92*VLOOKUP('Données projet'!$B$16,Paramètres!$A$1:$I$89,3,0)*0.475*44/12</f>
        <v>0</v>
      </c>
      <c r="FS92" s="21">
        <f>EXP(-LN(2)/2)*FS91+(1-EXP(-LN(2)/2))/(LN(2)/2)*FM92*FP92*VLOOKUP('Données projet'!$B$16,Paramètres!$A$1:$I$89,3,0)*0.475*44/12</f>
        <v>0</v>
      </c>
      <c r="FT92" s="22">
        <f t="shared" si="78"/>
        <v>45.360488135490478</v>
      </c>
      <c r="FU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>
        <f>VLOOKUP(A92,'Données projet'!$A$243:$I$263,2,0)</f>
        <v>429.83</v>
      </c>
      <c r="FX92" s="12">
        <f>VLOOKUP(A92,'Données projet'!$A$243:$I$263,9,0)</f>
        <v>10.41</v>
      </c>
      <c r="FY92" s="12">
        <f t="array" ref="FY92">INDEX(FX:FX,MIN(IF(ISNUMBER(FX92:FX288),ROW(FX92:FX288),"")))</f>
        <v>10.41</v>
      </c>
      <c r="FZ92" s="12">
        <f>IF('Données projet'!$A$244&gt;35,FZ91+FY92-GH91,IF(A92&lt;'Données projet'!$A$244,$FW$205^A92,IF(A92='Données projet'!$A$244,'Données projet'!$B$244,FZ91+FY92-GH91)))</f>
        <v>429.8300000000001</v>
      </c>
      <c r="GA92" s="17">
        <f>FZ92*VLOOKUP('Données projet'!$B$17,Paramètres!$A$1:$I$89,3,0)*VLOOKUP('Données projet'!$B$17,Paramètres!$A$1:$I$89,5,0)</f>
        <v>409.02622800000012</v>
      </c>
      <c r="GB92" s="13">
        <f t="shared" si="103"/>
        <v>93.604211095030166</v>
      </c>
      <c r="GC92" s="20">
        <f t="shared" si="79"/>
        <v>875.4146814238444</v>
      </c>
      <c r="GD92" s="59">
        <f t="shared" si="80"/>
        <v>1149.4373251353679</v>
      </c>
      <c r="GE92" s="59">
        <f ca="1">AVERAGE(OFFSET($GD$3,0,0,'Données projet'!$E$17+1,1))-AVERAGE(OFFSET($H$3,0,0,'Données projet'!$E$17+1,1))</f>
        <v>592.58528889137358</v>
      </c>
      <c r="GF92" s="59">
        <f t="shared" si="104"/>
        <v>311.31528020403709</v>
      </c>
      <c r="GG92" s="15">
        <f>IF(ISNA(VLOOKUP(A92,'Données projet'!$A$243:$I$263,3,0)),0,VLOOKUP(A92,'Données projet'!$A$243:$I$263,3,0))</f>
        <v>8</v>
      </c>
      <c r="GH92" s="15">
        <f>IF(ISNA(VLOOKUP(A92,'Données projet'!$A$243:$I$263,4,0)),0,VLOOKUP(A92,'Données projet'!$A$243:$I$263,4,0))</f>
        <v>64.5</v>
      </c>
      <c r="GI92" s="16">
        <f>IF(ISNA(VLOOKUP(A92,'Données projet'!$A$243:$I$263,5,0)),0%,VLOOKUP(A92,'Données projet'!$A$243:$I$263,5,0)*VLOOKUP('Données projet'!$B$17,Paramètres!$A$1:$I$89,7,0))</f>
        <v>0.43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>
        <f>EXP(-LN(2)/35)*GL91+(1-EXP(-LN(2)/35))/(LN(2)/35)*GH92*GI92*VLOOKUP('Données projet'!$B$17,Paramètres!$A$1:$I$89,3,0)*0.475*44/12</f>
        <v>127.66886203202803</v>
      </c>
      <c r="GM92" s="21">
        <f>EXP(-LN(2)/25)*GM91+(1-EXP(-LN(2)/25))/(LN(2)/25)*Calculateur!GH92*Calculateur!GJ92*VLOOKUP('Données projet'!$B$17,Paramètres!$A$1:$I$89,3,0)*0.475*44/12</f>
        <v>0</v>
      </c>
      <c r="GN92" s="21">
        <f>EXP(-LN(2)/2)*GN91+(1-EXP(-LN(2)/2))/(LN(2)/2)*GH92*GK92*VLOOKUP('Données projet'!$B$17,Paramètres!$A$1:$I$89,3,0)*0.475*44/12</f>
        <v>0</v>
      </c>
      <c r="GO92" s="21">
        <f t="shared" si="81"/>
        <v>127.66886203202803</v>
      </c>
      <c r="GP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328.00000000000006</v>
      </c>
      <c r="GV92" s="17">
        <f>GU92*VLOOKUP('Données projet'!$B$18,Paramètres!$A$1:$I$89,3,0)*VLOOKUP('Données projet'!$B$18,Paramètres!$A$1:$I$89,5,0)</f>
        <v>255.84000000000006</v>
      </c>
      <c r="GW92" s="13">
        <f t="shared" si="105"/>
        <v>61.834803371075836</v>
      </c>
      <c r="GX92" s="20">
        <f t="shared" si="82"/>
        <v>553.28361587129041</v>
      </c>
      <c r="GY92" s="59">
        <f t="shared" si="83"/>
        <v>827.30625958281394</v>
      </c>
      <c r="GZ92" s="59">
        <f ca="1">AVERAGE(OFFSET($GY$3,0,0,'Données projet'!$E$18+1,1))-AVERAGE(OFFSET($H$3,0,0,'Données projet'!$E$18+1,1))</f>
        <v>308.85018589589453</v>
      </c>
      <c r="HA92" s="59">
        <f t="shared" si="106"/>
        <v>302.59481222418219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>
        <f>EXP(-LN(2)/35)*HG91+(1-EXP(-LN(2)/35))/(LN(2)/35)*HC92*HD92*VLOOKUP('Données projet'!$B$18,Paramètres!$A$1:$I$89,3,0)*0.475*44/12</f>
        <v>33.903358706272492</v>
      </c>
      <c r="HH92" s="21">
        <f>EXP(-LN(2)/25)*HH91+(1-EXP(-LN(2)/25))/(LN(2)/25)*Calculateur!HC92*Calculateur!HE92*VLOOKUP('Données projet'!$B$18,Paramètres!$A$1:$I$89,3,0)*0.475*44/12</f>
        <v>0</v>
      </c>
      <c r="HI92" s="21">
        <f>EXP(-LN(2)/2)*HI91+(1-EXP(-LN(2)/2))/(LN(2)/2)*HC92*HF92*VLOOKUP('Données projet'!$B$18,Paramètres!$A$1:$I$89,3,0)*0.475*44/12</f>
        <v>0</v>
      </c>
      <c r="HJ92" s="22">
        <f t="shared" si="84"/>
        <v>33.903358706272492</v>
      </c>
    </row>
    <row r="93" spans="1:218" x14ac:dyDescent="0.35">
      <c r="A93" s="10">
        <f t="shared" si="85"/>
        <v>90</v>
      </c>
      <c r="B93" s="72">
        <f>'Scénario référence'!$B$16*5+'Scénario référence'!$B$17*0+'Scénario référence'!$B$18*5</f>
        <v>5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66">
        <f t="shared" si="56"/>
        <v>183.33333333333334</v>
      </c>
      <c r="I93" s="6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9.9470000000000027</v>
      </c>
      <c r="N93" s="13">
        <f>IF('Données projet'!$A$36&gt;35,N92+M93-V92,IF(A93&lt;'Données projet'!$A$36,$K$205^A93,IF(A93='Données projet'!$A$36,'Données projet'!$B$36,N92+M93-V92)))</f>
        <v>375.2770000000001</v>
      </c>
      <c r="O93" s="13">
        <f>N93*VLOOKUP('Données projet'!$B$9,Paramètres!$A$1:$I$89,3,0)*VLOOKUP('Données projet'!$B$9,Paramètres!$A$1:$I$89,5,0)</f>
        <v>339.55062960000009</v>
      </c>
      <c r="P93" s="13">
        <f t="shared" si="87"/>
        <v>79.407096506902036</v>
      </c>
      <c r="Q93" s="20">
        <f t="shared" si="54"/>
        <v>729.68470630285447</v>
      </c>
      <c r="R93" s="59">
        <f t="shared" si="55"/>
        <v>1004.0423473070821</v>
      </c>
      <c r="S93" s="59">
        <f ca="1">AVERAGE(OFFSET($R$3,0,0,'Données projet'!$E$9+1,1))-AVERAGE(OFFSET($H$3,0,0,'Données projet'!$E$9+1,1))</f>
        <v>567.42635821507474</v>
      </c>
      <c r="T93" s="59">
        <f t="shared" si="88"/>
        <v>299.04735309930152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119.00968039406574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119.00968039406574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9.9470000000000027</v>
      </c>
      <c r="AI93" s="13">
        <f>IF('Données projet'!$A$62&gt;35,AI92+AH93-AQ92,IF(A93&lt;'Données projet'!$A$62,$AF$205^A93,IF(A93='Données projet'!$A$62,'Données projet'!$B$62,AI92+AH93-AQ92)))</f>
        <v>375.2770000000001</v>
      </c>
      <c r="AJ93" s="13">
        <f>AI93*VLOOKUP('Données projet'!$B$10,Paramètres!$A$1:$I$89,3,0)*VLOOKUP('Données projet'!$B$10,Paramètres!$A$1:$I$89,5,0)</f>
        <v>380.53087800000014</v>
      </c>
      <c r="AK93" s="13">
        <f t="shared" si="89"/>
        <v>87.818210540641346</v>
      </c>
      <c r="AL93" s="20">
        <f t="shared" si="58"/>
        <v>815.70799587495048</v>
      </c>
      <c r="AM93" s="59">
        <f t="shared" si="59"/>
        <v>1090.0656368791781</v>
      </c>
      <c r="AN93" s="59">
        <f ca="1">AVERAGE(OFFSET($AM$3,0,0,'Données projet'!$E$10+1,1))-AVERAGE(OFFSET($H$3,0,0,'Données projet'!$E$10+1,1))</f>
        <v>626.09203985591455</v>
      </c>
      <c r="AO93" s="59">
        <f t="shared" si="90"/>
        <v>327.65191296575199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133.37291768300474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133.37291768300474</v>
      </c>
      <c r="AY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>
        <f>VLOOKUP(A93,'Données projet'!$A$87:$I$107,2,0)</f>
        <v>377</v>
      </c>
      <c r="BB93" s="12">
        <f>VLOOKUP(A93,'Données projet'!$A$87:$I$107,9,0)</f>
        <v>7.8</v>
      </c>
      <c r="BC93" s="12">
        <f t="array" ref="BC93">INDEX(BB:BB,MIN(IF(ISNUMBER(BB93:BB289),ROW(BB93:BB289),"")))</f>
        <v>7.8</v>
      </c>
      <c r="BD93" s="12">
        <f>IF('Données projet'!$A$88&gt;35,BD92+BC93-BL92,IF(A93&lt;'Données projet'!$A$88,$BA$205^A93,IF(A93='Données projet'!$A$88,'Données projet'!$B$88,BD92+BC93-BL92)))</f>
        <v>376.99999999999983</v>
      </c>
      <c r="BE93" s="13">
        <f>BD93*VLOOKUP('Données projet'!$B$11,Paramètres!$A$1:$I$89,3,0)*VLOOKUP('Données projet'!$B$11,Paramètres!$A$1:$I$89,5,0)</f>
        <v>323.46599999999989</v>
      </c>
      <c r="BF93" s="13">
        <f t="shared" si="91"/>
        <v>76.074069581431147</v>
      </c>
      <c r="BG93" s="20">
        <f t="shared" si="61"/>
        <v>695.86562118765903</v>
      </c>
      <c r="BH93" s="59">
        <f t="shared" si="62"/>
        <v>970.22326219188676</v>
      </c>
      <c r="BI93" s="59">
        <f ca="1">AVERAGE(OFFSET($BH$3,0,0,'Données projet'!$E$11+1,1))-AVERAGE(OFFSET($H$3,0,0,'Données projet'!$E$11+1,1))</f>
        <v>481.23392184981651</v>
      </c>
      <c r="BJ93" s="59">
        <f t="shared" si="92"/>
        <v>275.88160405468193</v>
      </c>
      <c r="BK93" s="15">
        <f>IF(ISNA(VLOOKUP(A93,'Données projet'!$A$87:$I$107,3,0)),0,VLOOKUP(A93,'Données projet'!$A$87:$I$107,3,0))</f>
        <v>14</v>
      </c>
      <c r="BL93" s="15">
        <f>IF(ISNA(VLOOKUP(A93,'Données projet'!$A$87:$I$107,4,0)),0,VLOOKUP(A93,'Données projet'!$A$87:$I$107,4,0))</f>
        <v>26</v>
      </c>
      <c r="BM93" s="16">
        <f>IF(ISNA(VLOOKUP(A93,'Données projet'!$A$87:$I$107,5,0)),0%,VLOOKUP(A93,'Données projet'!$A$87:$I$107,5,0)*VLOOKUP('Données projet'!$B$11,Paramètres!$A$1:$I$89,7,0))</f>
        <v>0.53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102.34098899349287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102.34098899349287</v>
      </c>
      <c r="BT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13.233750000000001</v>
      </c>
      <c r="BY93" s="12">
        <f>IF('Données projet'!$A$114&gt;35,BY92+BX93-CG92,IF(A93&lt;'Données projet'!$A$114,$BV$205^A93,IF(A93='Données projet'!$A$114,'Données projet'!$B$114,BY92+BX93-CG92)))</f>
        <v>518.48624999999936</v>
      </c>
      <c r="BZ93" s="13">
        <f>BY93*VLOOKUP('Données projet'!$B$12,Paramètres!$A$1:$I$89,3,0)*VLOOKUP('Données projet'!$B$12,Paramètres!$A$1:$I$89,5,0)</f>
        <v>242.65156499999969</v>
      </c>
      <c r="CA93" s="13">
        <f t="shared" si="93"/>
        <v>59.009662275987814</v>
      </c>
      <c r="CB93" s="20">
        <f t="shared" si="64"/>
        <v>525.39330417234487</v>
      </c>
      <c r="CC93" s="59">
        <f t="shared" si="65"/>
        <v>799.75094517657249</v>
      </c>
      <c r="CD93" s="59">
        <f ca="1">AVERAGE(OFFSET($CC$3,0,0,'Données projet'!$E$12+1,1))-AVERAGE(OFFSET($H$3,0,0,'Données projet'!$E$12+1,1))</f>
        <v>331.86732359395467</v>
      </c>
      <c r="CE93" s="59">
        <f t="shared" si="94"/>
        <v>208.64489375183106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113.97710628528911</v>
      </c>
      <c r="CL93" s="21">
        <f>EXP(-LN(2)/25)*CL92+(1-EXP(-LN(2)/25))/(LN(2)/25)*Calculateur!CG93*Calculateur!CI93*VLOOKUP('Données projet'!$B$12,Paramètres!$A$1:$I$89,3,0)*0.475*44/12</f>
        <v>0</v>
      </c>
      <c r="CM93" s="21">
        <f>EXP(-LN(2)/2)*CM92+(1-EXP(-LN(2)/2))/(LN(2)/2)*CG93*CJ93*VLOOKUP('Données projet'!$B$12,Paramètres!$A$1:$I$89,3,0)*0.475*44/12</f>
        <v>0</v>
      </c>
      <c r="CN93" s="22">
        <f t="shared" si="66"/>
        <v>113.97710628528911</v>
      </c>
      <c r="CO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319</v>
      </c>
      <c r="CU93" s="17">
        <f>CT93*VLOOKUP('Données projet'!$B$13,Paramètres!$A$1:$I$89,3,0)*VLOOKUP('Données projet'!$B$13,Paramètres!$A$1:$I$89,5,0)</f>
        <v>233.89079999999998</v>
      </c>
      <c r="CV93" s="13">
        <f t="shared" si="95"/>
        <v>57.123140349023068</v>
      </c>
      <c r="CW93" s="20">
        <f t="shared" si="67"/>
        <v>506.84927944121517</v>
      </c>
      <c r="CX93" s="59">
        <f t="shared" si="68"/>
        <v>781.20692044544285</v>
      </c>
      <c r="CY93" s="59">
        <f ca="1">AVERAGE(OFFSET($CX$3,0,0,'Données projet'!$E$13+1,1))-AVERAGE(OFFSET($H$3,0,0,'Données projet'!$E$13+1,1))</f>
        <v>352.45777291109863</v>
      </c>
      <c r="CZ93" s="59">
        <f t="shared" si="96"/>
        <v>340.92165104349181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32.610988457864792</v>
      </c>
      <c r="DG93" s="21">
        <f>EXP(-LN(2)/25)*DG92+(1-EXP(-LN(2)/25))/(LN(2)/25)*Calculateur!DB93*Calculateur!DD93*VLOOKUP('Données projet'!$B$13,Paramètres!$A$1:$I$89,3,0)*0.475*44/12</f>
        <v>0</v>
      </c>
      <c r="DH93" s="21">
        <f>EXP(-LN(2)/2)*DH92+(1-EXP(-LN(2)/2))/(LN(2)/2)*DB93*DE93*VLOOKUP('Données projet'!$B$13,Paramètres!$A$1:$I$89,3,0)*0.475*44/12</f>
        <v>0</v>
      </c>
      <c r="DI93" s="22">
        <f t="shared" si="69"/>
        <v>32.610988457864792</v>
      </c>
      <c r="DJ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9.9470000000000027</v>
      </c>
      <c r="DO93" s="12">
        <f>IF('Données projet'!$A$166&gt;35,DO92+DN93-DW92,IF(A93&lt;'Données projet'!$A$166,$DL$205^A93,IF(A93='Données projet'!$A$166,'Données projet'!$B$166,DO92+DN93-DW92)))</f>
        <v>375.2770000000001</v>
      </c>
      <c r="DP93" s="17">
        <f>DO93*VLOOKUP('Données projet'!$B$14,Paramètres!$A$1:$I$89,3,0)*VLOOKUP('Données projet'!$B$14,Paramètres!$A$1:$I$89,5,0)</f>
        <v>251.73581160000006</v>
      </c>
      <c r="DQ93" s="13">
        <f t="shared" si="97"/>
        <v>60.957488966067835</v>
      </c>
      <c r="DR93" s="20">
        <f t="shared" si="70"/>
        <v>544.6074984859016</v>
      </c>
      <c r="DS93" s="59">
        <f t="shared" si="71"/>
        <v>818.96513949012933</v>
      </c>
      <c r="DT93" s="59">
        <f ca="1">AVERAGE(OFFSET($DS$3,0,0,'Données projet'!$E$14+1,1))-AVERAGE(OFFSET($H$3,0,0,'Données projet'!$E$14+1,1))</f>
        <v>441.20130048888439</v>
      </c>
      <c r="DU93" s="59">
        <f t="shared" si="98"/>
        <v>237.47732532183946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108.75022518768077</v>
      </c>
      <c r="EB93" s="21">
        <f>EXP(-LN(2)/25)*EB92+(1-EXP(-LN(2)/25))/(LN(2)/25)*Calculateur!DW93*Calculateur!DY93*VLOOKUP('Données projet'!$B$14,Paramètres!$A$1:$I$89,3,0)*0.475*44/12</f>
        <v>0</v>
      </c>
      <c r="EC93" s="21">
        <f>EXP(-LN(2)/2)*EC92+(1-EXP(-LN(2)/2))/(LN(2)/2)*DW93*DZ93*VLOOKUP('Données projet'!$B$14,Paramètres!$A$1:$I$89,3,0)*0.475*44/12</f>
        <v>0</v>
      </c>
      <c r="ED93" s="22">
        <f t="shared" si="72"/>
        <v>108.75022518768077</v>
      </c>
      <c r="EE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319</v>
      </c>
      <c r="EK93" s="17">
        <f>EJ93*VLOOKUP('Données projet'!$B$15,Paramètres!$A$1:$I$89,3,0)*VLOOKUP('Données projet'!$B$15,Paramètres!$A$1:$I$89,5,0)</f>
        <v>253.79640000000001</v>
      </c>
      <c r="EL93" s="13">
        <f t="shared" si="99"/>
        <v>61.39816832228076</v>
      </c>
      <c r="EM93" s="20">
        <f t="shared" si="73"/>
        <v>548.96387316130563</v>
      </c>
      <c r="EN93" s="59">
        <f t="shared" si="74"/>
        <v>823.32151416553324</v>
      </c>
      <c r="EO93" s="59">
        <f ca="1">AVERAGE(OFFSET($EN$3,0,0,'Données projet'!$E$15+1,1))-AVERAGE(OFFSET($H$3,0,0,'Données projet'!$E$15+1,1))</f>
        <v>377.27600411578322</v>
      </c>
      <c r="EP93" s="59">
        <f t="shared" si="100"/>
        <v>364.58250627635425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>
        <f>EXP(-LN(2)/35)*EV92+(1-EXP(-LN(2)/35))/(LN(2)/35)*ER93*ES93*VLOOKUP('Données projet'!$B$15,Paramètres!$A$1:$I$89,3,0)*0.475*44/12</f>
        <v>43.615785156659349</v>
      </c>
      <c r="EW93" s="21">
        <f>EXP(-LN(2)/25)*EW92+(1-EXP(-LN(2)/25))/(LN(2)/25)*Calculateur!ER93*Calculateur!ET93*VLOOKUP('Données projet'!$B$15,Paramètres!$A$1:$I$89,3,0)*0.475*44/12</f>
        <v>0</v>
      </c>
      <c r="EX93" s="21">
        <f>EXP(-LN(2)/2)*EX92+(1-EXP(-LN(2)/2))/(LN(2)/2)*ER93*EU93*VLOOKUP('Données projet'!$B$15,Paramètres!$A$1:$I$89,3,0)*0.475*44/12</f>
        <v>0</v>
      </c>
      <c r="EY93" s="22">
        <f t="shared" si="75"/>
        <v>43.615785156659349</v>
      </c>
      <c r="EZ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319</v>
      </c>
      <c r="FF93" s="17">
        <f>FE93*VLOOKUP('Données projet'!$B$16,Paramètres!$A$1:$I$89,3,0)*VLOOKUP('Données projet'!$B$16,Paramètres!$A$1:$I$89,5,0)</f>
        <v>258.77280000000002</v>
      </c>
      <c r="FG93" s="13">
        <f t="shared" si="101"/>
        <v>62.460716522234691</v>
      </c>
      <c r="FH93" s="20">
        <f t="shared" si="76"/>
        <v>559.48170794289206</v>
      </c>
      <c r="FI93" s="59">
        <f t="shared" si="77"/>
        <v>833.83934894711979</v>
      </c>
      <c r="FJ93" s="59">
        <f ca="1">AVERAGE(OFFSET($FI$3,0,0,'Données projet'!$E$16+1,1))-AVERAGE(OFFSET($H$3,0,0,'Données projet'!$E$16+1,1))</f>
        <v>383.47399633251354</v>
      </c>
      <c r="FK93" s="59">
        <f t="shared" si="102"/>
        <v>370.49129421395628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>
        <f>EXP(-LN(2)/35)*FQ92+(1-EXP(-LN(2)/35))/(LN(2)/35)*FM93*FN93*VLOOKUP('Données projet'!$B$16,Paramètres!$A$1:$I$89,3,0)*0.475*44/12</f>
        <v>44.47099663031937</v>
      </c>
      <c r="FR93" s="21">
        <f>EXP(-LN(2)/25)*FR92+(1-EXP(-LN(2)/25))/(LN(2)/25)*Calculateur!FM93*Calculateur!FO93*VLOOKUP('Données projet'!$B$16,Paramètres!$A$1:$I$89,3,0)*0.475*44/12</f>
        <v>0</v>
      </c>
      <c r="FS93" s="21">
        <f>EXP(-LN(2)/2)*FS92+(1-EXP(-LN(2)/2))/(LN(2)/2)*FM93*FP93*VLOOKUP('Données projet'!$B$16,Paramètres!$A$1:$I$89,3,0)*0.475*44/12</f>
        <v>0</v>
      </c>
      <c r="FT93" s="22">
        <f t="shared" si="78"/>
        <v>44.47099663031937</v>
      </c>
      <c r="FU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9.9470000000000027</v>
      </c>
      <c r="FZ93" s="12">
        <f>IF('Données projet'!$A$244&gt;35,FZ92+FY93-GH92,IF(A93&lt;'Données projet'!$A$244,$FW$205^A93,IF(A93='Données projet'!$A$244,'Données projet'!$B$244,FZ92+FY93-GH92)))</f>
        <v>375.2770000000001</v>
      </c>
      <c r="GA93" s="17">
        <f>FZ93*VLOOKUP('Données projet'!$B$17,Paramètres!$A$1:$I$89,3,0)*VLOOKUP('Données projet'!$B$17,Paramètres!$A$1:$I$89,5,0)</f>
        <v>357.11359320000008</v>
      </c>
      <c r="GB93" s="13">
        <f t="shared" si="103"/>
        <v>83.025554270305832</v>
      </c>
      <c r="GC93" s="20">
        <f t="shared" si="79"/>
        <v>766.57568184411605</v>
      </c>
      <c r="GD93" s="59">
        <f t="shared" si="80"/>
        <v>1040.9333228483438</v>
      </c>
      <c r="GE93" s="59">
        <f ca="1">AVERAGE(OFFSET($GD$3,0,0,'Données projet'!$E$17+1,1))-AVERAGE(OFFSET($H$3,0,0,'Données projet'!$E$17+1,1))</f>
        <v>592.58528889137358</v>
      </c>
      <c r="GF93" s="59">
        <f t="shared" si="104"/>
        <v>311.31528020403709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>
        <f>EXP(-LN(2)/35)*GL92+(1-EXP(-LN(2)/35))/(LN(2)/35)*GH93*GI93*VLOOKUP('Données projet'!$B$17,Paramètres!$A$1:$I$89,3,0)*0.475*44/12</f>
        <v>125.16535351789675</v>
      </c>
      <c r="GM93" s="21">
        <f>EXP(-LN(2)/25)*GM92+(1-EXP(-LN(2)/25))/(LN(2)/25)*Calculateur!GH93*Calculateur!GJ93*VLOOKUP('Données projet'!$B$17,Paramètres!$A$1:$I$89,3,0)*0.475*44/12</f>
        <v>0</v>
      </c>
      <c r="GN93" s="21">
        <f>EXP(-LN(2)/2)*GN92+(1-EXP(-LN(2)/2))/(LN(2)/2)*GH93*GK93*VLOOKUP('Données projet'!$B$17,Paramètres!$A$1:$I$89,3,0)*0.475*44/12</f>
        <v>0</v>
      </c>
      <c r="GO93" s="21">
        <f t="shared" si="81"/>
        <v>125.16535351789675</v>
      </c>
      <c r="GP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328.00000000000006</v>
      </c>
      <c r="GV93" s="17">
        <f>GU93*VLOOKUP('Données projet'!$B$18,Paramètres!$A$1:$I$89,3,0)*VLOOKUP('Données projet'!$B$18,Paramètres!$A$1:$I$89,5,0)</f>
        <v>255.84000000000006</v>
      </c>
      <c r="GW93" s="13">
        <f t="shared" si="105"/>
        <v>61.834803371075836</v>
      </c>
      <c r="GX93" s="20">
        <f t="shared" si="82"/>
        <v>553.28361587129041</v>
      </c>
      <c r="GY93" s="59">
        <f t="shared" si="83"/>
        <v>827.64125687551814</v>
      </c>
      <c r="GZ93" s="59">
        <f ca="1">AVERAGE(OFFSET($GY$3,0,0,'Données projet'!$E$18+1,1))-AVERAGE(OFFSET($H$3,0,0,'Données projet'!$E$18+1,1))</f>
        <v>308.85018589589453</v>
      </c>
      <c r="HA93" s="59">
        <f t="shared" si="106"/>
        <v>302.59481222418219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>
        <f>EXP(-LN(2)/35)*HG92+(1-EXP(-LN(2)/35))/(LN(2)/35)*HC93*HD93*VLOOKUP('Données projet'!$B$18,Paramètres!$A$1:$I$89,3,0)*0.475*44/12</f>
        <v>33.238534521049417</v>
      </c>
      <c r="HH93" s="21">
        <f>EXP(-LN(2)/25)*HH92+(1-EXP(-LN(2)/25))/(LN(2)/25)*Calculateur!HC93*Calculateur!HE93*VLOOKUP('Données projet'!$B$18,Paramètres!$A$1:$I$89,3,0)*0.475*44/12</f>
        <v>0</v>
      </c>
      <c r="HI93" s="21">
        <f>EXP(-LN(2)/2)*HI92+(1-EXP(-LN(2)/2))/(LN(2)/2)*HC93*HF93*VLOOKUP('Données projet'!$B$18,Paramètres!$A$1:$I$89,3,0)*0.475*44/12</f>
        <v>0</v>
      </c>
      <c r="HJ93" s="22">
        <f t="shared" si="84"/>
        <v>33.238534521049417</v>
      </c>
    </row>
    <row r="94" spans="1:218" x14ac:dyDescent="0.35">
      <c r="A94" s="10">
        <f t="shared" si="85"/>
        <v>91</v>
      </c>
      <c r="B94" s="72">
        <f>'Scénario référence'!$B$16*5+'Scénario référence'!$B$17*0+'Scénario référence'!$B$18*5</f>
        <v>5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66">
        <f t="shared" si="56"/>
        <v>183.33333333333334</v>
      </c>
      <c r="I94" s="6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9.9470000000000027</v>
      </c>
      <c r="N94" s="13">
        <f>IF('Données projet'!$A$36&gt;35,N93+M94-V93,IF(A94&lt;'Données projet'!$A$36,$K$205^A94,IF(A94='Données projet'!$A$36,'Données projet'!$B$36,N93+M94-V93)))</f>
        <v>385.2240000000001</v>
      </c>
      <c r="O94" s="13">
        <f>N94*VLOOKUP('Données projet'!$B$9,Paramètres!$A$1:$I$89,3,0)*VLOOKUP('Données projet'!$B$9,Paramètres!$A$1:$I$89,5,0)</f>
        <v>348.55067520000006</v>
      </c>
      <c r="P94" s="13">
        <f t="shared" si="87"/>
        <v>81.264008176199866</v>
      </c>
      <c r="Q94" s="20">
        <f t="shared" si="54"/>
        <v>748.59390688021483</v>
      </c>
      <c r="R94" s="59">
        <f t="shared" si="55"/>
        <v>1023.2807337230599</v>
      </c>
      <c r="S94" s="59">
        <f ca="1">AVERAGE(OFFSET($R$3,0,0,'Données projet'!$E$9+1,1))-AVERAGE(OFFSET($H$3,0,0,'Données projet'!$E$9+1,1))</f>
        <v>567.42635821507474</v>
      </c>
      <c r="T94" s="59">
        <f t="shared" si="88"/>
        <v>299.04735309930152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116.67597315027561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116.67597315027561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9.9470000000000027</v>
      </c>
      <c r="AI94" s="13">
        <f>IF('Données projet'!$A$62&gt;35,AI93+AH94-AQ93,IF(A94&lt;'Données projet'!$A$62,$AF$205^A94,IF(A94='Données projet'!$A$62,'Données projet'!$B$62,AI93+AH94-AQ93)))</f>
        <v>385.2240000000001</v>
      </c>
      <c r="AJ94" s="13">
        <f>AI94*VLOOKUP('Données projet'!$B$10,Paramètres!$A$1:$I$89,3,0)*VLOOKUP('Données projet'!$B$10,Paramètres!$A$1:$I$89,5,0)</f>
        <v>390.61713600000013</v>
      </c>
      <c r="AK94" s="13">
        <f t="shared" si="89"/>
        <v>89.871813645441875</v>
      </c>
      <c r="AL94" s="20">
        <f t="shared" si="58"/>
        <v>836.85158729914474</v>
      </c>
      <c r="AM94" s="59">
        <f t="shared" si="59"/>
        <v>1111.5384141419897</v>
      </c>
      <c r="AN94" s="59">
        <f ca="1">AVERAGE(OFFSET($AM$3,0,0,'Données projet'!$E$10+1,1))-AVERAGE(OFFSET($H$3,0,0,'Données projet'!$E$10+1,1))</f>
        <v>626.09203985591455</v>
      </c>
      <c r="AO94" s="59">
        <f t="shared" si="90"/>
        <v>327.65191296575199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130.75755611668822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130.75755611668822</v>
      </c>
      <c r="AY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7.6</v>
      </c>
      <c r="BD94" s="12">
        <f>IF('Données projet'!$A$88&gt;35,BD93+BC94-BL93,IF(A94&lt;'Données projet'!$A$88,$BA$205^A94,IF(A94='Données projet'!$A$88,'Données projet'!$B$88,BD93+BC94-BL93)))</f>
        <v>358.59999999999985</v>
      </c>
      <c r="BE94" s="13">
        <f>BD94*VLOOKUP('Données projet'!$B$11,Paramètres!$A$1:$I$89,3,0)*VLOOKUP('Données projet'!$B$11,Paramètres!$A$1:$I$89,5,0)</f>
        <v>307.67879999999991</v>
      </c>
      <c r="BF94" s="13">
        <f t="shared" si="91"/>
        <v>72.783859383050768</v>
      </c>
      <c r="BG94" s="20">
        <f t="shared" si="61"/>
        <v>662.63913175881328</v>
      </c>
      <c r="BH94" s="59">
        <f t="shared" si="62"/>
        <v>937.32595860165839</v>
      </c>
      <c r="BI94" s="59">
        <f ca="1">AVERAGE(OFFSET($BH$3,0,0,'Données projet'!$E$11+1,1))-AVERAGE(OFFSET($H$3,0,0,'Données projet'!$E$11+1,1))</f>
        <v>481.23392184981651</v>
      </c>
      <c r="BJ94" s="59">
        <f t="shared" si="92"/>
        <v>275.88160405468193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100.33414462117011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100.33414462117011</v>
      </c>
      <c r="BT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>
        <f>VLOOKUP(A94,'Données projet'!$A$113:$I$133,2,0)</f>
        <v>531.72</v>
      </c>
      <c r="BW94" s="12">
        <f>VLOOKUP(A94,'Données projet'!$A$113:$I$133,9,0)</f>
        <v>13.233750000000001</v>
      </c>
      <c r="BX94" s="12">
        <f t="array" ref="BX94">INDEX(BW:BW,MIN(IF(ISNUMBER(BW94:BW290),ROW(BW94:BW290),"")))</f>
        <v>13.233750000000001</v>
      </c>
      <c r="BY94" s="12">
        <f>IF('Données projet'!$A$114&gt;35,BY93+BX94-CG93,IF(A94&lt;'Données projet'!$A$114,$BV$205^A94,IF(A94='Données projet'!$A$114,'Données projet'!$B$114,BY93+BX94-CG93)))</f>
        <v>531.71999999999935</v>
      </c>
      <c r="BZ94" s="13">
        <f>BY94*VLOOKUP('Données projet'!$B$12,Paramètres!$A$1:$I$89,3,0)*VLOOKUP('Données projet'!$B$12,Paramètres!$A$1:$I$89,5,0)</f>
        <v>248.8449599999997</v>
      </c>
      <c r="CA94" s="13">
        <f t="shared" si="93"/>
        <v>60.338539799248501</v>
      </c>
      <c r="CB94" s="20">
        <f t="shared" si="64"/>
        <v>538.49459548369055</v>
      </c>
      <c r="CC94" s="59">
        <f t="shared" si="65"/>
        <v>813.18142232653554</v>
      </c>
      <c r="CD94" s="59">
        <f ca="1">AVERAGE(OFFSET($CC$3,0,0,'Données projet'!$E$12+1,1))-AVERAGE(OFFSET($H$3,0,0,'Données projet'!$E$12+1,1))</f>
        <v>331.86732359395467</v>
      </c>
      <c r="CE94" s="59">
        <f t="shared" si="94"/>
        <v>208.64489375183106</v>
      </c>
      <c r="CF94" s="15">
        <f>IF(ISNA(VLOOKUP(A94,'Données projet'!$A$113:$I$133,3,0)),0,VLOOKUP(A94,'Données projet'!$A$113:$I$133,3,0))</f>
        <v>7</v>
      </c>
      <c r="CG94" s="15">
        <f>IF(ISNA(VLOOKUP(A94,'Données projet'!$A$113:$I$133,4,0)),0,VLOOKUP(A94,'Données projet'!$A$113:$I$133,4,0))</f>
        <v>260.64</v>
      </c>
      <c r="CH94" s="16">
        <f>IF(ISNA(VLOOKUP(A94,'Données projet'!$A$113:$I$133,5,0)),0%,VLOOKUP(A94,'Données projet'!$A$113:$I$133,5,0)*VLOOKUP('Données projet'!$B$12,Paramètres!$A$1:$I$89,7,0))</f>
        <v>0.55000000000000004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200.73961728817204</v>
      </c>
      <c r="CL94" s="21">
        <f>EXP(-LN(2)/25)*CL93+(1-EXP(-LN(2)/25))/(LN(2)/25)*Calculateur!CG94*Calculateur!CI94*VLOOKUP('Données projet'!$B$12,Paramètres!$A$1:$I$89,3,0)*0.475*44/12</f>
        <v>0</v>
      </c>
      <c r="CM94" s="21">
        <f>EXP(-LN(2)/2)*CM93+(1-EXP(-LN(2)/2))/(LN(2)/2)*CG94*CJ94*VLOOKUP('Données projet'!$B$12,Paramètres!$A$1:$I$89,3,0)*0.475*44/12</f>
        <v>0</v>
      </c>
      <c r="CN94" s="22">
        <f t="shared" si="66"/>
        <v>200.73961728817204</v>
      </c>
      <c r="CO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319</v>
      </c>
      <c r="CU94" s="17">
        <f>CT94*VLOOKUP('Données projet'!$B$13,Paramètres!$A$1:$I$89,3,0)*VLOOKUP('Données projet'!$B$13,Paramètres!$A$1:$I$89,5,0)</f>
        <v>233.89079999999998</v>
      </c>
      <c r="CV94" s="13">
        <f t="shared" si="95"/>
        <v>57.123140349023068</v>
      </c>
      <c r="CW94" s="20">
        <f t="shared" si="67"/>
        <v>506.84927944121517</v>
      </c>
      <c r="CX94" s="59">
        <f t="shared" si="68"/>
        <v>781.53610628406022</v>
      </c>
      <c r="CY94" s="59">
        <f ca="1">AVERAGE(OFFSET($CX$3,0,0,'Données projet'!$E$13+1,1))-AVERAGE(OFFSET($H$3,0,0,'Données projet'!$E$13+1,1))</f>
        <v>352.45777291109863</v>
      </c>
      <c r="CZ94" s="59">
        <f t="shared" si="96"/>
        <v>340.92165104349181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31.971506864944974</v>
      </c>
      <c r="DG94" s="21">
        <f>EXP(-LN(2)/25)*DG93+(1-EXP(-LN(2)/25))/(LN(2)/25)*Calculateur!DB94*Calculateur!DD94*VLOOKUP('Données projet'!$B$13,Paramètres!$A$1:$I$89,3,0)*0.475*44/12</f>
        <v>0</v>
      </c>
      <c r="DH94" s="21">
        <f>EXP(-LN(2)/2)*DH93+(1-EXP(-LN(2)/2))/(LN(2)/2)*DB94*DE94*VLOOKUP('Données projet'!$B$13,Paramètres!$A$1:$I$89,3,0)*0.475*44/12</f>
        <v>0</v>
      </c>
      <c r="DI94" s="22">
        <f t="shared" si="69"/>
        <v>31.971506864944974</v>
      </c>
      <c r="DJ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9.9470000000000027</v>
      </c>
      <c r="DO94" s="12">
        <f>IF('Données projet'!$A$166&gt;35,DO93+DN94-DW93,IF(A94&lt;'Données projet'!$A$166,$DL$205^A94,IF(A94='Données projet'!$A$166,'Données projet'!$B$166,DO93+DN94-DW93)))</f>
        <v>385.2240000000001</v>
      </c>
      <c r="DP94" s="17">
        <f>DO94*VLOOKUP('Données projet'!$B$14,Paramètres!$A$1:$I$89,3,0)*VLOOKUP('Données projet'!$B$14,Paramètres!$A$1:$I$89,5,0)</f>
        <v>258.40825920000003</v>
      </c>
      <c r="DQ94" s="13">
        <f t="shared" si="97"/>
        <v>62.382961972530694</v>
      </c>
      <c r="DR94" s="20">
        <f t="shared" si="70"/>
        <v>558.71137687549106</v>
      </c>
      <c r="DS94" s="59">
        <f t="shared" si="71"/>
        <v>833.39820371833616</v>
      </c>
      <c r="DT94" s="59">
        <f ca="1">AVERAGE(OFFSET($DS$3,0,0,'Données projet'!$E$14+1,1))-AVERAGE(OFFSET($H$3,0,0,'Données projet'!$E$14+1,1))</f>
        <v>441.20130048888439</v>
      </c>
      <c r="DU94" s="59">
        <f t="shared" si="98"/>
        <v>237.47732532183946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106.61769960283806</v>
      </c>
      <c r="EB94" s="21">
        <f>EXP(-LN(2)/25)*EB93+(1-EXP(-LN(2)/25))/(LN(2)/25)*Calculateur!DW94*Calculateur!DY94*VLOOKUP('Données projet'!$B$14,Paramètres!$A$1:$I$89,3,0)*0.475*44/12</f>
        <v>0</v>
      </c>
      <c r="EC94" s="21">
        <f>EXP(-LN(2)/2)*EC93+(1-EXP(-LN(2)/2))/(LN(2)/2)*DW94*DZ94*VLOOKUP('Données projet'!$B$14,Paramètres!$A$1:$I$89,3,0)*0.475*44/12</f>
        <v>0</v>
      </c>
      <c r="ED94" s="22">
        <f t="shared" si="72"/>
        <v>106.61769960283806</v>
      </c>
      <c r="EE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319</v>
      </c>
      <c r="EK94" s="17">
        <f>EJ94*VLOOKUP('Données projet'!$B$15,Paramètres!$A$1:$I$89,3,0)*VLOOKUP('Données projet'!$B$15,Paramètres!$A$1:$I$89,5,0)</f>
        <v>253.79640000000001</v>
      </c>
      <c r="EL94" s="13">
        <f t="shared" si="99"/>
        <v>61.39816832228076</v>
      </c>
      <c r="EM94" s="20">
        <f t="shared" si="73"/>
        <v>548.96387316130563</v>
      </c>
      <c r="EN94" s="59">
        <f t="shared" si="74"/>
        <v>823.65070000415062</v>
      </c>
      <c r="EO94" s="59">
        <f ca="1">AVERAGE(OFFSET($EN$3,0,0,'Données projet'!$E$15+1,1))-AVERAGE(OFFSET($H$3,0,0,'Données projet'!$E$15+1,1))</f>
        <v>377.27600411578322</v>
      </c>
      <c r="EP94" s="59">
        <f t="shared" si="100"/>
        <v>364.58250627635425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>
        <f>EXP(-LN(2)/35)*EV93+(1-EXP(-LN(2)/35))/(LN(2)/35)*ER94*ES94*VLOOKUP('Données projet'!$B$15,Paramètres!$A$1:$I$89,3,0)*0.475*44/12</f>
        <v>42.760506212739379</v>
      </c>
      <c r="EW94" s="21">
        <f>EXP(-LN(2)/25)*EW93+(1-EXP(-LN(2)/25))/(LN(2)/25)*Calculateur!ER94*Calculateur!ET94*VLOOKUP('Données projet'!$B$15,Paramètres!$A$1:$I$89,3,0)*0.475*44/12</f>
        <v>0</v>
      </c>
      <c r="EX94" s="21">
        <f>EXP(-LN(2)/2)*EX93+(1-EXP(-LN(2)/2))/(LN(2)/2)*ER94*EU94*VLOOKUP('Données projet'!$B$15,Paramètres!$A$1:$I$89,3,0)*0.475*44/12</f>
        <v>0</v>
      </c>
      <c r="EY94" s="22">
        <f t="shared" si="75"/>
        <v>42.760506212739379</v>
      </c>
      <c r="EZ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319</v>
      </c>
      <c r="FF94" s="17">
        <f>FE94*VLOOKUP('Données projet'!$B$16,Paramètres!$A$1:$I$89,3,0)*VLOOKUP('Données projet'!$B$16,Paramètres!$A$1:$I$89,5,0)</f>
        <v>258.77280000000002</v>
      </c>
      <c r="FG94" s="13">
        <f t="shared" si="101"/>
        <v>62.460716522234691</v>
      </c>
      <c r="FH94" s="20">
        <f t="shared" si="76"/>
        <v>559.48170794289206</v>
      </c>
      <c r="FI94" s="59">
        <f t="shared" si="77"/>
        <v>834.16853478573717</v>
      </c>
      <c r="FJ94" s="59">
        <f ca="1">AVERAGE(OFFSET($FI$3,0,0,'Données projet'!$E$16+1,1))-AVERAGE(OFFSET($H$3,0,0,'Données projet'!$E$16+1,1))</f>
        <v>383.47399633251354</v>
      </c>
      <c r="FK94" s="59">
        <f t="shared" si="102"/>
        <v>370.49129421395628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>
        <f>EXP(-LN(2)/35)*FQ93+(1-EXP(-LN(2)/35))/(LN(2)/35)*FM94*FN94*VLOOKUP('Données projet'!$B$16,Paramètres!$A$1:$I$89,3,0)*0.475*44/12</f>
        <v>43.598947511028413</v>
      </c>
      <c r="FR94" s="21">
        <f>EXP(-LN(2)/25)*FR93+(1-EXP(-LN(2)/25))/(LN(2)/25)*Calculateur!FM94*Calculateur!FO94*VLOOKUP('Données projet'!$B$16,Paramètres!$A$1:$I$89,3,0)*0.475*44/12</f>
        <v>0</v>
      </c>
      <c r="FS94" s="21">
        <f>EXP(-LN(2)/2)*FS93+(1-EXP(-LN(2)/2))/(LN(2)/2)*FM94*FP94*VLOOKUP('Données projet'!$B$16,Paramètres!$A$1:$I$89,3,0)*0.475*44/12</f>
        <v>0</v>
      </c>
      <c r="FT94" s="22">
        <f t="shared" si="78"/>
        <v>43.598947511028413</v>
      </c>
      <c r="FU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9.9470000000000027</v>
      </c>
      <c r="FZ94" s="12">
        <f>IF('Données projet'!$A$244&gt;35,FZ93+FY94-GH93,IF(A94&lt;'Données projet'!$A$244,$FW$205^A94,IF(A94='Données projet'!$A$244,'Données projet'!$B$244,FZ93+FY94-GH93)))</f>
        <v>385.2240000000001</v>
      </c>
      <c r="GA94" s="17">
        <f>FZ94*VLOOKUP('Données projet'!$B$17,Paramètres!$A$1:$I$89,3,0)*VLOOKUP('Données projet'!$B$17,Paramètres!$A$1:$I$89,5,0)</f>
        <v>366.5791584000001</v>
      </c>
      <c r="GB94" s="13">
        <f t="shared" si="103"/>
        <v>84.967082513452766</v>
      </c>
      <c r="GC94" s="20">
        <f t="shared" si="79"/>
        <v>786.44303625759687</v>
      </c>
      <c r="GD94" s="59">
        <f t="shared" si="80"/>
        <v>1061.129863100442</v>
      </c>
      <c r="GE94" s="59">
        <f ca="1">AVERAGE(OFFSET($GD$3,0,0,'Données projet'!$E$17+1,1))-AVERAGE(OFFSET($H$3,0,0,'Données projet'!$E$17+1,1))</f>
        <v>592.58528889137358</v>
      </c>
      <c r="GF94" s="59">
        <f t="shared" si="104"/>
        <v>311.31528020403709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>
        <f>EXP(-LN(2)/35)*GL93+(1-EXP(-LN(2)/35))/(LN(2)/35)*GH94*GI94*VLOOKUP('Données projet'!$B$17,Paramètres!$A$1:$I$89,3,0)*0.475*44/12</f>
        <v>122.71093727873816</v>
      </c>
      <c r="GM94" s="21">
        <f>EXP(-LN(2)/25)*GM93+(1-EXP(-LN(2)/25))/(LN(2)/25)*Calculateur!GH94*Calculateur!GJ94*VLOOKUP('Données projet'!$B$17,Paramètres!$A$1:$I$89,3,0)*0.475*44/12</f>
        <v>0</v>
      </c>
      <c r="GN94" s="21">
        <f>EXP(-LN(2)/2)*GN93+(1-EXP(-LN(2)/2))/(LN(2)/2)*GH94*GK94*VLOOKUP('Données projet'!$B$17,Paramètres!$A$1:$I$89,3,0)*0.475*44/12</f>
        <v>0</v>
      </c>
      <c r="GO94" s="21">
        <f t="shared" si="81"/>
        <v>122.71093727873816</v>
      </c>
      <c r="GP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328.00000000000006</v>
      </c>
      <c r="GV94" s="17">
        <f>GU94*VLOOKUP('Données projet'!$B$18,Paramètres!$A$1:$I$89,3,0)*VLOOKUP('Données projet'!$B$18,Paramètres!$A$1:$I$89,5,0)</f>
        <v>255.84000000000006</v>
      </c>
      <c r="GW94" s="13">
        <f t="shared" si="105"/>
        <v>61.834803371075836</v>
      </c>
      <c r="GX94" s="20">
        <f t="shared" si="82"/>
        <v>553.28361587129041</v>
      </c>
      <c r="GY94" s="59">
        <f t="shared" si="83"/>
        <v>827.97044271413552</v>
      </c>
      <c r="GZ94" s="59">
        <f ca="1">AVERAGE(OFFSET($GY$3,0,0,'Données projet'!$E$18+1,1))-AVERAGE(OFFSET($H$3,0,0,'Données projet'!$E$18+1,1))</f>
        <v>308.85018589589453</v>
      </c>
      <c r="HA94" s="59">
        <f t="shared" si="106"/>
        <v>302.59481222418219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>
        <f>EXP(-LN(2)/35)*HG93+(1-EXP(-LN(2)/35))/(LN(2)/35)*HC94*HD94*VLOOKUP('Données projet'!$B$18,Paramètres!$A$1:$I$89,3,0)*0.475*44/12</f>
        <v>32.586747132595853</v>
      </c>
      <c r="HH94" s="21">
        <f>EXP(-LN(2)/25)*HH93+(1-EXP(-LN(2)/25))/(LN(2)/25)*Calculateur!HC94*Calculateur!HE94*VLOOKUP('Données projet'!$B$18,Paramètres!$A$1:$I$89,3,0)*0.475*44/12</f>
        <v>0</v>
      </c>
      <c r="HI94" s="21">
        <f>EXP(-LN(2)/2)*HI93+(1-EXP(-LN(2)/2))/(LN(2)/2)*HC94*HF94*VLOOKUP('Données projet'!$B$18,Paramètres!$A$1:$I$89,3,0)*0.475*44/12</f>
        <v>0</v>
      </c>
      <c r="HJ94" s="22">
        <f t="shared" si="84"/>
        <v>32.586747132595853</v>
      </c>
    </row>
    <row r="95" spans="1:218" x14ac:dyDescent="0.35">
      <c r="A95" s="10">
        <f t="shared" si="85"/>
        <v>92</v>
      </c>
      <c r="B95" s="72">
        <f>'Scénario référence'!$B$16*5+'Scénario référence'!$B$17*0+'Scénario référence'!$B$18*5</f>
        <v>5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66">
        <f t="shared" si="56"/>
        <v>183.33333333333334</v>
      </c>
      <c r="I95" s="6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9.9470000000000027</v>
      </c>
      <c r="N95" s="13">
        <f>IF('Données projet'!$A$36&gt;35,N94+M95-V94,IF(A95&lt;'Données projet'!$A$36,$K$205^A95,IF(A95='Données projet'!$A$36,'Données projet'!$B$36,N94+M95-V94)))</f>
        <v>395.17100000000011</v>
      </c>
      <c r="O95" s="13">
        <f>N95*VLOOKUP('Données projet'!$B$9,Paramètres!$A$1:$I$89,3,0)*VLOOKUP('Données projet'!$B$9,Paramètres!$A$1:$I$89,5,0)</f>
        <v>357.55072080000008</v>
      </c>
      <c r="P95" s="13">
        <f t="shared" si="87"/>
        <v>83.115346428782544</v>
      </c>
      <c r="Q95" s="20">
        <f t="shared" si="54"/>
        <v>767.49340042346296</v>
      </c>
      <c r="R95" s="59">
        <f t="shared" si="55"/>
        <v>1042.5037024665746</v>
      </c>
      <c r="S95" s="59">
        <f ca="1">AVERAGE(OFFSET($R$3,0,0,'Données projet'!$E$9+1,1))-AVERAGE(OFFSET($H$3,0,0,'Données projet'!$E$9+1,1))</f>
        <v>567.42635821507474</v>
      </c>
      <c r="T95" s="59">
        <f t="shared" si="88"/>
        <v>299.04735309930152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114.38802848211533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114.38802848211533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9.9470000000000027</v>
      </c>
      <c r="AI95" s="13">
        <f>IF('Données projet'!$A$62&gt;35,AI94+AH95-AQ94,IF(A95&lt;'Données projet'!$A$62,$AF$205^A95,IF(A95='Données projet'!$A$62,'Données projet'!$B$62,AI94+AH95-AQ94)))</f>
        <v>395.17100000000011</v>
      </c>
      <c r="AJ95" s="13">
        <f>AI95*VLOOKUP('Données projet'!$B$10,Paramètres!$A$1:$I$89,3,0)*VLOOKUP('Données projet'!$B$10,Paramètres!$A$1:$I$89,5,0)</f>
        <v>400.70339400000012</v>
      </c>
      <c r="AK95" s="13">
        <f t="shared" si="89"/>
        <v>91.919252975163644</v>
      </c>
      <c r="AL95" s="20">
        <f t="shared" si="58"/>
        <v>857.9844434817436</v>
      </c>
      <c r="AM95" s="59">
        <f t="shared" si="59"/>
        <v>1132.9947455248553</v>
      </c>
      <c r="AN95" s="59">
        <f ca="1">AVERAGE(OFFSET($AM$3,0,0,'Données projet'!$E$10+1,1))-AVERAGE(OFFSET($H$3,0,0,'Données projet'!$E$10+1,1))</f>
        <v>626.09203985591455</v>
      </c>
      <c r="AO95" s="59">
        <f t="shared" si="90"/>
        <v>327.65191296575199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128.19348019547411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128.19348019547411</v>
      </c>
      <c r="AY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7.6</v>
      </c>
      <c r="BD95" s="12">
        <f>IF('Données projet'!$A$88&gt;35,BD94+BC95-BL94,IF(A95&lt;'Données projet'!$A$88,$BA$205^A95,IF(A95='Données projet'!$A$88,'Données projet'!$B$88,BD94+BC95-BL94)))</f>
        <v>366.19999999999987</v>
      </c>
      <c r="BE95" s="13">
        <f>BD95*VLOOKUP('Données projet'!$B$11,Paramètres!$A$1:$I$89,3,0)*VLOOKUP('Données projet'!$B$11,Paramètres!$A$1:$I$89,5,0)</f>
        <v>314.19959999999992</v>
      </c>
      <c r="BF95" s="13">
        <f t="shared" si="91"/>
        <v>74.145185764564587</v>
      </c>
      <c r="BG95" s="20">
        <f t="shared" si="61"/>
        <v>676.36716853994983</v>
      </c>
      <c r="BH95" s="59">
        <f t="shared" si="62"/>
        <v>951.37747058306149</v>
      </c>
      <c r="BI95" s="59">
        <f ca="1">AVERAGE(OFFSET($BH$3,0,0,'Données projet'!$E$11+1,1))-AVERAGE(OFFSET($H$3,0,0,'Données projet'!$E$11+1,1))</f>
        <v>481.23392184981651</v>
      </c>
      <c r="BJ95" s="59">
        <f t="shared" si="92"/>
        <v>275.88160405468193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98.366653242934404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98.366653242934404</v>
      </c>
      <c r="BT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8.5349999999999966</v>
      </c>
      <c r="BY95" s="12">
        <f>IF('Données projet'!$A$114&gt;35,BY94+BX95-CG94,IF(A95&lt;'Données projet'!$A$114,$BV$205^A95,IF(A95='Données projet'!$A$114,'Données projet'!$B$114,BY94+BX95-CG94)))</f>
        <v>279.61499999999933</v>
      </c>
      <c r="BZ95" s="13">
        <f>BY95*VLOOKUP('Données projet'!$B$12,Paramètres!$A$1:$I$89,3,0)*VLOOKUP('Données projet'!$B$12,Paramètres!$A$1:$I$89,5,0)</f>
        <v>130.8598199999997</v>
      </c>
      <c r="CA95" s="13">
        <f t="shared" si="93"/>
        <v>34.194962198471394</v>
      </c>
      <c r="CB95" s="20">
        <f t="shared" si="64"/>
        <v>287.47041232900375</v>
      </c>
      <c r="CC95" s="59">
        <f t="shared" si="65"/>
        <v>562.48071437211547</v>
      </c>
      <c r="CD95" s="59">
        <f ca="1">AVERAGE(OFFSET($CC$3,0,0,'Données projet'!$E$12+1,1))-AVERAGE(OFFSET($H$3,0,0,'Données projet'!$E$12+1,1))</f>
        <v>331.86732359395467</v>
      </c>
      <c r="CE95" s="59">
        <f t="shared" si="94"/>
        <v>208.64489375183106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196.80323583222767</v>
      </c>
      <c r="CL95" s="21">
        <f>EXP(-LN(2)/25)*CL94+(1-EXP(-LN(2)/25))/(LN(2)/25)*Calculateur!CG95*Calculateur!CI95*VLOOKUP('Données projet'!$B$12,Paramètres!$A$1:$I$89,3,0)*0.475*44/12</f>
        <v>0</v>
      </c>
      <c r="CM95" s="21">
        <f>EXP(-LN(2)/2)*CM94+(1-EXP(-LN(2)/2))/(LN(2)/2)*CG95*CJ95*VLOOKUP('Données projet'!$B$12,Paramètres!$A$1:$I$89,3,0)*0.475*44/12</f>
        <v>0</v>
      </c>
      <c r="CN95" s="22">
        <f t="shared" si="66"/>
        <v>196.80323583222767</v>
      </c>
      <c r="CO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319</v>
      </c>
      <c r="CU95" s="17">
        <f>CT95*VLOOKUP('Données projet'!$B$13,Paramètres!$A$1:$I$89,3,0)*VLOOKUP('Données projet'!$B$13,Paramètres!$A$1:$I$89,5,0)</f>
        <v>233.89079999999998</v>
      </c>
      <c r="CV95" s="13">
        <f t="shared" si="95"/>
        <v>57.123140349023068</v>
      </c>
      <c r="CW95" s="20">
        <f t="shared" si="67"/>
        <v>506.84927944121517</v>
      </c>
      <c r="CX95" s="59">
        <f t="shared" si="68"/>
        <v>781.8595814843269</v>
      </c>
      <c r="CY95" s="59">
        <f ca="1">AVERAGE(OFFSET($CX$3,0,0,'Données projet'!$E$13+1,1))-AVERAGE(OFFSET($H$3,0,0,'Données projet'!$E$13+1,1))</f>
        <v>352.45777291109863</v>
      </c>
      <c r="CZ95" s="59">
        <f t="shared" si="96"/>
        <v>340.92165104349181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31.344565116017058</v>
      </c>
      <c r="DG95" s="21">
        <f>EXP(-LN(2)/25)*DG94+(1-EXP(-LN(2)/25))/(LN(2)/25)*Calculateur!DB95*Calculateur!DD95*VLOOKUP('Données projet'!$B$13,Paramètres!$A$1:$I$89,3,0)*0.475*44/12</f>
        <v>0</v>
      </c>
      <c r="DH95" s="21">
        <f>EXP(-LN(2)/2)*DH94+(1-EXP(-LN(2)/2))/(LN(2)/2)*DB95*DE95*VLOOKUP('Données projet'!$B$13,Paramètres!$A$1:$I$89,3,0)*0.475*44/12</f>
        <v>0</v>
      </c>
      <c r="DI95" s="22">
        <f t="shared" si="69"/>
        <v>31.344565116017058</v>
      </c>
      <c r="DJ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9.9470000000000027</v>
      </c>
      <c r="DO95" s="12">
        <f>IF('Données projet'!$A$166&gt;35,DO94+DN95-DW94,IF(A95&lt;'Données projet'!$A$166,$DL$205^A95,IF(A95='Données projet'!$A$166,'Données projet'!$B$166,DO94+DN95-DW94)))</f>
        <v>395.17100000000011</v>
      </c>
      <c r="DP95" s="17">
        <f>DO95*VLOOKUP('Données projet'!$B$14,Paramètres!$A$1:$I$89,3,0)*VLOOKUP('Données projet'!$B$14,Paramètres!$A$1:$I$89,5,0)</f>
        <v>265.08070680000009</v>
      </c>
      <c r="DQ95" s="13">
        <f t="shared" si="97"/>
        <v>63.804156501340273</v>
      </c>
      <c r="DR95" s="20">
        <f t="shared" si="70"/>
        <v>572.80780358316781</v>
      </c>
      <c r="DS95" s="59">
        <f t="shared" si="71"/>
        <v>847.81810562627948</v>
      </c>
      <c r="DT95" s="59">
        <f ca="1">AVERAGE(OFFSET($DS$3,0,0,'Données projet'!$E$14+1,1))-AVERAGE(OFFSET($H$3,0,0,'Données projet'!$E$14+1,1))</f>
        <v>441.20130048888439</v>
      </c>
      <c r="DU95" s="59">
        <f t="shared" si="98"/>
        <v>237.47732532183946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104.52699154400194</v>
      </c>
      <c r="EB95" s="21">
        <f>EXP(-LN(2)/25)*EB94+(1-EXP(-LN(2)/25))/(LN(2)/25)*Calculateur!DW95*Calculateur!DY95*VLOOKUP('Données projet'!$B$14,Paramètres!$A$1:$I$89,3,0)*0.475*44/12</f>
        <v>0</v>
      </c>
      <c r="EC95" s="21">
        <f>EXP(-LN(2)/2)*EC94+(1-EXP(-LN(2)/2))/(LN(2)/2)*DW95*DZ95*VLOOKUP('Données projet'!$B$14,Paramètres!$A$1:$I$89,3,0)*0.475*44/12</f>
        <v>0</v>
      </c>
      <c r="ED95" s="22">
        <f t="shared" si="72"/>
        <v>104.52699154400194</v>
      </c>
      <c r="EE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319</v>
      </c>
      <c r="EK95" s="17">
        <f>EJ95*VLOOKUP('Données projet'!$B$15,Paramètres!$A$1:$I$89,3,0)*VLOOKUP('Données projet'!$B$15,Paramètres!$A$1:$I$89,5,0)</f>
        <v>253.79640000000001</v>
      </c>
      <c r="EL95" s="13">
        <f t="shared" si="99"/>
        <v>61.39816832228076</v>
      </c>
      <c r="EM95" s="20">
        <f t="shared" si="73"/>
        <v>548.96387316130563</v>
      </c>
      <c r="EN95" s="59">
        <f t="shared" si="74"/>
        <v>823.97417520441741</v>
      </c>
      <c r="EO95" s="59">
        <f ca="1">AVERAGE(OFFSET($EN$3,0,0,'Données projet'!$E$15+1,1))-AVERAGE(OFFSET($H$3,0,0,'Données projet'!$E$15+1,1))</f>
        <v>377.27600411578322</v>
      </c>
      <c r="EP95" s="59">
        <f t="shared" si="100"/>
        <v>364.58250627635425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>
        <f>EXP(-LN(2)/35)*EV94+(1-EXP(-LN(2)/35))/(LN(2)/35)*ER95*ES95*VLOOKUP('Données projet'!$B$15,Paramètres!$A$1:$I$89,3,0)*0.475*44/12</f>
        <v>41.921998767241035</v>
      </c>
      <c r="EW95" s="21">
        <f>EXP(-LN(2)/25)*EW94+(1-EXP(-LN(2)/25))/(LN(2)/25)*Calculateur!ER95*Calculateur!ET95*VLOOKUP('Données projet'!$B$15,Paramètres!$A$1:$I$89,3,0)*0.475*44/12</f>
        <v>0</v>
      </c>
      <c r="EX95" s="21">
        <f>EXP(-LN(2)/2)*EX94+(1-EXP(-LN(2)/2))/(LN(2)/2)*ER95*EU95*VLOOKUP('Données projet'!$B$15,Paramètres!$A$1:$I$89,3,0)*0.475*44/12</f>
        <v>0</v>
      </c>
      <c r="EY95" s="22">
        <f t="shared" si="75"/>
        <v>41.921998767241035</v>
      </c>
      <c r="EZ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319</v>
      </c>
      <c r="FF95" s="17">
        <f>FE95*VLOOKUP('Données projet'!$B$16,Paramètres!$A$1:$I$89,3,0)*VLOOKUP('Données projet'!$B$16,Paramètres!$A$1:$I$89,5,0)</f>
        <v>258.77280000000002</v>
      </c>
      <c r="FG95" s="13">
        <f t="shared" si="101"/>
        <v>62.460716522234691</v>
      </c>
      <c r="FH95" s="20">
        <f t="shared" si="76"/>
        <v>559.48170794289206</v>
      </c>
      <c r="FI95" s="59">
        <f t="shared" si="77"/>
        <v>834.49200998600372</v>
      </c>
      <c r="FJ95" s="59">
        <f ca="1">AVERAGE(OFFSET($FI$3,0,0,'Données projet'!$E$16+1,1))-AVERAGE(OFFSET($H$3,0,0,'Données projet'!$E$16+1,1))</f>
        <v>383.47399633251354</v>
      </c>
      <c r="FK95" s="59">
        <f t="shared" si="102"/>
        <v>370.49129421395628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>
        <f>EXP(-LN(2)/35)*FQ94+(1-EXP(-LN(2)/35))/(LN(2)/35)*FM95*FN95*VLOOKUP('Données projet'!$B$16,Paramètres!$A$1:$I$89,3,0)*0.475*44/12</f>
        <v>42.743998743069312</v>
      </c>
      <c r="FR95" s="21">
        <f>EXP(-LN(2)/25)*FR94+(1-EXP(-LN(2)/25))/(LN(2)/25)*Calculateur!FM95*Calculateur!FO95*VLOOKUP('Données projet'!$B$16,Paramètres!$A$1:$I$89,3,0)*0.475*44/12</f>
        <v>0</v>
      </c>
      <c r="FS95" s="21">
        <f>EXP(-LN(2)/2)*FS94+(1-EXP(-LN(2)/2))/(LN(2)/2)*FM95*FP95*VLOOKUP('Données projet'!$B$16,Paramètres!$A$1:$I$89,3,0)*0.475*44/12</f>
        <v>0</v>
      </c>
      <c r="FT95" s="22">
        <f t="shared" si="78"/>
        <v>42.743998743069312</v>
      </c>
      <c r="FU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9.9470000000000027</v>
      </c>
      <c r="FZ95" s="12">
        <f>IF('Données projet'!$A$244&gt;35,FZ94+FY95-GH94,IF(A95&lt;'Données projet'!$A$244,$FW$205^A95,IF(A95='Données projet'!$A$244,'Données projet'!$B$244,FZ94+FY95-GH94)))</f>
        <v>395.17100000000011</v>
      </c>
      <c r="GA95" s="17">
        <f>FZ95*VLOOKUP('Données projet'!$B$17,Paramètres!$A$1:$I$89,3,0)*VLOOKUP('Données projet'!$B$17,Paramètres!$A$1:$I$89,5,0)</f>
        <v>376.04472360000011</v>
      </c>
      <c r="GB95" s="13">
        <f t="shared" si="103"/>
        <v>86.90278336796186</v>
      </c>
      <c r="GC95" s="20">
        <f t="shared" si="79"/>
        <v>806.30024130253378</v>
      </c>
      <c r="GD95" s="59">
        <f t="shared" si="80"/>
        <v>1081.3105433456456</v>
      </c>
      <c r="GE95" s="59">
        <f ca="1">AVERAGE(OFFSET($GD$3,0,0,'Données projet'!$E$17+1,1))-AVERAGE(OFFSET($H$3,0,0,'Données projet'!$E$17+1,1))</f>
        <v>592.58528889137358</v>
      </c>
      <c r="GF95" s="59">
        <f t="shared" si="104"/>
        <v>311.31528020403709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>
        <f>EXP(-LN(2)/35)*GL94+(1-EXP(-LN(2)/35))/(LN(2)/35)*GH95*GI95*VLOOKUP('Données projet'!$B$17,Paramètres!$A$1:$I$89,3,0)*0.475*44/12</f>
        <v>120.30465064498338</v>
      </c>
      <c r="GM95" s="21">
        <f>EXP(-LN(2)/25)*GM94+(1-EXP(-LN(2)/25))/(LN(2)/25)*Calculateur!GH95*Calculateur!GJ95*VLOOKUP('Données projet'!$B$17,Paramètres!$A$1:$I$89,3,0)*0.475*44/12</f>
        <v>0</v>
      </c>
      <c r="GN95" s="21">
        <f>EXP(-LN(2)/2)*GN94+(1-EXP(-LN(2)/2))/(LN(2)/2)*GH95*GK95*VLOOKUP('Données projet'!$B$17,Paramètres!$A$1:$I$89,3,0)*0.475*44/12</f>
        <v>0</v>
      </c>
      <c r="GO95" s="21">
        <f t="shared" si="81"/>
        <v>120.30465064498338</v>
      </c>
      <c r="GP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328.00000000000006</v>
      </c>
      <c r="GV95" s="17">
        <f>GU95*VLOOKUP('Données projet'!$B$18,Paramètres!$A$1:$I$89,3,0)*VLOOKUP('Données projet'!$B$18,Paramètres!$A$1:$I$89,5,0)</f>
        <v>255.84000000000006</v>
      </c>
      <c r="GW95" s="13">
        <f t="shared" si="105"/>
        <v>61.834803371075836</v>
      </c>
      <c r="GX95" s="20">
        <f t="shared" si="82"/>
        <v>553.28361587129041</v>
      </c>
      <c r="GY95" s="59">
        <f t="shared" si="83"/>
        <v>828.29391791440207</v>
      </c>
      <c r="GZ95" s="59">
        <f ca="1">AVERAGE(OFFSET($GY$3,0,0,'Données projet'!$E$18+1,1))-AVERAGE(OFFSET($H$3,0,0,'Données projet'!$E$18+1,1))</f>
        <v>308.85018589589453</v>
      </c>
      <c r="HA95" s="59">
        <f t="shared" si="106"/>
        <v>302.59481222418219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>
        <f>EXP(-LN(2)/35)*HG94+(1-EXP(-LN(2)/35))/(LN(2)/35)*HC95*HD95*VLOOKUP('Données projet'!$B$18,Paramètres!$A$1:$I$89,3,0)*0.475*44/12</f>
        <v>31.947740897278813</v>
      </c>
      <c r="HH95" s="21">
        <f>EXP(-LN(2)/25)*HH94+(1-EXP(-LN(2)/25))/(LN(2)/25)*Calculateur!HC95*Calculateur!HE95*VLOOKUP('Données projet'!$B$18,Paramètres!$A$1:$I$89,3,0)*0.475*44/12</f>
        <v>0</v>
      </c>
      <c r="HI95" s="21">
        <f>EXP(-LN(2)/2)*HI94+(1-EXP(-LN(2)/2))/(LN(2)/2)*HC95*HF95*VLOOKUP('Données projet'!$B$18,Paramètres!$A$1:$I$89,3,0)*0.475*44/12</f>
        <v>0</v>
      </c>
      <c r="HJ95" s="22">
        <f t="shared" si="84"/>
        <v>31.947740897278813</v>
      </c>
    </row>
    <row r="96" spans="1:218" x14ac:dyDescent="0.35">
      <c r="A96" s="10">
        <f t="shared" si="85"/>
        <v>93</v>
      </c>
      <c r="B96" s="72">
        <f>'Scénario référence'!$B$16*5+'Scénario référence'!$B$17*0+'Scénario référence'!$B$18*5</f>
        <v>5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66">
        <f t="shared" si="56"/>
        <v>183.33333333333334</v>
      </c>
      <c r="I96" s="6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9.9470000000000027</v>
      </c>
      <c r="N96" s="13">
        <f>IF('Données projet'!$A$36&gt;35,N95+M96-V95,IF(A96&lt;'Données projet'!$A$36,$K$205^A96,IF(A96='Données projet'!$A$36,'Données projet'!$B$36,N95+M96-V95)))</f>
        <v>405.11800000000011</v>
      </c>
      <c r="O96" s="13">
        <f>N96*VLOOKUP('Données projet'!$B$9,Paramètres!$A$1:$I$89,3,0)*VLOOKUP('Données projet'!$B$9,Paramètres!$A$1:$I$89,5,0)</f>
        <v>366.5507664000001</v>
      </c>
      <c r="P96" s="13">
        <f t="shared" si="87"/>
        <v>84.961267689272873</v>
      </c>
      <c r="Q96" s="20">
        <f t="shared" si="54"/>
        <v>786.38345937215036</v>
      </c>
      <c r="R96" s="59">
        <f t="shared" si="55"/>
        <v>1061.7116250439863</v>
      </c>
      <c r="S96" s="59">
        <f ca="1">AVERAGE(OFFSET($R$3,0,0,'Données projet'!$E$9+1,1))-AVERAGE(OFFSET($H$3,0,0,'Données projet'!$E$9+1,1))</f>
        <v>567.42635821507474</v>
      </c>
      <c r="T96" s="59">
        <f t="shared" si="88"/>
        <v>299.04735309930152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112.14494901338922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112.14494901338922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9.9470000000000027</v>
      </c>
      <c r="AI96" s="13">
        <f>IF('Données projet'!$A$62&gt;35,AI95+AH96-AQ95,IF(A96&lt;'Données projet'!$A$62,$AF$205^A96,IF(A96='Données projet'!$A$62,'Données projet'!$B$62,AI95+AH96-AQ95)))</f>
        <v>405.11800000000011</v>
      </c>
      <c r="AJ96" s="13">
        <f>AI96*VLOOKUP('Données projet'!$B$10,Paramètres!$A$1:$I$89,3,0)*VLOOKUP('Données projet'!$B$10,Paramètres!$A$1:$I$89,5,0)</f>
        <v>410.7896520000001</v>
      </c>
      <c r="AK96" s="13">
        <f t="shared" si="89"/>
        <v>93.960701523544898</v>
      </c>
      <c r="AL96" s="20">
        <f t="shared" si="58"/>
        <v>879.10686572017414</v>
      </c>
      <c r="AM96" s="59">
        <f t="shared" si="59"/>
        <v>1154.4350313920102</v>
      </c>
      <c r="AN96" s="59">
        <f ca="1">AVERAGE(OFFSET($AM$3,0,0,'Données projet'!$E$10+1,1))-AVERAGE(OFFSET($H$3,0,0,'Données projet'!$E$10+1,1))</f>
        <v>626.09203985591455</v>
      </c>
      <c r="AO96" s="59">
        <f t="shared" si="90"/>
        <v>327.65191296575199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125.67968423914313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125.67968423914313</v>
      </c>
      <c r="AY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7.6</v>
      </c>
      <c r="BD96" s="12">
        <f>IF('Données projet'!$A$88&gt;35,BD95+BC96-BL95,IF(A96&lt;'Données projet'!$A$88,$BA$205^A96,IF(A96='Données projet'!$A$88,'Données projet'!$B$88,BD95+BC96-BL95)))</f>
        <v>373.7999999999999</v>
      </c>
      <c r="BE96" s="13">
        <f>BD96*VLOOKUP('Données projet'!$B$11,Paramètres!$A$1:$I$89,3,0)*VLOOKUP('Données projet'!$B$11,Paramètres!$A$1:$I$89,5,0)</f>
        <v>320.72039999999993</v>
      </c>
      <c r="BF96" s="13">
        <f t="shared" si="91"/>
        <v>75.503227270035708</v>
      </c>
      <c r="BG96" s="20">
        <f t="shared" si="61"/>
        <v>690.0894841619787</v>
      </c>
      <c r="BH96" s="59">
        <f t="shared" si="62"/>
        <v>965.41764983381472</v>
      </c>
      <c r="BI96" s="59">
        <f ca="1">AVERAGE(OFFSET($BH$3,0,0,'Données projet'!$E$11+1,1))-AVERAGE(OFFSET($H$3,0,0,'Données projet'!$E$11+1,1))</f>
        <v>481.23392184981651</v>
      </c>
      <c r="BJ96" s="59">
        <f t="shared" si="92"/>
        <v>275.88160405468193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96.437743170574649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96.437743170574649</v>
      </c>
      <c r="BT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8.5349999999999966</v>
      </c>
      <c r="BY96" s="12">
        <f>IF('Données projet'!$A$114&gt;35,BY95+BX96-CG95,IF(A96&lt;'Données projet'!$A$114,$BV$205^A96,IF(A96='Données projet'!$A$114,'Données projet'!$B$114,BY95+BX96-CG95)))</f>
        <v>288.1499999999993</v>
      </c>
      <c r="BZ96" s="13">
        <f>BY96*VLOOKUP('Données projet'!$B$12,Paramètres!$A$1:$I$89,3,0)*VLOOKUP('Données projet'!$B$12,Paramètres!$A$1:$I$89,5,0)</f>
        <v>134.85419999999968</v>
      </c>
      <c r="CA96" s="13">
        <f t="shared" si="93"/>
        <v>35.115618062108894</v>
      </c>
      <c r="CB96" s="20">
        <f t="shared" si="64"/>
        <v>296.03076645817242</v>
      </c>
      <c r="CC96" s="59">
        <f t="shared" si="65"/>
        <v>571.35893213000838</v>
      </c>
      <c r="CD96" s="59">
        <f ca="1">AVERAGE(OFFSET($CC$3,0,0,'Données projet'!$E$12+1,1))-AVERAGE(OFFSET($H$3,0,0,'Données projet'!$E$12+1,1))</f>
        <v>331.86732359395467</v>
      </c>
      <c r="CE96" s="59">
        <f t="shared" si="94"/>
        <v>208.64489375183106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192.94404441567877</v>
      </c>
      <c r="CL96" s="21">
        <f>EXP(-LN(2)/25)*CL95+(1-EXP(-LN(2)/25))/(LN(2)/25)*Calculateur!CG96*Calculateur!CI96*VLOOKUP('Données projet'!$B$12,Paramètres!$A$1:$I$89,3,0)*0.475*44/12</f>
        <v>0</v>
      </c>
      <c r="CM96" s="21">
        <f>EXP(-LN(2)/2)*CM95+(1-EXP(-LN(2)/2))/(LN(2)/2)*CG96*CJ96*VLOOKUP('Données projet'!$B$12,Paramètres!$A$1:$I$89,3,0)*0.475*44/12</f>
        <v>0</v>
      </c>
      <c r="CN96" s="22">
        <f t="shared" si="66"/>
        <v>192.94404441567877</v>
      </c>
      <c r="CO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319</v>
      </c>
      <c r="CU96" s="17">
        <f>CT96*VLOOKUP('Données projet'!$B$13,Paramètres!$A$1:$I$89,3,0)*VLOOKUP('Données projet'!$B$13,Paramètres!$A$1:$I$89,5,0)</f>
        <v>233.89079999999998</v>
      </c>
      <c r="CV96" s="13">
        <f t="shared" si="95"/>
        <v>57.123140349023068</v>
      </c>
      <c r="CW96" s="20">
        <f t="shared" si="67"/>
        <v>506.84927944121517</v>
      </c>
      <c r="CX96" s="59">
        <f t="shared" si="68"/>
        <v>782.17744511305114</v>
      </c>
      <c r="CY96" s="59">
        <f ca="1">AVERAGE(OFFSET($CX$3,0,0,'Données projet'!$E$13+1,1))-AVERAGE(OFFSET($H$3,0,0,'Données projet'!$E$13+1,1))</f>
        <v>352.45777291109863</v>
      </c>
      <c r="CZ96" s="59">
        <f t="shared" si="96"/>
        <v>340.92165104349181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30.72991731238891</v>
      </c>
      <c r="DG96" s="21">
        <f>EXP(-LN(2)/25)*DG95+(1-EXP(-LN(2)/25))/(LN(2)/25)*Calculateur!DB96*Calculateur!DD96*VLOOKUP('Données projet'!$B$13,Paramètres!$A$1:$I$89,3,0)*0.475*44/12</f>
        <v>0</v>
      </c>
      <c r="DH96" s="21">
        <f>EXP(-LN(2)/2)*DH95+(1-EXP(-LN(2)/2))/(LN(2)/2)*DB96*DE96*VLOOKUP('Données projet'!$B$13,Paramètres!$A$1:$I$89,3,0)*0.475*44/12</f>
        <v>0</v>
      </c>
      <c r="DI96" s="22">
        <f t="shared" si="69"/>
        <v>30.72991731238891</v>
      </c>
      <c r="DJ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9.9470000000000027</v>
      </c>
      <c r="DO96" s="12">
        <f>IF('Données projet'!$A$166&gt;35,DO95+DN96-DW95,IF(A96&lt;'Données projet'!$A$166,$DL$205^A96,IF(A96='Données projet'!$A$166,'Données projet'!$B$166,DO95+DN96-DW95)))</f>
        <v>405.11800000000011</v>
      </c>
      <c r="DP96" s="17">
        <f>DO96*VLOOKUP('Données projet'!$B$14,Paramètres!$A$1:$I$89,3,0)*VLOOKUP('Données projet'!$B$14,Paramètres!$A$1:$I$89,5,0)</f>
        <v>271.75315440000008</v>
      </c>
      <c r="DQ96" s="13">
        <f t="shared" si="97"/>
        <v>65.221192633102035</v>
      </c>
      <c r="DR96" s="20">
        <f t="shared" si="70"/>
        <v>586.89698774931946</v>
      </c>
      <c r="DS96" s="59">
        <f t="shared" si="71"/>
        <v>862.22515342115548</v>
      </c>
      <c r="DT96" s="59">
        <f ca="1">AVERAGE(OFFSET($DS$3,0,0,'Données projet'!$E$14+1,1))-AVERAGE(OFFSET($H$3,0,0,'Données projet'!$E$14+1,1))</f>
        <v>441.20130048888439</v>
      </c>
      <c r="DU96" s="59">
        <f t="shared" si="98"/>
        <v>237.47732532183946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102.47728099499361</v>
      </c>
      <c r="EB96" s="21">
        <f>EXP(-LN(2)/25)*EB95+(1-EXP(-LN(2)/25))/(LN(2)/25)*Calculateur!DW96*Calculateur!DY96*VLOOKUP('Données projet'!$B$14,Paramètres!$A$1:$I$89,3,0)*0.475*44/12</f>
        <v>0</v>
      </c>
      <c r="EC96" s="21">
        <f>EXP(-LN(2)/2)*EC95+(1-EXP(-LN(2)/2))/(LN(2)/2)*DW96*DZ96*VLOOKUP('Données projet'!$B$14,Paramètres!$A$1:$I$89,3,0)*0.475*44/12</f>
        <v>0</v>
      </c>
      <c r="ED96" s="22">
        <f t="shared" si="72"/>
        <v>102.47728099499361</v>
      </c>
      <c r="EE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319</v>
      </c>
      <c r="EK96" s="17">
        <f>EJ96*VLOOKUP('Données projet'!$B$15,Paramètres!$A$1:$I$89,3,0)*VLOOKUP('Données projet'!$B$15,Paramètres!$A$1:$I$89,5,0)</f>
        <v>253.79640000000001</v>
      </c>
      <c r="EL96" s="13">
        <f t="shared" si="99"/>
        <v>61.39816832228076</v>
      </c>
      <c r="EM96" s="20">
        <f t="shared" si="73"/>
        <v>548.96387316130563</v>
      </c>
      <c r="EN96" s="59">
        <f t="shared" si="74"/>
        <v>824.29203883314153</v>
      </c>
      <c r="EO96" s="59">
        <f ca="1">AVERAGE(OFFSET($EN$3,0,0,'Données projet'!$E$15+1,1))-AVERAGE(OFFSET($H$3,0,0,'Données projet'!$E$15+1,1))</f>
        <v>377.27600411578322</v>
      </c>
      <c r="EP96" s="59">
        <f t="shared" si="100"/>
        <v>364.58250627635425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>
        <f>EXP(-LN(2)/35)*EV95+(1-EXP(-LN(2)/35))/(LN(2)/35)*ER96*ES96*VLOOKUP('Données projet'!$B$15,Paramètres!$A$1:$I$89,3,0)*0.475*44/12</f>
        <v>41.099933941309871</v>
      </c>
      <c r="EW96" s="21">
        <f>EXP(-LN(2)/25)*EW95+(1-EXP(-LN(2)/25))/(LN(2)/25)*Calculateur!ER96*Calculateur!ET96*VLOOKUP('Données projet'!$B$15,Paramètres!$A$1:$I$89,3,0)*0.475*44/12</f>
        <v>0</v>
      </c>
      <c r="EX96" s="21">
        <f>EXP(-LN(2)/2)*EX95+(1-EXP(-LN(2)/2))/(LN(2)/2)*ER96*EU96*VLOOKUP('Données projet'!$B$15,Paramètres!$A$1:$I$89,3,0)*0.475*44/12</f>
        <v>0</v>
      </c>
      <c r="EY96" s="22">
        <f t="shared" si="75"/>
        <v>41.099933941309871</v>
      </c>
      <c r="EZ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319</v>
      </c>
      <c r="FF96" s="17">
        <f>FE96*VLOOKUP('Données projet'!$B$16,Paramètres!$A$1:$I$89,3,0)*VLOOKUP('Données projet'!$B$16,Paramètres!$A$1:$I$89,5,0)</f>
        <v>258.77280000000002</v>
      </c>
      <c r="FG96" s="13">
        <f t="shared" si="101"/>
        <v>62.460716522234691</v>
      </c>
      <c r="FH96" s="20">
        <f t="shared" si="76"/>
        <v>559.48170794289206</v>
      </c>
      <c r="FI96" s="59">
        <f t="shared" si="77"/>
        <v>834.80987361472808</v>
      </c>
      <c r="FJ96" s="59">
        <f ca="1">AVERAGE(OFFSET($FI$3,0,0,'Données projet'!$E$16+1,1))-AVERAGE(OFFSET($H$3,0,0,'Données projet'!$E$16+1,1))</f>
        <v>383.47399633251354</v>
      </c>
      <c r="FK96" s="59">
        <f t="shared" si="102"/>
        <v>370.49129421395628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>
        <f>EXP(-LN(2)/35)*FQ95+(1-EXP(-LN(2)/35))/(LN(2)/35)*FM96*FN96*VLOOKUP('Données projet'!$B$16,Paramètres!$A$1:$I$89,3,0)*0.475*44/12</f>
        <v>41.905814998982635</v>
      </c>
      <c r="FR96" s="21">
        <f>EXP(-LN(2)/25)*FR95+(1-EXP(-LN(2)/25))/(LN(2)/25)*Calculateur!FM96*Calculateur!FO96*VLOOKUP('Données projet'!$B$16,Paramètres!$A$1:$I$89,3,0)*0.475*44/12</f>
        <v>0</v>
      </c>
      <c r="FS96" s="21">
        <f>EXP(-LN(2)/2)*FS95+(1-EXP(-LN(2)/2))/(LN(2)/2)*FM96*FP96*VLOOKUP('Données projet'!$B$16,Paramètres!$A$1:$I$89,3,0)*0.475*44/12</f>
        <v>0</v>
      </c>
      <c r="FT96" s="22">
        <f t="shared" si="78"/>
        <v>41.905814998982635</v>
      </c>
      <c r="FU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9.9470000000000027</v>
      </c>
      <c r="FZ96" s="12">
        <f>IF('Données projet'!$A$244&gt;35,FZ95+FY96-GH95,IF(A96&lt;'Données projet'!$A$244,$FW$205^A96,IF(A96='Données projet'!$A$244,'Données projet'!$B$244,FZ95+FY96-GH95)))</f>
        <v>405.11800000000011</v>
      </c>
      <c r="GA96" s="17">
        <f>FZ96*VLOOKUP('Données projet'!$B$17,Paramètres!$A$1:$I$89,3,0)*VLOOKUP('Données projet'!$B$17,Paramètres!$A$1:$I$89,5,0)</f>
        <v>385.51028880000013</v>
      </c>
      <c r="GB96" s="13">
        <f t="shared" si="103"/>
        <v>88.832820386482439</v>
      </c>
      <c r="GC96" s="20">
        <f t="shared" si="79"/>
        <v>826.14758183312381</v>
      </c>
      <c r="GD96" s="59">
        <f t="shared" si="80"/>
        <v>1101.4757475049598</v>
      </c>
      <c r="GE96" s="59">
        <f ca="1">AVERAGE(OFFSET($GD$3,0,0,'Données projet'!$E$17+1,1))-AVERAGE(OFFSET($H$3,0,0,'Données projet'!$E$17+1,1))</f>
        <v>592.58528889137358</v>
      </c>
      <c r="GF96" s="59">
        <f t="shared" si="104"/>
        <v>311.31528020403709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>
        <f>EXP(-LN(2)/35)*GL95+(1-EXP(-LN(2)/35))/(LN(2)/35)*GH96*GI96*VLOOKUP('Données projet'!$B$17,Paramètres!$A$1:$I$89,3,0)*0.475*44/12</f>
        <v>117.94554982442662</v>
      </c>
      <c r="GM96" s="21">
        <f>EXP(-LN(2)/25)*GM95+(1-EXP(-LN(2)/25))/(LN(2)/25)*Calculateur!GH96*Calculateur!GJ96*VLOOKUP('Données projet'!$B$17,Paramètres!$A$1:$I$89,3,0)*0.475*44/12</f>
        <v>0</v>
      </c>
      <c r="GN96" s="21">
        <f>EXP(-LN(2)/2)*GN95+(1-EXP(-LN(2)/2))/(LN(2)/2)*GH96*GK96*VLOOKUP('Données projet'!$B$17,Paramètres!$A$1:$I$89,3,0)*0.475*44/12</f>
        <v>0</v>
      </c>
      <c r="GO96" s="21">
        <f t="shared" si="81"/>
        <v>117.94554982442662</v>
      </c>
      <c r="GP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328.00000000000006</v>
      </c>
      <c r="GV96" s="17">
        <f>GU96*VLOOKUP('Données projet'!$B$18,Paramètres!$A$1:$I$89,3,0)*VLOOKUP('Données projet'!$B$18,Paramètres!$A$1:$I$89,5,0)</f>
        <v>255.84000000000006</v>
      </c>
      <c r="GW96" s="13">
        <f t="shared" si="105"/>
        <v>61.834803371075836</v>
      </c>
      <c r="GX96" s="20">
        <f t="shared" si="82"/>
        <v>553.28361587129041</v>
      </c>
      <c r="GY96" s="59">
        <f t="shared" si="83"/>
        <v>828.61178154312643</v>
      </c>
      <c r="GZ96" s="59">
        <f ca="1">AVERAGE(OFFSET($GY$3,0,0,'Données projet'!$E$18+1,1))-AVERAGE(OFFSET($H$3,0,0,'Données projet'!$E$18+1,1))</f>
        <v>308.85018589589453</v>
      </c>
      <c r="HA96" s="59">
        <f t="shared" si="106"/>
        <v>302.59481222418219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>
        <f>EXP(-LN(2)/35)*HG95+(1-EXP(-LN(2)/35))/(LN(2)/35)*HC96*HD96*VLOOKUP('Données projet'!$B$18,Paramètres!$A$1:$I$89,3,0)*0.475*44/12</f>
        <v>31.321265184481021</v>
      </c>
      <c r="HH96" s="21">
        <f>EXP(-LN(2)/25)*HH95+(1-EXP(-LN(2)/25))/(LN(2)/25)*Calculateur!HC96*Calculateur!HE96*VLOOKUP('Données projet'!$B$18,Paramètres!$A$1:$I$89,3,0)*0.475*44/12</f>
        <v>0</v>
      </c>
      <c r="HI96" s="21">
        <f>EXP(-LN(2)/2)*HI95+(1-EXP(-LN(2)/2))/(LN(2)/2)*HC96*HF96*VLOOKUP('Données projet'!$B$18,Paramètres!$A$1:$I$89,3,0)*0.475*44/12</f>
        <v>0</v>
      </c>
      <c r="HJ96" s="22">
        <f t="shared" si="84"/>
        <v>31.321265184481021</v>
      </c>
    </row>
    <row r="97" spans="1:218" x14ac:dyDescent="0.35">
      <c r="A97" s="10">
        <f t="shared" si="85"/>
        <v>94</v>
      </c>
      <c r="B97" s="72">
        <f>'Scénario référence'!$B$16*5+'Scénario référence'!$B$17*0+'Scénario référence'!$B$18*5</f>
        <v>5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66">
        <f t="shared" si="56"/>
        <v>183.33333333333334</v>
      </c>
      <c r="I97" s="6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9.9470000000000027</v>
      </c>
      <c r="N97" s="13">
        <f>IF('Données projet'!$A$36&gt;35,N96+M97-V96,IF(A97&lt;'Données projet'!$A$36,$K$205^A97,IF(A97='Données projet'!$A$36,'Données projet'!$B$36,N96+M97-V96)))</f>
        <v>415.06500000000011</v>
      </c>
      <c r="O97" s="13">
        <f>N97*VLOOKUP('Données projet'!$B$9,Paramètres!$A$1:$I$89,3,0)*VLOOKUP('Données projet'!$B$9,Paramètres!$A$1:$I$89,5,0)</f>
        <v>375.55081200000006</v>
      </c>
      <c r="P97" s="13">
        <f t="shared" si="87"/>
        <v>86.801920262883286</v>
      </c>
      <c r="Q97" s="20">
        <f t="shared" si="54"/>
        <v>805.26434202452174</v>
      </c>
      <c r="R97" s="59">
        <f t="shared" si="55"/>
        <v>1080.9048571017602</v>
      </c>
      <c r="S97" s="59">
        <f ca="1">AVERAGE(OFFSET($R$3,0,0,'Données projet'!$E$9+1,1))-AVERAGE(OFFSET($H$3,0,0,'Données projet'!$E$9+1,1))</f>
        <v>567.42635821507474</v>
      </c>
      <c r="T97" s="59">
        <f t="shared" si="88"/>
        <v>299.04735309930152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109.94585496490146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109.94585496490146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9.9470000000000027</v>
      </c>
      <c r="AI97" s="13">
        <f>IF('Données projet'!$A$62&gt;35,AI96+AH97-AQ96,IF(A97&lt;'Données projet'!$A$62,$AF$205^A97,IF(A97='Données projet'!$A$62,'Données projet'!$B$62,AI96+AH97-AQ96)))</f>
        <v>415.06500000000011</v>
      </c>
      <c r="AJ97" s="13">
        <f>AI97*VLOOKUP('Données projet'!$B$10,Paramètres!$A$1:$I$89,3,0)*VLOOKUP('Données projet'!$B$10,Paramètres!$A$1:$I$89,5,0)</f>
        <v>420.87591000000015</v>
      </c>
      <c r="AK97" s="13">
        <f t="shared" si="89"/>
        <v>95.996323304873258</v>
      </c>
      <c r="AL97" s="20">
        <f t="shared" si="58"/>
        <v>900.21913967265436</v>
      </c>
      <c r="AM97" s="59">
        <f t="shared" si="59"/>
        <v>1175.8596547498928</v>
      </c>
      <c r="AN97" s="59">
        <f ca="1">AVERAGE(OFFSET($AM$3,0,0,'Données projet'!$E$10+1,1))-AVERAGE(OFFSET($H$3,0,0,'Données projet'!$E$10+1,1))</f>
        <v>626.09203985591455</v>
      </c>
      <c r="AO97" s="59">
        <f t="shared" si="90"/>
        <v>327.65191296575199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123.21518228825167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123.21518228825167</v>
      </c>
      <c r="AY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7.6</v>
      </c>
      <c r="BD97" s="12">
        <f>IF('Données projet'!$A$88&gt;35,BD96+BC97-BL96,IF(A97&lt;'Données projet'!$A$88,$BA$205^A97,IF(A97='Données projet'!$A$88,'Données projet'!$B$88,BD96+BC97-BL96)))</f>
        <v>381.39999999999992</v>
      </c>
      <c r="BE97" s="13">
        <f>BD97*VLOOKUP('Données projet'!$B$11,Paramètres!$A$1:$I$89,3,0)*VLOOKUP('Données projet'!$B$11,Paramètres!$A$1:$I$89,5,0)</f>
        <v>327.24119999999999</v>
      </c>
      <c r="BF97" s="13">
        <f t="shared" si="91"/>
        <v>76.85805838290122</v>
      </c>
      <c r="BG97" s="20">
        <f t="shared" si="61"/>
        <v>703.80620835021955</v>
      </c>
      <c r="BH97" s="59">
        <f t="shared" si="62"/>
        <v>979.44672342745798</v>
      </c>
      <c r="BI97" s="59">
        <f ca="1">AVERAGE(OFFSET($BH$3,0,0,'Données projet'!$E$11+1,1))-AVERAGE(OFFSET($H$3,0,0,'Données projet'!$E$11+1,1))</f>
        <v>481.23392184981651</v>
      </c>
      <c r="BJ97" s="59">
        <f t="shared" si="92"/>
        <v>275.88160405468193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94.546657848214906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94.546657848214906</v>
      </c>
      <c r="BT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8.5349999999999966</v>
      </c>
      <c r="BY97" s="12">
        <f>IF('Données projet'!$A$114&gt;35,BY96+BX97-CG96,IF(A97&lt;'Données projet'!$A$114,$BV$205^A97,IF(A97='Données projet'!$A$114,'Données projet'!$B$114,BY96+BX97-CG96)))</f>
        <v>296.68499999999926</v>
      </c>
      <c r="BZ97" s="13">
        <f>BY97*VLOOKUP('Données projet'!$B$12,Paramètres!$A$1:$I$89,3,0)*VLOOKUP('Données projet'!$B$12,Paramètres!$A$1:$I$89,5,0)</f>
        <v>138.84857999999966</v>
      </c>
      <c r="CA97" s="13">
        <f t="shared" si="93"/>
        <v>36.033104695067792</v>
      </c>
      <c r="CB97" s="20">
        <f t="shared" si="64"/>
        <v>304.58560084390916</v>
      </c>
      <c r="CC97" s="59">
        <f t="shared" si="65"/>
        <v>580.22611592114765</v>
      </c>
      <c r="CD97" s="59">
        <f ca="1">AVERAGE(OFFSET($CC$3,0,0,'Données projet'!$E$12+1,1))-AVERAGE(OFFSET($H$3,0,0,'Données projet'!$E$12+1,1))</f>
        <v>331.86732359395467</v>
      </c>
      <c r="CE97" s="59">
        <f t="shared" si="94"/>
        <v>208.64489375183106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189.16052938893407</v>
      </c>
      <c r="CL97" s="21">
        <f>EXP(-LN(2)/25)*CL96+(1-EXP(-LN(2)/25))/(LN(2)/25)*Calculateur!CG97*Calculateur!CI97*VLOOKUP('Données projet'!$B$12,Paramètres!$A$1:$I$89,3,0)*0.475*44/12</f>
        <v>0</v>
      </c>
      <c r="CM97" s="21">
        <f>EXP(-LN(2)/2)*CM96+(1-EXP(-LN(2)/2))/(LN(2)/2)*CG97*CJ97*VLOOKUP('Données projet'!$B$12,Paramètres!$A$1:$I$89,3,0)*0.475*44/12</f>
        <v>0</v>
      </c>
      <c r="CN97" s="22">
        <f t="shared" si="66"/>
        <v>189.16052938893407</v>
      </c>
      <c r="CO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319</v>
      </c>
      <c r="CU97" s="17">
        <f>CT97*VLOOKUP('Données projet'!$B$13,Paramètres!$A$1:$I$89,3,0)*VLOOKUP('Données projet'!$B$13,Paramètres!$A$1:$I$89,5,0)</f>
        <v>233.89079999999998</v>
      </c>
      <c r="CV97" s="13">
        <f t="shared" si="95"/>
        <v>57.123140349023068</v>
      </c>
      <c r="CW97" s="20">
        <f t="shared" si="67"/>
        <v>506.84927944121517</v>
      </c>
      <c r="CX97" s="59">
        <f t="shared" si="68"/>
        <v>782.48979451845366</v>
      </c>
      <c r="CY97" s="59">
        <f ca="1">AVERAGE(OFFSET($CX$3,0,0,'Données projet'!$E$13+1,1))-AVERAGE(OFFSET($H$3,0,0,'Données projet'!$E$13+1,1))</f>
        <v>352.45777291109863</v>
      </c>
      <c r="CZ97" s="59">
        <f t="shared" si="96"/>
        <v>340.92165104349181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30.127322377291765</v>
      </c>
      <c r="DG97" s="21">
        <f>EXP(-LN(2)/25)*DG96+(1-EXP(-LN(2)/25))/(LN(2)/25)*Calculateur!DB97*Calculateur!DD97*VLOOKUP('Données projet'!$B$13,Paramètres!$A$1:$I$89,3,0)*0.475*44/12</f>
        <v>0</v>
      </c>
      <c r="DH97" s="21">
        <f>EXP(-LN(2)/2)*DH96+(1-EXP(-LN(2)/2))/(LN(2)/2)*DB97*DE97*VLOOKUP('Données projet'!$B$13,Paramètres!$A$1:$I$89,3,0)*0.475*44/12</f>
        <v>0</v>
      </c>
      <c r="DI97" s="22">
        <f t="shared" si="69"/>
        <v>30.127322377291765</v>
      </c>
      <c r="DJ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9.9470000000000027</v>
      </c>
      <c r="DO97" s="12">
        <f>IF('Données projet'!$A$166&gt;35,DO96+DN97-DW96,IF(A97&lt;'Données projet'!$A$166,$DL$205^A97,IF(A97='Données projet'!$A$166,'Données projet'!$B$166,DO96+DN97-DW96)))</f>
        <v>415.06500000000011</v>
      </c>
      <c r="DP97" s="17">
        <f>DO97*VLOOKUP('Données projet'!$B$14,Paramètres!$A$1:$I$89,3,0)*VLOOKUP('Données projet'!$B$14,Paramètres!$A$1:$I$89,5,0)</f>
        <v>278.42560200000008</v>
      </c>
      <c r="DQ97" s="13">
        <f t="shared" si="97"/>
        <v>66.634184215491203</v>
      </c>
      <c r="DR97" s="20">
        <f t="shared" si="70"/>
        <v>600.97912765864726</v>
      </c>
      <c r="DS97" s="59">
        <f t="shared" si="71"/>
        <v>876.61964273588569</v>
      </c>
      <c r="DT97" s="59">
        <f ca="1">AVERAGE(OFFSET($DS$3,0,0,'Données projet'!$E$14+1,1))-AVERAGE(OFFSET($H$3,0,0,'Données projet'!$E$14+1,1))</f>
        <v>441.20130048888439</v>
      </c>
      <c r="DU97" s="59">
        <f t="shared" si="98"/>
        <v>237.47732532183946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100.46776401965134</v>
      </c>
      <c r="EB97" s="21">
        <f>EXP(-LN(2)/25)*EB96+(1-EXP(-LN(2)/25))/(LN(2)/25)*Calculateur!DW97*Calculateur!DY97*VLOOKUP('Données projet'!$B$14,Paramètres!$A$1:$I$89,3,0)*0.475*44/12</f>
        <v>0</v>
      </c>
      <c r="EC97" s="21">
        <f>EXP(-LN(2)/2)*EC96+(1-EXP(-LN(2)/2))/(LN(2)/2)*DW97*DZ97*VLOOKUP('Données projet'!$B$14,Paramètres!$A$1:$I$89,3,0)*0.475*44/12</f>
        <v>0</v>
      </c>
      <c r="ED97" s="22">
        <f t="shared" si="72"/>
        <v>100.46776401965134</v>
      </c>
      <c r="EE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319</v>
      </c>
      <c r="EK97" s="17">
        <f>EJ97*VLOOKUP('Données projet'!$B$15,Paramètres!$A$1:$I$89,3,0)*VLOOKUP('Données projet'!$B$15,Paramètres!$A$1:$I$89,5,0)</f>
        <v>253.79640000000001</v>
      </c>
      <c r="EL97" s="13">
        <f t="shared" si="99"/>
        <v>61.39816832228076</v>
      </c>
      <c r="EM97" s="20">
        <f t="shared" si="73"/>
        <v>548.96387316130563</v>
      </c>
      <c r="EN97" s="59">
        <f t="shared" si="74"/>
        <v>824.60438823854406</v>
      </c>
      <c r="EO97" s="59">
        <f ca="1">AVERAGE(OFFSET($EN$3,0,0,'Données projet'!$E$15+1,1))-AVERAGE(OFFSET($H$3,0,0,'Données projet'!$E$15+1,1))</f>
        <v>377.27600411578322</v>
      </c>
      <c r="EP97" s="59">
        <f t="shared" si="100"/>
        <v>364.58250627635425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>
        <f>EXP(-LN(2)/35)*EV96+(1-EXP(-LN(2)/35))/(LN(2)/35)*ER97*ES97*VLOOKUP('Données projet'!$B$15,Paramètres!$A$1:$I$89,3,0)*0.475*44/12</f>
        <v>40.29398930520518</v>
      </c>
      <c r="EW97" s="21">
        <f>EXP(-LN(2)/25)*EW96+(1-EXP(-LN(2)/25))/(LN(2)/25)*Calculateur!ER97*Calculateur!ET97*VLOOKUP('Données projet'!$B$15,Paramètres!$A$1:$I$89,3,0)*0.475*44/12</f>
        <v>0</v>
      </c>
      <c r="EX97" s="21">
        <f>EXP(-LN(2)/2)*EX96+(1-EXP(-LN(2)/2))/(LN(2)/2)*ER97*EU97*VLOOKUP('Données projet'!$B$15,Paramètres!$A$1:$I$89,3,0)*0.475*44/12</f>
        <v>0</v>
      </c>
      <c r="EY97" s="22">
        <f t="shared" si="75"/>
        <v>40.29398930520518</v>
      </c>
      <c r="EZ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319</v>
      </c>
      <c r="FF97" s="17">
        <f>FE97*VLOOKUP('Données projet'!$B$16,Paramètres!$A$1:$I$89,3,0)*VLOOKUP('Données projet'!$B$16,Paramètres!$A$1:$I$89,5,0)</f>
        <v>258.77280000000002</v>
      </c>
      <c r="FG97" s="13">
        <f t="shared" si="101"/>
        <v>62.460716522234691</v>
      </c>
      <c r="FH97" s="20">
        <f t="shared" si="76"/>
        <v>559.48170794289206</v>
      </c>
      <c r="FI97" s="59">
        <f t="shared" si="77"/>
        <v>835.1222230201306</v>
      </c>
      <c r="FJ97" s="59">
        <f ca="1">AVERAGE(OFFSET($FI$3,0,0,'Données projet'!$E$16+1,1))-AVERAGE(OFFSET($H$3,0,0,'Données projet'!$E$16+1,1))</f>
        <v>383.47399633251354</v>
      </c>
      <c r="FK97" s="59">
        <f t="shared" si="102"/>
        <v>370.49129421395628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>
        <f>EXP(-LN(2)/35)*FQ96+(1-EXP(-LN(2)/35))/(LN(2)/35)*FM97*FN97*VLOOKUP('Données projet'!$B$16,Paramètres!$A$1:$I$89,3,0)*0.475*44/12</f>
        <v>41.084067526875891</v>
      </c>
      <c r="FR97" s="21">
        <f>EXP(-LN(2)/25)*FR96+(1-EXP(-LN(2)/25))/(LN(2)/25)*Calculateur!FM97*Calculateur!FO97*VLOOKUP('Données projet'!$B$16,Paramètres!$A$1:$I$89,3,0)*0.475*44/12</f>
        <v>0</v>
      </c>
      <c r="FS97" s="21">
        <f>EXP(-LN(2)/2)*FS96+(1-EXP(-LN(2)/2))/(LN(2)/2)*FM97*FP97*VLOOKUP('Données projet'!$B$16,Paramètres!$A$1:$I$89,3,0)*0.475*44/12</f>
        <v>0</v>
      </c>
      <c r="FT97" s="22">
        <f t="shared" si="78"/>
        <v>41.084067526875891</v>
      </c>
      <c r="FU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9.9470000000000027</v>
      </c>
      <c r="FZ97" s="12">
        <f>IF('Données projet'!$A$244&gt;35,FZ96+FY97-GH96,IF(A97&lt;'Données projet'!$A$244,$FW$205^A97,IF(A97='Données projet'!$A$244,'Données projet'!$B$244,FZ96+FY97-GH96)))</f>
        <v>415.06500000000011</v>
      </c>
      <c r="GA97" s="17">
        <f>FZ97*VLOOKUP('Données projet'!$B$17,Paramètres!$A$1:$I$89,3,0)*VLOOKUP('Données projet'!$B$17,Paramètres!$A$1:$I$89,5,0)</f>
        <v>394.97585400000008</v>
      </c>
      <c r="GB97" s="13">
        <f t="shared" si="103"/>
        <v>90.757348632264282</v>
      </c>
      <c r="GC97" s="20">
        <f t="shared" si="79"/>
        <v>845.98532791786045</v>
      </c>
      <c r="GD97" s="59">
        <f t="shared" si="80"/>
        <v>1121.625842995099</v>
      </c>
      <c r="GE97" s="59">
        <f ca="1">AVERAGE(OFFSET($GD$3,0,0,'Données projet'!$E$17+1,1))-AVERAGE(OFFSET($H$3,0,0,'Données projet'!$E$17+1,1))</f>
        <v>592.58528889137358</v>
      </c>
      <c r="GF97" s="59">
        <f t="shared" si="104"/>
        <v>311.31528020403709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>
        <f>EXP(-LN(2)/35)*GL96+(1-EXP(-LN(2)/35))/(LN(2)/35)*GH97*GI97*VLOOKUP('Données projet'!$B$17,Paramètres!$A$1:$I$89,3,0)*0.475*44/12</f>
        <v>115.63270953205155</v>
      </c>
      <c r="GM97" s="21">
        <f>EXP(-LN(2)/25)*GM96+(1-EXP(-LN(2)/25))/(LN(2)/25)*Calculateur!GH97*Calculateur!GJ97*VLOOKUP('Données projet'!$B$17,Paramètres!$A$1:$I$89,3,0)*0.475*44/12</f>
        <v>0</v>
      </c>
      <c r="GN97" s="21">
        <f>EXP(-LN(2)/2)*GN96+(1-EXP(-LN(2)/2))/(LN(2)/2)*GH97*GK97*VLOOKUP('Données projet'!$B$17,Paramètres!$A$1:$I$89,3,0)*0.475*44/12</f>
        <v>0</v>
      </c>
      <c r="GO97" s="21">
        <f t="shared" si="81"/>
        <v>115.63270953205155</v>
      </c>
      <c r="GP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328.00000000000006</v>
      </c>
      <c r="GV97" s="17">
        <f>GU97*VLOOKUP('Données projet'!$B$18,Paramètres!$A$1:$I$89,3,0)*VLOOKUP('Données projet'!$B$18,Paramètres!$A$1:$I$89,5,0)</f>
        <v>255.84000000000006</v>
      </c>
      <c r="GW97" s="13">
        <f t="shared" si="105"/>
        <v>61.834803371075836</v>
      </c>
      <c r="GX97" s="20">
        <f t="shared" si="82"/>
        <v>553.28361587129041</v>
      </c>
      <c r="GY97" s="59">
        <f t="shared" si="83"/>
        <v>828.92413094852895</v>
      </c>
      <c r="GZ97" s="59">
        <f ca="1">AVERAGE(OFFSET($GY$3,0,0,'Données projet'!$E$18+1,1))-AVERAGE(OFFSET($H$3,0,0,'Données projet'!$E$18+1,1))</f>
        <v>308.85018589589453</v>
      </c>
      <c r="HA97" s="59">
        <f t="shared" si="106"/>
        <v>302.59481222418219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>
        <f>EXP(-LN(2)/35)*HG96+(1-EXP(-LN(2)/35))/(LN(2)/35)*HC97*HD97*VLOOKUP('Données projet'!$B$18,Paramètres!$A$1:$I$89,3,0)*0.475*44/12</f>
        <v>30.707074278298737</v>
      </c>
      <c r="HH97" s="21">
        <f>EXP(-LN(2)/25)*HH96+(1-EXP(-LN(2)/25))/(LN(2)/25)*Calculateur!HC97*Calculateur!HE97*VLOOKUP('Données projet'!$B$18,Paramètres!$A$1:$I$89,3,0)*0.475*44/12</f>
        <v>0</v>
      </c>
      <c r="HI97" s="21">
        <f>EXP(-LN(2)/2)*HI96+(1-EXP(-LN(2)/2))/(LN(2)/2)*HC97*HF97*VLOOKUP('Données projet'!$B$18,Paramètres!$A$1:$I$89,3,0)*0.475*44/12</f>
        <v>0</v>
      </c>
      <c r="HJ97" s="22">
        <f t="shared" si="84"/>
        <v>30.707074278298737</v>
      </c>
    </row>
    <row r="98" spans="1:218" x14ac:dyDescent="0.35">
      <c r="A98" s="10">
        <f t="shared" si="85"/>
        <v>95</v>
      </c>
      <c r="B98" s="72">
        <f>'Scénario référence'!$B$16*5+'Scénario référence'!$B$17*0+'Scénario référence'!$B$18*5</f>
        <v>5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66">
        <f t="shared" si="56"/>
        <v>183.33333333333334</v>
      </c>
      <c r="I98" s="6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9.9470000000000027</v>
      </c>
      <c r="N98" s="13">
        <f>IF('Données projet'!$A$36&gt;35,N97+M98-V97,IF(A98&lt;'Données projet'!$A$36,$K$205^A98,IF(A98='Données projet'!$A$36,'Données projet'!$B$36,N97+M98-V97)))</f>
        <v>425.01200000000011</v>
      </c>
      <c r="O98" s="13">
        <f>N98*VLOOKUP('Données projet'!$B$9,Paramètres!$A$1:$I$89,3,0)*VLOOKUP('Données projet'!$B$9,Paramètres!$A$1:$I$89,5,0)</f>
        <v>384.55085760000009</v>
      </c>
      <c r="P98" s="13">
        <f t="shared" si="87"/>
        <v>88.637444941196293</v>
      </c>
      <c r="Q98" s="20">
        <f t="shared" si="54"/>
        <v>824.13629359258357</v>
      </c>
      <c r="R98" s="59">
        <f t="shared" si="55"/>
        <v>1100.0837395113494</v>
      </c>
      <c r="S98" s="59">
        <f ca="1">AVERAGE(OFFSET($R$3,0,0,'Données projet'!$E$9+1,1))-AVERAGE(OFFSET($H$3,0,0,'Données projet'!$E$9+1,1))</f>
        <v>567.42635821507474</v>
      </c>
      <c r="T98" s="59">
        <f t="shared" si="88"/>
        <v>299.04735309930152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107.78988380938961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107.78988380938961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9.9470000000000027</v>
      </c>
      <c r="AI98" s="13">
        <f>IF('Données projet'!$A$62&gt;35,AI97+AH98-AQ97,IF(A98&lt;'Données projet'!$A$62,$AF$205^A98,IF(A98='Données projet'!$A$62,'Données projet'!$B$62,AI97+AH98-AQ97)))</f>
        <v>425.01200000000011</v>
      </c>
      <c r="AJ98" s="13">
        <f>AI98*VLOOKUP('Données projet'!$B$10,Paramètres!$A$1:$I$89,3,0)*VLOOKUP('Données projet'!$B$10,Paramètres!$A$1:$I$89,5,0)</f>
        <v>430.96216800000013</v>
      </c>
      <c r="AK98" s="13">
        <f t="shared" si="89"/>
        <v>98.026274023933112</v>
      </c>
      <c r="AL98" s="20">
        <f t="shared" si="58"/>
        <v>921.321536525017</v>
      </c>
      <c r="AM98" s="59">
        <f t="shared" si="59"/>
        <v>1197.268982443783</v>
      </c>
      <c r="AN98" s="59">
        <f ca="1">AVERAGE(OFFSET($AM$3,0,0,'Données projet'!$E$10+1,1))-AVERAGE(OFFSET($H$3,0,0,'Données projet'!$E$10+1,1))</f>
        <v>626.09203985591455</v>
      </c>
      <c r="AO98" s="59">
        <f t="shared" si="90"/>
        <v>327.65191296575199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120.79900771741943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120.79900771741943</v>
      </c>
      <c r="AY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>
        <f>VLOOKUP(A98,'Données projet'!$A$87:$I$107,2,0)</f>
        <v>389</v>
      </c>
      <c r="BB98" s="12">
        <f>VLOOKUP(A98,'Données projet'!$A$87:$I$107,9,0)</f>
        <v>7.6</v>
      </c>
      <c r="BC98" s="12">
        <f t="array" ref="BC98">INDEX(BB:BB,MIN(IF(ISNUMBER(BB98:BB294),ROW(BB98:BB294),"")))</f>
        <v>7.6</v>
      </c>
      <c r="BD98" s="12">
        <f>IF('Données projet'!$A$88&gt;35,BD97+BC98-BL97,IF(A98&lt;'Données projet'!$A$88,$BA$205^A98,IF(A98='Données projet'!$A$88,'Données projet'!$B$88,BD97+BC98-BL97)))</f>
        <v>388.99999999999994</v>
      </c>
      <c r="BE98" s="13">
        <f>BD98*VLOOKUP('Données projet'!$B$11,Paramètres!$A$1:$I$89,3,0)*VLOOKUP('Données projet'!$B$11,Paramètres!$A$1:$I$89,5,0)</f>
        <v>333.762</v>
      </c>
      <c r="BF98" s="13">
        <f t="shared" si="91"/>
        <v>78.209750448453065</v>
      </c>
      <c r="BG98" s="20">
        <f t="shared" si="61"/>
        <v>717.51746536438895</v>
      </c>
      <c r="BH98" s="59">
        <f t="shared" si="62"/>
        <v>993.46491128315483</v>
      </c>
      <c r="BI98" s="59">
        <f ca="1">AVERAGE(OFFSET($BH$3,0,0,'Données projet'!$E$11+1,1))-AVERAGE(OFFSET($H$3,0,0,'Données projet'!$E$11+1,1))</f>
        <v>481.23392184981651</v>
      </c>
      <c r="BJ98" s="59">
        <f t="shared" si="92"/>
        <v>275.88160405468193</v>
      </c>
      <c r="BK98" s="15">
        <f>IF(ISNA(VLOOKUP(A98,'Données projet'!$A$87:$I$107,3,0)),0,VLOOKUP(A98,'Données projet'!$A$87:$I$107,3,0))</f>
        <v>15</v>
      </c>
      <c r="BL98" s="15">
        <f>IF(ISNA(VLOOKUP(A98,'Données projet'!$A$87:$I$107,4,0)),0,VLOOKUP(A98,'Données projet'!$A$87:$I$107,4,0))</f>
        <v>25</v>
      </c>
      <c r="BM98" s="16">
        <f>IF(ISNA(VLOOKUP(A98,'Données projet'!$A$87:$I$107,5,0)),0%,VLOOKUP(A98,'Données projet'!$A$87:$I$107,5,0)*VLOOKUP('Données projet'!$B$11,Paramètres!$A$1:$I$89,7,0))</f>
        <v>0.53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105.26019556529883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105.26019556529883</v>
      </c>
      <c r="BT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8.5349999999999966</v>
      </c>
      <c r="BY98" s="12">
        <f>IF('Données projet'!$A$114&gt;35,BY97+BX98-CG97,IF(A98&lt;'Données projet'!$A$114,$BV$205^A98,IF(A98='Données projet'!$A$114,'Données projet'!$B$114,BY97+BX98-CG97)))</f>
        <v>305.21999999999923</v>
      </c>
      <c r="BZ98" s="13">
        <f>BY98*VLOOKUP('Données projet'!$B$12,Paramètres!$A$1:$I$89,3,0)*VLOOKUP('Données projet'!$B$12,Paramètres!$A$1:$I$89,5,0)</f>
        <v>142.84295999999964</v>
      </c>
      <c r="CA98" s="13">
        <f t="shared" si="93"/>
        <v>36.947523740027073</v>
      </c>
      <c r="CB98" s="20">
        <f t="shared" si="64"/>
        <v>313.13509251387984</v>
      </c>
      <c r="CC98" s="59">
        <f t="shared" si="65"/>
        <v>589.08253843264583</v>
      </c>
      <c r="CD98" s="59">
        <f ca="1">AVERAGE(OFFSET($CC$3,0,0,'Données projet'!$E$12+1,1))-AVERAGE(OFFSET($H$3,0,0,'Données projet'!$E$12+1,1))</f>
        <v>331.86732359395467</v>
      </c>
      <c r="CE98" s="59">
        <f t="shared" si="94"/>
        <v>208.64489375183106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185.4512067841475</v>
      </c>
      <c r="CL98" s="21">
        <f>EXP(-LN(2)/25)*CL97+(1-EXP(-LN(2)/25))/(LN(2)/25)*Calculateur!CG98*Calculateur!CI98*VLOOKUP('Données projet'!$B$12,Paramètres!$A$1:$I$89,3,0)*0.475*44/12</f>
        <v>0</v>
      </c>
      <c r="CM98" s="21">
        <f>EXP(-LN(2)/2)*CM97+(1-EXP(-LN(2)/2))/(LN(2)/2)*CG98*CJ98*VLOOKUP('Données projet'!$B$12,Paramètres!$A$1:$I$89,3,0)*0.475*44/12</f>
        <v>0</v>
      </c>
      <c r="CN98" s="22">
        <f t="shared" si="66"/>
        <v>185.4512067841475</v>
      </c>
      <c r="CO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319</v>
      </c>
      <c r="CU98" s="17">
        <f>CT98*VLOOKUP('Données projet'!$B$13,Paramètres!$A$1:$I$89,3,0)*VLOOKUP('Données projet'!$B$13,Paramètres!$A$1:$I$89,5,0)</f>
        <v>233.89079999999998</v>
      </c>
      <c r="CV98" s="13">
        <f t="shared" si="95"/>
        <v>57.123140349023068</v>
      </c>
      <c r="CW98" s="20">
        <f t="shared" si="67"/>
        <v>506.84927944121517</v>
      </c>
      <c r="CX98" s="59">
        <f t="shared" si="68"/>
        <v>782.79672535998111</v>
      </c>
      <c r="CY98" s="59">
        <f ca="1">AVERAGE(OFFSET($CX$3,0,0,'Données projet'!$E$13+1,1))-AVERAGE(OFFSET($H$3,0,0,'Données projet'!$E$13+1,1))</f>
        <v>352.45777291109863</v>
      </c>
      <c r="CZ98" s="59">
        <f t="shared" si="96"/>
        <v>340.92165104349181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29.536543961325258</v>
      </c>
      <c r="DG98" s="21">
        <f>EXP(-LN(2)/25)*DG97+(1-EXP(-LN(2)/25))/(LN(2)/25)*Calculateur!DB98*Calculateur!DD98*VLOOKUP('Données projet'!$B$13,Paramètres!$A$1:$I$89,3,0)*0.475*44/12</f>
        <v>0</v>
      </c>
      <c r="DH98" s="21">
        <f>EXP(-LN(2)/2)*DH97+(1-EXP(-LN(2)/2))/(LN(2)/2)*DB98*DE98*VLOOKUP('Données projet'!$B$13,Paramètres!$A$1:$I$89,3,0)*0.475*44/12</f>
        <v>0</v>
      </c>
      <c r="DI98" s="22">
        <f t="shared" si="69"/>
        <v>29.536543961325258</v>
      </c>
      <c r="DJ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9.9470000000000027</v>
      </c>
      <c r="DO98" s="12">
        <f>IF('Données projet'!$A$166&gt;35,DO97+DN98-DW97,IF(A98&lt;'Données projet'!$A$166,$DL$205^A98,IF(A98='Données projet'!$A$166,'Données projet'!$B$166,DO97+DN98-DW97)))</f>
        <v>425.01200000000011</v>
      </c>
      <c r="DP98" s="17">
        <f>DO98*VLOOKUP('Données projet'!$B$14,Paramètres!$A$1:$I$89,3,0)*VLOOKUP('Données projet'!$B$14,Paramètres!$A$1:$I$89,5,0)</f>
        <v>285.09804960000008</v>
      </c>
      <c r="DQ98" s="13">
        <f t="shared" si="97"/>
        <v>68.043239328285679</v>
      </c>
      <c r="DR98" s="20">
        <f t="shared" si="70"/>
        <v>615.0544115500976</v>
      </c>
      <c r="DS98" s="59">
        <f t="shared" si="71"/>
        <v>891.00185746886359</v>
      </c>
      <c r="DT98" s="59">
        <f ca="1">AVERAGE(OFFSET($DS$3,0,0,'Données projet'!$E$14+1,1))-AVERAGE(OFFSET($H$3,0,0,'Données projet'!$E$14+1,1))</f>
        <v>441.20130048888439</v>
      </c>
      <c r="DU98" s="59">
        <f t="shared" si="98"/>
        <v>237.47732532183946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98.497652446511196</v>
      </c>
      <c r="EB98" s="21">
        <f>EXP(-LN(2)/25)*EB97+(1-EXP(-LN(2)/25))/(LN(2)/25)*Calculateur!DW98*Calculateur!DY98*VLOOKUP('Données projet'!$B$14,Paramètres!$A$1:$I$89,3,0)*0.475*44/12</f>
        <v>0</v>
      </c>
      <c r="EC98" s="21">
        <f>EXP(-LN(2)/2)*EC97+(1-EXP(-LN(2)/2))/(LN(2)/2)*DW98*DZ98*VLOOKUP('Données projet'!$B$14,Paramètres!$A$1:$I$89,3,0)*0.475*44/12</f>
        <v>0</v>
      </c>
      <c r="ED98" s="22">
        <f t="shared" si="72"/>
        <v>98.497652446511196</v>
      </c>
      <c r="EE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319</v>
      </c>
      <c r="EK98" s="17">
        <f>EJ98*VLOOKUP('Données projet'!$B$15,Paramètres!$A$1:$I$89,3,0)*VLOOKUP('Données projet'!$B$15,Paramètres!$A$1:$I$89,5,0)</f>
        <v>253.79640000000001</v>
      </c>
      <c r="EL98" s="13">
        <f t="shared" si="99"/>
        <v>61.39816832228076</v>
      </c>
      <c r="EM98" s="20">
        <f t="shared" si="73"/>
        <v>548.96387316130563</v>
      </c>
      <c r="EN98" s="59">
        <f t="shared" si="74"/>
        <v>824.91131908007151</v>
      </c>
      <c r="EO98" s="59">
        <f ca="1">AVERAGE(OFFSET($EN$3,0,0,'Données projet'!$E$15+1,1))-AVERAGE(OFFSET($H$3,0,0,'Données projet'!$E$15+1,1))</f>
        <v>377.27600411578322</v>
      </c>
      <c r="EP98" s="59">
        <f t="shared" si="100"/>
        <v>364.58250627635425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>
        <f>EXP(-LN(2)/35)*EV97+(1-EXP(-LN(2)/35))/(LN(2)/35)*ER98*ES98*VLOOKUP('Données projet'!$B$15,Paramètres!$A$1:$I$89,3,0)*0.475*44/12</f>
        <v>39.503848751836813</v>
      </c>
      <c r="EW98" s="21">
        <f>EXP(-LN(2)/25)*EW97+(1-EXP(-LN(2)/25))/(LN(2)/25)*Calculateur!ER98*Calculateur!ET98*VLOOKUP('Données projet'!$B$15,Paramètres!$A$1:$I$89,3,0)*0.475*44/12</f>
        <v>0</v>
      </c>
      <c r="EX98" s="21">
        <f>EXP(-LN(2)/2)*EX97+(1-EXP(-LN(2)/2))/(LN(2)/2)*ER98*EU98*VLOOKUP('Données projet'!$B$15,Paramètres!$A$1:$I$89,3,0)*0.475*44/12</f>
        <v>0</v>
      </c>
      <c r="EY98" s="22">
        <f t="shared" si="75"/>
        <v>39.503848751836813</v>
      </c>
      <c r="EZ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319</v>
      </c>
      <c r="FF98" s="17">
        <f>FE98*VLOOKUP('Données projet'!$B$16,Paramètres!$A$1:$I$89,3,0)*VLOOKUP('Données projet'!$B$16,Paramètres!$A$1:$I$89,5,0)</f>
        <v>258.77280000000002</v>
      </c>
      <c r="FG98" s="13">
        <f t="shared" si="101"/>
        <v>62.460716522234691</v>
      </c>
      <c r="FH98" s="20">
        <f t="shared" si="76"/>
        <v>559.48170794289206</v>
      </c>
      <c r="FI98" s="59">
        <f t="shared" si="77"/>
        <v>835.42915386165805</v>
      </c>
      <c r="FJ98" s="59">
        <f ca="1">AVERAGE(OFFSET($FI$3,0,0,'Données projet'!$E$16+1,1))-AVERAGE(OFFSET($H$3,0,0,'Données projet'!$E$16+1,1))</f>
        <v>383.47399633251354</v>
      </c>
      <c r="FK98" s="59">
        <f t="shared" si="102"/>
        <v>370.49129421395628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>
        <f>EXP(-LN(2)/35)*FQ97+(1-EXP(-LN(2)/35))/(LN(2)/35)*FM98*FN98*VLOOKUP('Données projet'!$B$16,Paramètres!$A$1:$I$89,3,0)*0.475*44/12</f>
        <v>40.278434021480692</v>
      </c>
      <c r="FR98" s="21">
        <f>EXP(-LN(2)/25)*FR97+(1-EXP(-LN(2)/25))/(LN(2)/25)*Calculateur!FM98*Calculateur!FO98*VLOOKUP('Données projet'!$B$16,Paramètres!$A$1:$I$89,3,0)*0.475*44/12</f>
        <v>0</v>
      </c>
      <c r="FS98" s="21">
        <f>EXP(-LN(2)/2)*FS97+(1-EXP(-LN(2)/2))/(LN(2)/2)*FM98*FP98*VLOOKUP('Données projet'!$B$16,Paramètres!$A$1:$I$89,3,0)*0.475*44/12</f>
        <v>0</v>
      </c>
      <c r="FT98" s="22">
        <f t="shared" si="78"/>
        <v>40.278434021480692</v>
      </c>
      <c r="FU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9.9470000000000027</v>
      </c>
      <c r="FZ98" s="12">
        <f>IF('Données projet'!$A$244&gt;35,FZ97+FY98-GH97,IF(A98&lt;'Données projet'!$A$244,$FW$205^A98,IF(A98='Données projet'!$A$244,'Données projet'!$B$244,FZ97+FY98-GH97)))</f>
        <v>425.01200000000011</v>
      </c>
      <c r="GA98" s="17">
        <f>FZ98*VLOOKUP('Données projet'!$B$17,Paramètres!$A$1:$I$89,3,0)*VLOOKUP('Données projet'!$B$17,Paramètres!$A$1:$I$89,5,0)</f>
        <v>404.4414192000001</v>
      </c>
      <c r="GB98" s="13">
        <f t="shared" si="103"/>
        <v>92.676515312543557</v>
      </c>
      <c r="GC98" s="20">
        <f t="shared" si="79"/>
        <v>865.81373594268018</v>
      </c>
      <c r="GD98" s="59">
        <f t="shared" si="80"/>
        <v>1141.7611818614462</v>
      </c>
      <c r="GE98" s="59">
        <f ca="1">AVERAGE(OFFSET($GD$3,0,0,'Données projet'!$E$17+1,1))-AVERAGE(OFFSET($H$3,0,0,'Données projet'!$E$17+1,1))</f>
        <v>592.58528889137358</v>
      </c>
      <c r="GF98" s="59">
        <f t="shared" si="104"/>
        <v>311.31528020403709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>
        <f>EXP(-LN(2)/35)*GL97+(1-EXP(-LN(2)/35))/(LN(2)/35)*GH98*GI98*VLOOKUP('Données projet'!$B$17,Paramètres!$A$1:$I$89,3,0)*0.475*44/12</f>
        <v>113.36522262711668</v>
      </c>
      <c r="GM98" s="21">
        <f>EXP(-LN(2)/25)*GM97+(1-EXP(-LN(2)/25))/(LN(2)/25)*Calculateur!GH98*Calculateur!GJ98*VLOOKUP('Données projet'!$B$17,Paramètres!$A$1:$I$89,3,0)*0.475*44/12</f>
        <v>0</v>
      </c>
      <c r="GN98" s="21">
        <f>EXP(-LN(2)/2)*GN97+(1-EXP(-LN(2)/2))/(LN(2)/2)*GH98*GK98*VLOOKUP('Données projet'!$B$17,Paramètres!$A$1:$I$89,3,0)*0.475*44/12</f>
        <v>0</v>
      </c>
      <c r="GO98" s="21">
        <f t="shared" si="81"/>
        <v>113.36522262711668</v>
      </c>
      <c r="GP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328.00000000000006</v>
      </c>
      <c r="GV98" s="17">
        <f>GU98*VLOOKUP('Données projet'!$B$18,Paramètres!$A$1:$I$89,3,0)*VLOOKUP('Données projet'!$B$18,Paramètres!$A$1:$I$89,5,0)</f>
        <v>255.84000000000006</v>
      </c>
      <c r="GW98" s="13">
        <f t="shared" si="105"/>
        <v>61.834803371075836</v>
      </c>
      <c r="GX98" s="20">
        <f t="shared" si="82"/>
        <v>553.28361587129041</v>
      </c>
      <c r="GY98" s="59">
        <f t="shared" si="83"/>
        <v>829.2310617900564</v>
      </c>
      <c r="GZ98" s="59">
        <f ca="1">AVERAGE(OFFSET($GY$3,0,0,'Données projet'!$E$18+1,1))-AVERAGE(OFFSET($H$3,0,0,'Données projet'!$E$18+1,1))</f>
        <v>308.85018589589453</v>
      </c>
      <c r="HA98" s="59">
        <f t="shared" si="106"/>
        <v>302.59481222418219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>
        <f>EXP(-LN(2)/35)*HG97+(1-EXP(-LN(2)/35))/(LN(2)/35)*HC98*HD98*VLOOKUP('Données projet'!$B$18,Paramètres!$A$1:$I$89,3,0)*0.475*44/12</f>
        <v>30.104927281167228</v>
      </c>
      <c r="HH98" s="21">
        <f>EXP(-LN(2)/25)*HH97+(1-EXP(-LN(2)/25))/(LN(2)/25)*Calculateur!HC98*Calculateur!HE98*VLOOKUP('Données projet'!$B$18,Paramètres!$A$1:$I$89,3,0)*0.475*44/12</f>
        <v>0</v>
      </c>
      <c r="HI98" s="21">
        <f>EXP(-LN(2)/2)*HI97+(1-EXP(-LN(2)/2))/(LN(2)/2)*HC98*HF98*VLOOKUP('Données projet'!$B$18,Paramètres!$A$1:$I$89,3,0)*0.475*44/12</f>
        <v>0</v>
      </c>
      <c r="HJ98" s="22">
        <f t="shared" si="84"/>
        <v>30.104927281167228</v>
      </c>
    </row>
    <row r="99" spans="1:218" x14ac:dyDescent="0.35">
      <c r="A99" s="10">
        <f t="shared" si="85"/>
        <v>96</v>
      </c>
      <c r="B99" s="72">
        <f>'Scénario référence'!$B$16*5+'Scénario référence'!$B$17*0+'Scénario référence'!$B$18*5</f>
        <v>5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66">
        <f t="shared" si="56"/>
        <v>183.33333333333334</v>
      </c>
      <c r="I99" s="6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9.9470000000000027</v>
      </c>
      <c r="N99" s="13">
        <f>IF('Données projet'!$A$36&gt;35,N98+M99-V98,IF(A99&lt;'Données projet'!$A$36,$K$205^A99,IF(A99='Données projet'!$A$36,'Données projet'!$B$36,N98+M99-V98)))</f>
        <v>434.95900000000012</v>
      </c>
      <c r="O99" s="13">
        <f>N99*VLOOKUP('Données projet'!$B$9,Paramètres!$A$1:$I$89,3,0)*VLOOKUP('Données projet'!$B$9,Paramètres!$A$1:$I$89,5,0)</f>
        <v>393.55090320000011</v>
      </c>
      <c r="P99" s="13">
        <f t="shared" si="87"/>
        <v>90.467975549637174</v>
      </c>
      <c r="Q99" s="20">
        <f t="shared" ref="Q99:Q130" si="107">(O99+P99)*0.475*44/12</f>
        <v>842.99954715561819</v>
      </c>
      <c r="R99" s="59">
        <f t="shared" si="55"/>
        <v>1119.2485993520056</v>
      </c>
      <c r="S99" s="59">
        <f ca="1">AVERAGE(OFFSET($R$3,0,0,'Données projet'!$E$9+1,1))-AVERAGE(OFFSET($H$3,0,0,'Données projet'!$E$9+1,1))</f>
        <v>567.42635821507474</v>
      </c>
      <c r="T99" s="59">
        <f t="shared" si="88"/>
        <v>299.04735309930152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105.67618993322479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105.67618993322479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9.9470000000000027</v>
      </c>
      <c r="AI99" s="13">
        <f>IF('Données projet'!$A$62&gt;35,AI98+AH99-AQ98,IF(A99&lt;'Données projet'!$A$62,$AF$205^A99,IF(A99='Données projet'!$A$62,'Données projet'!$B$62,AI98+AH99-AQ98)))</f>
        <v>434.95900000000012</v>
      </c>
      <c r="AJ99" s="13">
        <f>AI99*VLOOKUP('Données projet'!$B$10,Paramètres!$A$1:$I$89,3,0)*VLOOKUP('Données projet'!$B$10,Paramètres!$A$1:$I$89,5,0)</f>
        <v>441.04842600000018</v>
      </c>
      <c r="AK99" s="13">
        <f t="shared" si="89"/>
        <v>100.05070168146835</v>
      </c>
      <c r="AL99" s="20">
        <f t="shared" si="58"/>
        <v>942.41431404522439</v>
      </c>
      <c r="AM99" s="59">
        <f t="shared" si="59"/>
        <v>1218.6633662416118</v>
      </c>
      <c r="AN99" s="59">
        <f ca="1">AVERAGE(OFFSET($AM$3,0,0,'Données projet'!$E$10+1,1))-AVERAGE(OFFSET($H$3,0,0,'Données projet'!$E$10+1,1))</f>
        <v>626.09203985591455</v>
      </c>
      <c r="AO99" s="59">
        <f t="shared" si="90"/>
        <v>327.65191296575199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118.43021285620023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118.43021285620023</v>
      </c>
      <c r="AY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7.2</v>
      </c>
      <c r="BD99" s="12">
        <f>IF('Données projet'!$A$88&gt;35,BD98+BC99-BL98,IF(A99&lt;'Données projet'!$A$88,$BA$205^A99,IF(A99='Données projet'!$A$88,'Données projet'!$B$88,BD98+BC99-BL98)))</f>
        <v>371.19999999999993</v>
      </c>
      <c r="BE99" s="13">
        <f>BD99*VLOOKUP('Données projet'!$B$11,Paramètres!$A$1:$I$89,3,0)*VLOOKUP('Données projet'!$B$11,Paramètres!$A$1:$I$89,5,0)</f>
        <v>318.48959999999994</v>
      </c>
      <c r="BF99" s="13">
        <f t="shared" si="91"/>
        <v>75.038999086150227</v>
      </c>
      <c r="BG99" s="20">
        <f t="shared" si="61"/>
        <v>685.39564340837808</v>
      </c>
      <c r="BH99" s="59">
        <f t="shared" si="62"/>
        <v>961.6446956047655</v>
      </c>
      <c r="BI99" s="59">
        <f ca="1">AVERAGE(OFFSET($BH$3,0,0,'Données projet'!$E$11+1,1))-AVERAGE(OFFSET($H$3,0,0,'Données projet'!$E$11+1,1))</f>
        <v>481.23392184981651</v>
      </c>
      <c r="BJ99" s="59">
        <f t="shared" si="92"/>
        <v>275.88160405468193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103.19610733264315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103.19610733264315</v>
      </c>
      <c r="BT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8.5349999999999966</v>
      </c>
      <c r="BY99" s="12">
        <f>IF('Données projet'!$A$114&gt;35,BY98+BX99-CG98,IF(A99&lt;'Données projet'!$A$114,$BV$205^A99,IF(A99='Données projet'!$A$114,'Données projet'!$B$114,BY98+BX99-CG98)))</f>
        <v>313.7549999999992</v>
      </c>
      <c r="BZ99" s="13">
        <f>BY99*VLOOKUP('Données projet'!$B$12,Paramètres!$A$1:$I$89,3,0)*VLOOKUP('Données projet'!$B$12,Paramètres!$A$1:$I$89,5,0)</f>
        <v>146.83733999999961</v>
      </c>
      <c r="CA99" s="13">
        <f t="shared" si="93"/>
        <v>37.858970831678995</v>
      </c>
      <c r="CB99" s="20">
        <f t="shared" si="64"/>
        <v>321.67940803184018</v>
      </c>
      <c r="CC99" s="59">
        <f t="shared" si="65"/>
        <v>597.92846022822755</v>
      </c>
      <c r="CD99" s="59">
        <f ca="1">AVERAGE(OFFSET($CC$3,0,0,'Données projet'!$E$12+1,1))-AVERAGE(OFFSET($H$3,0,0,'Données projet'!$E$12+1,1))</f>
        <v>331.86732359395467</v>
      </c>
      <c r="CE99" s="59">
        <f t="shared" si="94"/>
        <v>208.64489375183106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181.81462173317743</v>
      </c>
      <c r="CL99" s="21">
        <f>EXP(-LN(2)/25)*CL98+(1-EXP(-LN(2)/25))/(LN(2)/25)*Calculateur!CG99*Calculateur!CI99*VLOOKUP('Données projet'!$B$12,Paramètres!$A$1:$I$89,3,0)*0.475*44/12</f>
        <v>0</v>
      </c>
      <c r="CM99" s="21">
        <f>EXP(-LN(2)/2)*CM98+(1-EXP(-LN(2)/2))/(LN(2)/2)*CG99*CJ99*VLOOKUP('Données projet'!$B$12,Paramètres!$A$1:$I$89,3,0)*0.475*44/12</f>
        <v>0</v>
      </c>
      <c r="CN99" s="22">
        <f t="shared" si="66"/>
        <v>181.81462173317743</v>
      </c>
      <c r="CO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319</v>
      </c>
      <c r="CU99" s="17">
        <f>CT99*VLOOKUP('Données projet'!$B$13,Paramètres!$A$1:$I$89,3,0)*VLOOKUP('Données projet'!$B$13,Paramètres!$A$1:$I$89,5,0)</f>
        <v>233.89079999999998</v>
      </c>
      <c r="CV99" s="13">
        <f t="shared" si="95"/>
        <v>57.123140349023068</v>
      </c>
      <c r="CW99" s="20">
        <f t="shared" si="67"/>
        <v>506.84927944121517</v>
      </c>
      <c r="CX99" s="59">
        <f t="shared" si="68"/>
        <v>783.09833163760254</v>
      </c>
      <c r="CY99" s="59">
        <f ca="1">AVERAGE(OFFSET($CX$3,0,0,'Données projet'!$E$13+1,1))-AVERAGE(OFFSET($H$3,0,0,'Données projet'!$E$13+1,1))</f>
        <v>352.45777291109863</v>
      </c>
      <c r="CZ99" s="59">
        <f t="shared" si="96"/>
        <v>340.92165104349181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28.957350349756602</v>
      </c>
      <c r="DG99" s="21">
        <f>EXP(-LN(2)/25)*DG98+(1-EXP(-LN(2)/25))/(LN(2)/25)*Calculateur!DB99*Calculateur!DD99*VLOOKUP('Données projet'!$B$13,Paramètres!$A$1:$I$89,3,0)*0.475*44/12</f>
        <v>0</v>
      </c>
      <c r="DH99" s="21">
        <f>EXP(-LN(2)/2)*DH98+(1-EXP(-LN(2)/2))/(LN(2)/2)*DB99*DE99*VLOOKUP('Données projet'!$B$13,Paramètres!$A$1:$I$89,3,0)*0.475*44/12</f>
        <v>0</v>
      </c>
      <c r="DI99" s="22">
        <f t="shared" si="69"/>
        <v>28.957350349756602</v>
      </c>
      <c r="DJ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9.9470000000000027</v>
      </c>
      <c r="DO99" s="12">
        <f>IF('Données projet'!$A$166&gt;35,DO98+DN99-DW98,IF(A99&lt;'Données projet'!$A$166,$DL$205^A99,IF(A99='Données projet'!$A$166,'Données projet'!$B$166,DO98+DN99-DW98)))</f>
        <v>434.95900000000012</v>
      </c>
      <c r="DP99" s="17">
        <f>DO99*VLOOKUP('Données projet'!$B$14,Paramètres!$A$1:$I$89,3,0)*VLOOKUP('Données projet'!$B$14,Paramètres!$A$1:$I$89,5,0)</f>
        <v>291.77049720000008</v>
      </c>
      <c r="DQ99" s="13">
        <f t="shared" si="97"/>
        <v>69.448460703636997</v>
      </c>
      <c r="DR99" s="20">
        <f t="shared" si="70"/>
        <v>629.12301834883453</v>
      </c>
      <c r="DS99" s="59">
        <f t="shared" si="71"/>
        <v>905.37207054522196</v>
      </c>
      <c r="DT99" s="59">
        <f ca="1">AVERAGE(OFFSET($DS$3,0,0,'Données projet'!$E$14+1,1))-AVERAGE(OFFSET($H$3,0,0,'Données projet'!$E$14+1,1))</f>
        <v>441.20130048888439</v>
      </c>
      <c r="DU99" s="59">
        <f t="shared" si="98"/>
        <v>237.47732532183946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96.566173559670929</v>
      </c>
      <c r="EB99" s="21">
        <f>EXP(-LN(2)/25)*EB98+(1-EXP(-LN(2)/25))/(LN(2)/25)*Calculateur!DW99*Calculateur!DY99*VLOOKUP('Données projet'!$B$14,Paramètres!$A$1:$I$89,3,0)*0.475*44/12</f>
        <v>0</v>
      </c>
      <c r="EC99" s="21">
        <f>EXP(-LN(2)/2)*EC98+(1-EXP(-LN(2)/2))/(LN(2)/2)*DW99*DZ99*VLOOKUP('Données projet'!$B$14,Paramètres!$A$1:$I$89,3,0)*0.475*44/12</f>
        <v>0</v>
      </c>
      <c r="ED99" s="22">
        <f t="shared" si="72"/>
        <v>96.566173559670929</v>
      </c>
      <c r="EE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319</v>
      </c>
      <c r="EK99" s="17">
        <f>EJ99*VLOOKUP('Données projet'!$B$15,Paramètres!$A$1:$I$89,3,0)*VLOOKUP('Données projet'!$B$15,Paramètres!$A$1:$I$89,5,0)</f>
        <v>253.79640000000001</v>
      </c>
      <c r="EL99" s="13">
        <f t="shared" si="99"/>
        <v>61.39816832228076</v>
      </c>
      <c r="EM99" s="20">
        <f t="shared" si="73"/>
        <v>548.96387316130563</v>
      </c>
      <c r="EN99" s="59">
        <f t="shared" si="74"/>
        <v>825.21292535769305</v>
      </c>
      <c r="EO99" s="59">
        <f ca="1">AVERAGE(OFFSET($EN$3,0,0,'Données projet'!$E$15+1,1))-AVERAGE(OFFSET($H$3,0,0,'Données projet'!$E$15+1,1))</f>
        <v>377.27600411578322</v>
      </c>
      <c r="EP99" s="59">
        <f t="shared" si="100"/>
        <v>364.58250627635425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>
        <f>EXP(-LN(2)/35)*EV98+(1-EXP(-LN(2)/35))/(LN(2)/35)*ER99*ES99*VLOOKUP('Données projet'!$B$15,Paramètres!$A$1:$I$89,3,0)*0.475*44/12</f>
        <v>38.729202372781849</v>
      </c>
      <c r="EW99" s="21">
        <f>EXP(-LN(2)/25)*EW98+(1-EXP(-LN(2)/25))/(LN(2)/25)*Calculateur!ER99*Calculateur!ET99*VLOOKUP('Données projet'!$B$15,Paramètres!$A$1:$I$89,3,0)*0.475*44/12</f>
        <v>0</v>
      </c>
      <c r="EX99" s="21">
        <f>EXP(-LN(2)/2)*EX98+(1-EXP(-LN(2)/2))/(LN(2)/2)*ER99*EU99*VLOOKUP('Données projet'!$B$15,Paramètres!$A$1:$I$89,3,0)*0.475*44/12</f>
        <v>0</v>
      </c>
      <c r="EY99" s="22">
        <f t="shared" si="75"/>
        <v>38.729202372781849</v>
      </c>
      <c r="EZ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319</v>
      </c>
      <c r="FF99" s="17">
        <f>FE99*VLOOKUP('Données projet'!$B$16,Paramètres!$A$1:$I$89,3,0)*VLOOKUP('Données projet'!$B$16,Paramètres!$A$1:$I$89,5,0)</f>
        <v>258.77280000000002</v>
      </c>
      <c r="FG99" s="13">
        <f t="shared" si="101"/>
        <v>62.460716522234691</v>
      </c>
      <c r="FH99" s="20">
        <f t="shared" si="76"/>
        <v>559.48170794289206</v>
      </c>
      <c r="FI99" s="59">
        <f t="shared" si="77"/>
        <v>835.73076013927948</v>
      </c>
      <c r="FJ99" s="59">
        <f ca="1">AVERAGE(OFFSET($FI$3,0,0,'Données projet'!$E$16+1,1))-AVERAGE(OFFSET($H$3,0,0,'Données projet'!$E$16+1,1))</f>
        <v>383.47399633251354</v>
      </c>
      <c r="FK99" s="59">
        <f t="shared" si="102"/>
        <v>370.49129421395628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>
        <f>EXP(-LN(2)/35)*FQ98+(1-EXP(-LN(2)/35))/(LN(2)/35)*FM99*FN99*VLOOKUP('Données projet'!$B$16,Paramètres!$A$1:$I$89,3,0)*0.475*44/12</f>
        <v>39.48859849773838</v>
      </c>
      <c r="FR99" s="21">
        <f>EXP(-LN(2)/25)*FR98+(1-EXP(-LN(2)/25))/(LN(2)/25)*Calculateur!FM99*Calculateur!FO99*VLOOKUP('Données projet'!$B$16,Paramètres!$A$1:$I$89,3,0)*0.475*44/12</f>
        <v>0</v>
      </c>
      <c r="FS99" s="21">
        <f>EXP(-LN(2)/2)*FS98+(1-EXP(-LN(2)/2))/(LN(2)/2)*FM99*FP99*VLOOKUP('Données projet'!$B$16,Paramètres!$A$1:$I$89,3,0)*0.475*44/12</f>
        <v>0</v>
      </c>
      <c r="FT99" s="22">
        <f t="shared" si="78"/>
        <v>39.48859849773838</v>
      </c>
      <c r="FU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9.9470000000000027</v>
      </c>
      <c r="FZ99" s="12">
        <f>IF('Données projet'!$A$244&gt;35,FZ98+FY99-GH98,IF(A99&lt;'Données projet'!$A$244,$FW$205^A99,IF(A99='Données projet'!$A$244,'Données projet'!$B$244,FZ98+FY99-GH98)))</f>
        <v>434.95900000000012</v>
      </c>
      <c r="GA99" s="17">
        <f>FZ99*VLOOKUP('Données projet'!$B$17,Paramètres!$A$1:$I$89,3,0)*VLOOKUP('Données projet'!$B$17,Paramètres!$A$1:$I$89,5,0)</f>
        <v>413.90698440000011</v>
      </c>
      <c r="GB99" s="13">
        <f t="shared" si="103"/>
        <v>94.590460350961564</v>
      </c>
      <c r="GC99" s="20">
        <f t="shared" si="79"/>
        <v>885.63304960792482</v>
      </c>
      <c r="GD99" s="59">
        <f t="shared" si="80"/>
        <v>1161.8821018043122</v>
      </c>
      <c r="GE99" s="59">
        <f ca="1">AVERAGE(OFFSET($GD$3,0,0,'Données projet'!$E$17+1,1))-AVERAGE(OFFSET($H$3,0,0,'Données projet'!$E$17+1,1))</f>
        <v>592.58528889137358</v>
      </c>
      <c r="GF99" s="59">
        <f t="shared" si="104"/>
        <v>311.31528020403709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>
        <f>EXP(-LN(2)/35)*GL98+(1-EXP(-LN(2)/35))/(LN(2)/35)*GH99*GI99*VLOOKUP('Données projet'!$B$17,Paramètres!$A$1:$I$89,3,0)*0.475*44/12</f>
        <v>111.14219975735713</v>
      </c>
      <c r="GM99" s="21">
        <f>EXP(-LN(2)/25)*GM98+(1-EXP(-LN(2)/25))/(LN(2)/25)*Calculateur!GH99*Calculateur!GJ99*VLOOKUP('Données projet'!$B$17,Paramètres!$A$1:$I$89,3,0)*0.475*44/12</f>
        <v>0</v>
      </c>
      <c r="GN99" s="21">
        <f>EXP(-LN(2)/2)*GN98+(1-EXP(-LN(2)/2))/(LN(2)/2)*GH99*GK99*VLOOKUP('Données projet'!$B$17,Paramètres!$A$1:$I$89,3,0)*0.475*44/12</f>
        <v>0</v>
      </c>
      <c r="GO99" s="21">
        <f t="shared" si="81"/>
        <v>111.14219975735713</v>
      </c>
      <c r="GP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328.00000000000006</v>
      </c>
      <c r="GV99" s="17">
        <f>GU99*VLOOKUP('Données projet'!$B$18,Paramètres!$A$1:$I$89,3,0)*VLOOKUP('Données projet'!$B$18,Paramètres!$A$1:$I$89,5,0)</f>
        <v>255.84000000000006</v>
      </c>
      <c r="GW99" s="13">
        <f t="shared" si="105"/>
        <v>61.834803371075836</v>
      </c>
      <c r="GX99" s="20">
        <f t="shared" si="82"/>
        <v>553.28361587129041</v>
      </c>
      <c r="GY99" s="59">
        <f t="shared" si="83"/>
        <v>829.53266806767783</v>
      </c>
      <c r="GZ99" s="59">
        <f ca="1">AVERAGE(OFFSET($GY$3,0,0,'Données projet'!$E$18+1,1))-AVERAGE(OFFSET($H$3,0,0,'Données projet'!$E$18+1,1))</f>
        <v>308.85018589589453</v>
      </c>
      <c r="HA99" s="59">
        <f t="shared" si="106"/>
        <v>302.59481222418219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>
        <f>EXP(-LN(2)/35)*HG98+(1-EXP(-LN(2)/35))/(LN(2)/35)*HC99*HD99*VLOOKUP('Données projet'!$B$18,Paramètres!$A$1:$I$89,3,0)*0.475*44/12</f>
        <v>29.514588019376063</v>
      </c>
      <c r="HH99" s="21">
        <f>EXP(-LN(2)/25)*HH98+(1-EXP(-LN(2)/25))/(LN(2)/25)*Calculateur!HC99*Calculateur!HE99*VLOOKUP('Données projet'!$B$18,Paramètres!$A$1:$I$89,3,0)*0.475*44/12</f>
        <v>0</v>
      </c>
      <c r="HI99" s="21">
        <f>EXP(-LN(2)/2)*HI98+(1-EXP(-LN(2)/2))/(LN(2)/2)*HC99*HF99*VLOOKUP('Données projet'!$B$18,Paramètres!$A$1:$I$89,3,0)*0.475*44/12</f>
        <v>0</v>
      </c>
      <c r="HJ99" s="22">
        <f t="shared" si="84"/>
        <v>29.514588019376063</v>
      </c>
    </row>
    <row r="100" spans="1:218" x14ac:dyDescent="0.35">
      <c r="A100" s="10">
        <f t="shared" si="85"/>
        <v>97</v>
      </c>
      <c r="B100" s="72">
        <f>'Scénario référence'!$B$16*5+'Scénario référence'!$B$17*0+'Scénario référence'!$B$18*5</f>
        <v>5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66">
        <f t="shared" si="56"/>
        <v>183.33333333333334</v>
      </c>
      <c r="I100" s="6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9.9470000000000027</v>
      </c>
      <c r="N100" s="13">
        <f>IF('Données projet'!$A$36&gt;35,N99+M100-V99,IF(A100&lt;'Données projet'!$A$36,$K$205^A100,IF(A100='Données projet'!$A$36,'Données projet'!$B$36,N99+M100-V99)))</f>
        <v>444.90600000000012</v>
      </c>
      <c r="O100" s="13">
        <f>N100*VLOOKUP('Données projet'!$B$9,Paramètres!$A$1:$I$89,3,0)*VLOOKUP('Données projet'!$B$9,Paramètres!$A$1:$I$89,5,0)</f>
        <v>402.55094880000007</v>
      </c>
      <c r="P100" s="13">
        <f t="shared" si="87"/>
        <v>92.293639443453927</v>
      </c>
      <c r="Q100" s="20">
        <f t="shared" si="107"/>
        <v>861.85432452401562</v>
      </c>
      <c r="R100" s="59">
        <f t="shared" si="55"/>
        <v>1138.3997508033985</v>
      </c>
      <c r="S100" s="59">
        <f ca="1">AVERAGE(OFFSET($R$3,0,0,'Données projet'!$E$9+1,1))-AVERAGE(OFFSET($H$3,0,0,'Données projet'!$E$9+1,1))</f>
        <v>567.42635821507474</v>
      </c>
      <c r="T100" s="59">
        <f t="shared" si="88"/>
        <v>299.04735309930152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103.6039443047456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103.6039443047456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9.9470000000000027</v>
      </c>
      <c r="AI100" s="13">
        <f>IF('Données projet'!$A$62&gt;35,AI99+AH100-AQ99,IF(A100&lt;'Données projet'!$A$62,$AF$205^A100,IF(A100='Données projet'!$A$62,'Données projet'!$B$62,AI99+AH100-AQ99)))</f>
        <v>444.90600000000012</v>
      </c>
      <c r="AJ100" s="13">
        <f>AI100*VLOOKUP('Données projet'!$B$10,Paramètres!$A$1:$I$89,3,0)*VLOOKUP('Données projet'!$B$10,Paramètres!$A$1:$I$89,5,0)</f>
        <v>451.13468400000016</v>
      </c>
      <c r="AK100" s="13">
        <f t="shared" si="89"/>
        <v>102.0697471226993</v>
      </c>
      <c r="AL100" s="20">
        <f t="shared" si="58"/>
        <v>963.49771753870164</v>
      </c>
      <c r="AM100" s="59">
        <f t="shared" si="59"/>
        <v>1240.0431438180844</v>
      </c>
      <c r="AN100" s="59">
        <f ca="1">AVERAGE(OFFSET($AM$3,0,0,'Données projet'!$E$10+1,1))-AVERAGE(OFFSET($H$3,0,0,'Données projet'!$E$10+1,1))</f>
        <v>626.09203985591455</v>
      </c>
      <c r="AO100" s="59">
        <f t="shared" si="90"/>
        <v>327.65191296575199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116.10786861738734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116.10786861738734</v>
      </c>
      <c r="AY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7.2</v>
      </c>
      <c r="BD100" s="12">
        <f>IF('Données projet'!$A$88&gt;35,BD99+BC100-BL99,IF(A100&lt;'Données projet'!$A$88,$BA$205^A100,IF(A100='Données projet'!$A$88,'Données projet'!$B$88,BD99+BC100-BL99)))</f>
        <v>378.39999999999992</v>
      </c>
      <c r="BE100" s="13">
        <f>BD100*VLOOKUP('Données projet'!$B$11,Paramètres!$A$1:$I$89,3,0)*VLOOKUP('Données projet'!$B$11,Paramètres!$A$1:$I$89,5,0)</f>
        <v>324.66719999999998</v>
      </c>
      <c r="BF100" s="13">
        <f t="shared" si="91"/>
        <v>76.323635512638404</v>
      </c>
      <c r="BG100" s="20">
        <f t="shared" si="61"/>
        <v>698.39237185117838</v>
      </c>
      <c r="BH100" s="59">
        <f t="shared" si="62"/>
        <v>974.93779813056119</v>
      </c>
      <c r="BI100" s="59">
        <f ca="1">AVERAGE(OFFSET($BH$3,0,0,'Données projet'!$E$11+1,1))-AVERAGE(OFFSET($H$3,0,0,'Données projet'!$E$11+1,1))</f>
        <v>481.23392184981651</v>
      </c>
      <c r="BJ100" s="59">
        <f t="shared" si="92"/>
        <v>275.88160405468193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101.17249461126035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101.17249461126035</v>
      </c>
      <c r="BT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8.5349999999999966</v>
      </c>
      <c r="BY100" s="12">
        <f>IF('Données projet'!$A$114&gt;35,BY99+BX100-CG99,IF(A100&lt;'Données projet'!$A$114,$BV$205^A100,IF(A100='Données projet'!$A$114,'Données projet'!$B$114,BY99+BX100-CG99)))</f>
        <v>322.28999999999917</v>
      </c>
      <c r="BZ100" s="13">
        <f>BY100*VLOOKUP('Données projet'!$B$12,Paramètres!$A$1:$I$89,3,0)*VLOOKUP('Données projet'!$B$12,Paramètres!$A$1:$I$89,5,0)</f>
        <v>150.83171999999962</v>
      </c>
      <c r="CA100" s="13">
        <f t="shared" si="93"/>
        <v>38.767536105502572</v>
      </c>
      <c r="CB100" s="20">
        <f t="shared" si="64"/>
        <v>330.2187043837497</v>
      </c>
      <c r="CC100" s="59">
        <f t="shared" si="65"/>
        <v>606.76413066313251</v>
      </c>
      <c r="CD100" s="59">
        <f ca="1">AVERAGE(OFFSET($CC$3,0,0,'Données projet'!$E$12+1,1))-AVERAGE(OFFSET($H$3,0,0,'Données projet'!$E$12+1,1))</f>
        <v>331.86732359395467</v>
      </c>
      <c r="CE100" s="59">
        <f t="shared" si="94"/>
        <v>208.64489375183106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178.24934789695902</v>
      </c>
      <c r="CL100" s="21">
        <f>EXP(-LN(2)/25)*CL99+(1-EXP(-LN(2)/25))/(LN(2)/25)*Calculateur!CG100*Calculateur!CI100*VLOOKUP('Données projet'!$B$12,Paramètres!$A$1:$I$89,3,0)*0.475*44/12</f>
        <v>0</v>
      </c>
      <c r="CM100" s="21">
        <f>EXP(-LN(2)/2)*CM99+(1-EXP(-LN(2)/2))/(LN(2)/2)*CG100*CJ100*VLOOKUP('Données projet'!$B$12,Paramètres!$A$1:$I$89,3,0)*0.475*44/12</f>
        <v>0</v>
      </c>
      <c r="CN100" s="22">
        <f t="shared" si="66"/>
        <v>178.24934789695902</v>
      </c>
      <c r="CO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319</v>
      </c>
      <c r="CU100" s="17">
        <f>CT100*VLOOKUP('Données projet'!$B$13,Paramètres!$A$1:$I$89,3,0)*VLOOKUP('Données projet'!$B$13,Paramètres!$A$1:$I$89,5,0)</f>
        <v>233.89079999999998</v>
      </c>
      <c r="CV100" s="13">
        <f t="shared" si="95"/>
        <v>57.123140349023068</v>
      </c>
      <c r="CW100" s="20">
        <f t="shared" si="67"/>
        <v>506.84927944121517</v>
      </c>
      <c r="CX100" s="59">
        <f t="shared" si="68"/>
        <v>783.39470572059804</v>
      </c>
      <c r="CY100" s="59">
        <f ca="1">AVERAGE(OFFSET($CX$3,0,0,'Données projet'!$E$13+1,1))-AVERAGE(OFFSET($H$3,0,0,'Données projet'!$E$13+1,1))</f>
        <v>352.45777291109863</v>
      </c>
      <c r="CZ100" s="59">
        <f t="shared" si="96"/>
        <v>340.92165104349181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28.389514371637588</v>
      </c>
      <c r="DG100" s="21">
        <f>EXP(-LN(2)/25)*DG99+(1-EXP(-LN(2)/25))/(LN(2)/25)*Calculateur!DB100*Calculateur!DD100*VLOOKUP('Données projet'!$B$13,Paramètres!$A$1:$I$89,3,0)*0.475*44/12</f>
        <v>0</v>
      </c>
      <c r="DH100" s="21">
        <f>EXP(-LN(2)/2)*DH99+(1-EXP(-LN(2)/2))/(LN(2)/2)*DB100*DE100*VLOOKUP('Données projet'!$B$13,Paramètres!$A$1:$I$89,3,0)*0.475*44/12</f>
        <v>0</v>
      </c>
      <c r="DI100" s="22">
        <f t="shared" si="69"/>
        <v>28.389514371637588</v>
      </c>
      <c r="DJ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9.9470000000000027</v>
      </c>
      <c r="DO100" s="12">
        <f>IF('Données projet'!$A$166&gt;35,DO99+DN100-DW99,IF(A100&lt;'Données projet'!$A$166,$DL$205^A100,IF(A100='Données projet'!$A$166,'Données projet'!$B$166,DO99+DN100-DW99)))</f>
        <v>444.90600000000012</v>
      </c>
      <c r="DP100" s="17">
        <f>DO100*VLOOKUP('Données projet'!$B$14,Paramètres!$A$1:$I$89,3,0)*VLOOKUP('Données projet'!$B$14,Paramètres!$A$1:$I$89,5,0)</f>
        <v>298.44294480000008</v>
      </c>
      <c r="DQ100" s="13">
        <f t="shared" si="97"/>
        <v>70.849946106813846</v>
      </c>
      <c r="DR100" s="20">
        <f t="shared" si="70"/>
        <v>643.18511832936758</v>
      </c>
      <c r="DS100" s="59">
        <f t="shared" si="71"/>
        <v>919.73054460875039</v>
      </c>
      <c r="DT100" s="59">
        <f ca="1">AVERAGE(OFFSET($DS$3,0,0,'Données projet'!$E$14+1,1))-AVERAGE(OFFSET($H$3,0,0,'Données projet'!$E$14+1,1))</f>
        <v>441.20130048888439</v>
      </c>
      <c r="DU100" s="59">
        <f t="shared" si="98"/>
        <v>237.47732532183946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94.672569795715802</v>
      </c>
      <c r="EB100" s="21">
        <f>EXP(-LN(2)/25)*EB99+(1-EXP(-LN(2)/25))/(LN(2)/25)*Calculateur!DW100*Calculateur!DY100*VLOOKUP('Données projet'!$B$14,Paramètres!$A$1:$I$89,3,0)*0.475*44/12</f>
        <v>0</v>
      </c>
      <c r="EC100" s="21">
        <f>EXP(-LN(2)/2)*EC99+(1-EXP(-LN(2)/2))/(LN(2)/2)*DW100*DZ100*VLOOKUP('Données projet'!$B$14,Paramètres!$A$1:$I$89,3,0)*0.475*44/12</f>
        <v>0</v>
      </c>
      <c r="ED100" s="22">
        <f t="shared" si="72"/>
        <v>94.672569795715802</v>
      </c>
      <c r="EE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319</v>
      </c>
      <c r="EK100" s="17">
        <f>EJ100*VLOOKUP('Données projet'!$B$15,Paramètres!$A$1:$I$89,3,0)*VLOOKUP('Données projet'!$B$15,Paramètres!$A$1:$I$89,5,0)</f>
        <v>253.79640000000001</v>
      </c>
      <c r="EL100" s="13">
        <f t="shared" si="99"/>
        <v>61.39816832228076</v>
      </c>
      <c r="EM100" s="20">
        <f t="shared" si="73"/>
        <v>548.96387316130563</v>
      </c>
      <c r="EN100" s="59">
        <f t="shared" si="74"/>
        <v>825.50929944068844</v>
      </c>
      <c r="EO100" s="59">
        <f ca="1">AVERAGE(OFFSET($EN$3,0,0,'Données projet'!$E$15+1,1))-AVERAGE(OFFSET($H$3,0,0,'Données projet'!$E$15+1,1))</f>
        <v>377.27600411578322</v>
      </c>
      <c r="EP100" s="59">
        <f t="shared" si="100"/>
        <v>364.58250627635425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>
        <f>EXP(-LN(2)/35)*EV99+(1-EXP(-LN(2)/35))/(LN(2)/35)*ER100*ES100*VLOOKUP('Données projet'!$B$15,Paramètres!$A$1:$I$89,3,0)*0.475*44/12</f>
        <v>37.96974633673252</v>
      </c>
      <c r="EW100" s="21">
        <f>EXP(-LN(2)/25)*EW99+(1-EXP(-LN(2)/25))/(LN(2)/25)*Calculateur!ER100*Calculateur!ET100*VLOOKUP('Données projet'!$B$15,Paramètres!$A$1:$I$89,3,0)*0.475*44/12</f>
        <v>0</v>
      </c>
      <c r="EX100" s="21">
        <f>EXP(-LN(2)/2)*EX99+(1-EXP(-LN(2)/2))/(LN(2)/2)*ER100*EU100*VLOOKUP('Données projet'!$B$15,Paramètres!$A$1:$I$89,3,0)*0.475*44/12</f>
        <v>0</v>
      </c>
      <c r="EY100" s="22">
        <f t="shared" si="75"/>
        <v>37.96974633673252</v>
      </c>
      <c r="EZ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319</v>
      </c>
      <c r="FF100" s="17">
        <f>FE100*VLOOKUP('Données projet'!$B$16,Paramètres!$A$1:$I$89,3,0)*VLOOKUP('Données projet'!$B$16,Paramètres!$A$1:$I$89,5,0)</f>
        <v>258.77280000000002</v>
      </c>
      <c r="FG100" s="13">
        <f t="shared" si="101"/>
        <v>62.460716522234691</v>
      </c>
      <c r="FH100" s="20">
        <f t="shared" si="76"/>
        <v>559.48170794289206</v>
      </c>
      <c r="FI100" s="59">
        <f t="shared" si="77"/>
        <v>836.02713422227487</v>
      </c>
      <c r="FJ100" s="59">
        <f ca="1">AVERAGE(OFFSET($FI$3,0,0,'Données projet'!$E$16+1,1))-AVERAGE(OFFSET($H$3,0,0,'Données projet'!$E$16+1,1))</f>
        <v>383.47399633251354</v>
      </c>
      <c r="FK100" s="59">
        <f t="shared" si="102"/>
        <v>370.49129421395628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>
        <f>EXP(-LN(2)/35)*FQ99+(1-EXP(-LN(2)/35))/(LN(2)/35)*FM100*FN100*VLOOKUP('Données projet'!$B$16,Paramètres!$A$1:$I$89,3,0)*0.475*44/12</f>
        <v>38.71425116686455</v>
      </c>
      <c r="FR100" s="21">
        <f>EXP(-LN(2)/25)*FR99+(1-EXP(-LN(2)/25))/(LN(2)/25)*Calculateur!FM100*Calculateur!FO100*VLOOKUP('Données projet'!$B$16,Paramètres!$A$1:$I$89,3,0)*0.475*44/12</f>
        <v>0</v>
      </c>
      <c r="FS100" s="21">
        <f>EXP(-LN(2)/2)*FS99+(1-EXP(-LN(2)/2))/(LN(2)/2)*FM100*FP100*VLOOKUP('Données projet'!$B$16,Paramètres!$A$1:$I$89,3,0)*0.475*44/12</f>
        <v>0</v>
      </c>
      <c r="FT100" s="22">
        <f t="shared" si="78"/>
        <v>38.71425116686455</v>
      </c>
      <c r="FU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9.9470000000000027</v>
      </c>
      <c r="FZ100" s="12">
        <f>IF('Données projet'!$A$244&gt;35,FZ99+FY100-GH99,IF(A100&lt;'Données projet'!$A$244,$FW$205^A100,IF(A100='Données projet'!$A$244,'Données projet'!$B$244,FZ99+FY100-GH99)))</f>
        <v>444.90600000000012</v>
      </c>
      <c r="GA100" s="17">
        <f>FZ100*VLOOKUP('Données projet'!$B$17,Paramètres!$A$1:$I$89,3,0)*VLOOKUP('Données projet'!$B$17,Paramètres!$A$1:$I$89,5,0)</f>
        <v>423.37254960000018</v>
      </c>
      <c r="GB100" s="13">
        <f t="shared" si="103"/>
        <v>96.499316906146717</v>
      </c>
      <c r="GC100" s="20">
        <f t="shared" si="79"/>
        <v>905.44350083153915</v>
      </c>
      <c r="GD100" s="59">
        <f t="shared" si="80"/>
        <v>1181.9889271109218</v>
      </c>
      <c r="GE100" s="59">
        <f ca="1">AVERAGE(OFFSET($GD$3,0,0,'Données projet'!$E$17+1,1))-AVERAGE(OFFSET($H$3,0,0,'Données projet'!$E$17+1,1))</f>
        <v>592.58528889137358</v>
      </c>
      <c r="GF100" s="59">
        <f t="shared" si="104"/>
        <v>311.31528020403709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>
        <f>EXP(-LN(2)/35)*GL99+(1-EXP(-LN(2)/35))/(LN(2)/35)*GH100*GI100*VLOOKUP('Données projet'!$B$17,Paramètres!$A$1:$I$89,3,0)*0.475*44/12</f>
        <v>108.9627690101635</v>
      </c>
      <c r="GM100" s="21">
        <f>EXP(-LN(2)/25)*GM99+(1-EXP(-LN(2)/25))/(LN(2)/25)*Calculateur!GH100*Calculateur!GJ100*VLOOKUP('Données projet'!$B$17,Paramètres!$A$1:$I$89,3,0)*0.475*44/12</f>
        <v>0</v>
      </c>
      <c r="GN100" s="21">
        <f>EXP(-LN(2)/2)*GN99+(1-EXP(-LN(2)/2))/(LN(2)/2)*GH100*GK100*VLOOKUP('Données projet'!$B$17,Paramètres!$A$1:$I$89,3,0)*0.475*44/12</f>
        <v>0</v>
      </c>
      <c r="GO100" s="21">
        <f t="shared" si="81"/>
        <v>108.9627690101635</v>
      </c>
      <c r="GP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328.00000000000006</v>
      </c>
      <c r="GV100" s="17">
        <f>GU100*VLOOKUP('Données projet'!$B$18,Paramètres!$A$1:$I$89,3,0)*VLOOKUP('Données projet'!$B$18,Paramètres!$A$1:$I$89,5,0)</f>
        <v>255.84000000000006</v>
      </c>
      <c r="GW100" s="13">
        <f t="shared" si="105"/>
        <v>61.834803371075836</v>
      </c>
      <c r="GX100" s="20">
        <f t="shared" si="82"/>
        <v>553.28361587129041</v>
      </c>
      <c r="GY100" s="59">
        <f t="shared" si="83"/>
        <v>829.82904215067322</v>
      </c>
      <c r="GZ100" s="59">
        <f ca="1">AVERAGE(OFFSET($GY$3,0,0,'Données projet'!$E$18+1,1))-AVERAGE(OFFSET($H$3,0,0,'Données projet'!$E$18+1,1))</f>
        <v>308.85018589589453</v>
      </c>
      <c r="HA100" s="59">
        <f t="shared" si="106"/>
        <v>302.59481222418219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>
        <f>EXP(-LN(2)/35)*HG99+(1-EXP(-LN(2)/35))/(LN(2)/35)*HC100*HD100*VLOOKUP('Données projet'!$B$18,Paramètres!$A$1:$I$89,3,0)*0.475*44/12</f>
        <v>28.93582495043723</v>
      </c>
      <c r="HH100" s="21">
        <f>EXP(-LN(2)/25)*HH99+(1-EXP(-LN(2)/25))/(LN(2)/25)*Calculateur!HC100*Calculateur!HE100*VLOOKUP('Données projet'!$B$18,Paramètres!$A$1:$I$89,3,0)*0.475*44/12</f>
        <v>0</v>
      </c>
      <c r="HI100" s="21">
        <f>EXP(-LN(2)/2)*HI99+(1-EXP(-LN(2)/2))/(LN(2)/2)*HC100*HF100*VLOOKUP('Données projet'!$B$18,Paramètres!$A$1:$I$89,3,0)*0.475*44/12</f>
        <v>0</v>
      </c>
      <c r="HJ100" s="22">
        <f t="shared" si="84"/>
        <v>28.93582495043723</v>
      </c>
    </row>
    <row r="101" spans="1:218" x14ac:dyDescent="0.35">
      <c r="A101" s="10">
        <f t="shared" si="85"/>
        <v>98</v>
      </c>
      <c r="B101" s="72">
        <f>'Scénario référence'!$B$16*5+'Scénario référence'!$B$17*0+'Scénario référence'!$B$18*5</f>
        <v>5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66">
        <f t="shared" si="56"/>
        <v>183.33333333333334</v>
      </c>
      <c r="I101" s="6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9.9470000000000027</v>
      </c>
      <c r="N101" s="13">
        <f>IF('Données projet'!$A$36&gt;35,N100+M101-V100,IF(A101&lt;'Données projet'!$A$36,$K$205^A101,IF(A101='Données projet'!$A$36,'Données projet'!$B$36,N100+M101-V100)))</f>
        <v>454.85300000000012</v>
      </c>
      <c r="O101" s="13">
        <f>N101*VLOOKUP('Données projet'!$B$9,Paramètres!$A$1:$I$89,3,0)*VLOOKUP('Données projet'!$B$9,Paramètres!$A$1:$I$89,5,0)</f>
        <v>411.55099440000004</v>
      </c>
      <c r="P101" s="13">
        <f t="shared" si="87"/>
        <v>94.11455795809178</v>
      </c>
      <c r="Q101" s="20">
        <f t="shared" si="107"/>
        <v>880.70083702367663</v>
      </c>
      <c r="R101" s="59">
        <f t="shared" si="55"/>
        <v>1157.537495958308</v>
      </c>
      <c r="S101" s="59">
        <f ca="1">AVERAGE(OFFSET($R$3,0,0,'Données projet'!$E$9+1,1))-AVERAGE(OFFSET($H$3,0,0,'Données projet'!$E$9+1,1))</f>
        <v>567.42635821507474</v>
      </c>
      <c r="T101" s="59">
        <f t="shared" si="88"/>
        <v>299.04735309930152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101.57233414909585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101.57233414909585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9.9470000000000027</v>
      </c>
      <c r="AI101" s="13">
        <f>IF('Données projet'!$A$62&gt;35,AI100+AH101-AQ100,IF(A101&lt;'Données projet'!$A$62,$AF$205^A101,IF(A101='Données projet'!$A$62,'Données projet'!$B$62,AI100+AH101-AQ100)))</f>
        <v>454.85300000000012</v>
      </c>
      <c r="AJ101" s="13">
        <f>AI101*VLOOKUP('Données projet'!$B$10,Paramètres!$A$1:$I$89,3,0)*VLOOKUP('Données projet'!$B$10,Paramètres!$A$1:$I$89,5,0)</f>
        <v>461.22094200000021</v>
      </c>
      <c r="AK101" s="13">
        <f t="shared" si="89"/>
        <v>104.08354453540181</v>
      </c>
      <c r="AL101" s="20">
        <f t="shared" si="58"/>
        <v>984.57198071582513</v>
      </c>
      <c r="AM101" s="59">
        <f t="shared" si="59"/>
        <v>1261.4086396504565</v>
      </c>
      <c r="AN101" s="59">
        <f ca="1">AVERAGE(OFFSET($AM$3,0,0,'Données projet'!$E$10+1,1))-AVERAGE(OFFSET($H$3,0,0,'Données projet'!$E$10+1,1))</f>
        <v>626.09203985591455</v>
      </c>
      <c r="AO101" s="59">
        <f t="shared" si="90"/>
        <v>327.65191296575199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113.83106413260745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113.83106413260745</v>
      </c>
      <c r="AY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7.2</v>
      </c>
      <c r="BD101" s="12">
        <f>IF('Données projet'!$A$88&gt;35,BD100+BC101-BL100,IF(A101&lt;'Données projet'!$A$88,$BA$205^A101,IF(A101='Données projet'!$A$88,'Données projet'!$B$88,BD100+BC101-BL100)))</f>
        <v>385.59999999999991</v>
      </c>
      <c r="BE101" s="13">
        <f>BD101*VLOOKUP('Données projet'!$B$11,Paramètres!$A$1:$I$89,3,0)*VLOOKUP('Données projet'!$B$11,Paramètres!$A$1:$I$89,5,0)</f>
        <v>330.84479999999996</v>
      </c>
      <c r="BF101" s="13">
        <f t="shared" si="91"/>
        <v>77.605429694617001</v>
      </c>
      <c r="BG101" s="20">
        <f t="shared" si="61"/>
        <v>711.38415005145782</v>
      </c>
      <c r="BH101" s="59">
        <f t="shared" si="62"/>
        <v>988.2208089860892</v>
      </c>
      <c r="BI101" s="59">
        <f ca="1">AVERAGE(OFFSET($BH$3,0,0,'Données projet'!$E$11+1,1))-AVERAGE(OFFSET($H$3,0,0,'Données projet'!$E$11+1,1))</f>
        <v>481.23392184981651</v>
      </c>
      <c r="BJ101" s="59">
        <f t="shared" si="92"/>
        <v>275.88160405468193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99.18856370106198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99.18856370106198</v>
      </c>
      <c r="BT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8.5349999999999966</v>
      </c>
      <c r="BY101" s="12">
        <f>IF('Données projet'!$A$114&gt;35,BY100+BX101-CG100,IF(A101&lt;'Données projet'!$A$114,$BV$205^A101,IF(A101='Données projet'!$A$114,'Données projet'!$B$114,BY100+BX101-CG100)))</f>
        <v>330.82499999999914</v>
      </c>
      <c r="BZ101" s="13">
        <f>BY101*VLOOKUP('Données projet'!$B$12,Paramètres!$A$1:$I$89,3,0)*VLOOKUP('Données projet'!$B$12,Paramètres!$A$1:$I$89,5,0)</f>
        <v>154.8260999999996</v>
      </c>
      <c r="CA101" s="13">
        <f t="shared" si="93"/>
        <v>39.673304651126898</v>
      </c>
      <c r="CB101" s="20">
        <f t="shared" si="64"/>
        <v>338.75312976737865</v>
      </c>
      <c r="CC101" s="59">
        <f t="shared" si="65"/>
        <v>615.58978870201008</v>
      </c>
      <c r="CD101" s="59">
        <f ca="1">AVERAGE(OFFSET($CC$3,0,0,'Données projet'!$E$12+1,1))-AVERAGE(OFFSET($H$3,0,0,'Données projet'!$E$12+1,1))</f>
        <v>331.86732359395467</v>
      </c>
      <c r="CE101" s="59">
        <f t="shared" si="94"/>
        <v>208.64489375183106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174.75398690606653</v>
      </c>
      <c r="CL101" s="21">
        <f>EXP(-LN(2)/25)*CL100+(1-EXP(-LN(2)/25))/(LN(2)/25)*Calculateur!CG101*Calculateur!CI101*VLOOKUP('Données projet'!$B$12,Paramètres!$A$1:$I$89,3,0)*0.475*44/12</f>
        <v>0</v>
      </c>
      <c r="CM101" s="21">
        <f>EXP(-LN(2)/2)*CM100+(1-EXP(-LN(2)/2))/(LN(2)/2)*CG101*CJ101*VLOOKUP('Données projet'!$B$12,Paramètres!$A$1:$I$89,3,0)*0.475*44/12</f>
        <v>0</v>
      </c>
      <c r="CN101" s="22">
        <f t="shared" si="66"/>
        <v>174.75398690606653</v>
      </c>
      <c r="CO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319</v>
      </c>
      <c r="CU101" s="17">
        <f>CT101*VLOOKUP('Données projet'!$B$13,Paramètres!$A$1:$I$89,3,0)*VLOOKUP('Données projet'!$B$13,Paramètres!$A$1:$I$89,5,0)</f>
        <v>233.89079999999998</v>
      </c>
      <c r="CV101" s="13">
        <f t="shared" si="95"/>
        <v>57.123140349023068</v>
      </c>
      <c r="CW101" s="20">
        <f t="shared" si="67"/>
        <v>506.84927944121517</v>
      </c>
      <c r="CX101" s="59">
        <f t="shared" si="68"/>
        <v>783.68593837584649</v>
      </c>
      <c r="CY101" s="59">
        <f ca="1">AVERAGE(OFFSET($CX$3,0,0,'Données projet'!$E$13+1,1))-AVERAGE(OFFSET($H$3,0,0,'Données projet'!$E$13+1,1))</f>
        <v>352.45777291109863</v>
      </c>
      <c r="CZ101" s="59">
        <f t="shared" si="96"/>
        <v>340.92165104349181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27.832813310703738</v>
      </c>
      <c r="DG101" s="21">
        <f>EXP(-LN(2)/25)*DG100+(1-EXP(-LN(2)/25))/(LN(2)/25)*Calculateur!DB101*Calculateur!DD101*VLOOKUP('Données projet'!$B$13,Paramètres!$A$1:$I$89,3,0)*0.475*44/12</f>
        <v>0</v>
      </c>
      <c r="DH101" s="21">
        <f>EXP(-LN(2)/2)*DH100+(1-EXP(-LN(2)/2))/(LN(2)/2)*DB101*DE101*VLOOKUP('Données projet'!$B$13,Paramètres!$A$1:$I$89,3,0)*0.475*44/12</f>
        <v>0</v>
      </c>
      <c r="DI101" s="22">
        <f t="shared" si="69"/>
        <v>27.832813310703738</v>
      </c>
      <c r="DJ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9.9470000000000027</v>
      </c>
      <c r="DO101" s="12">
        <f>IF('Données projet'!$A$166&gt;35,DO100+DN101-DW100,IF(A101&lt;'Données projet'!$A$166,$DL$205^A101,IF(A101='Données projet'!$A$166,'Données projet'!$B$166,DO100+DN101-DW100)))</f>
        <v>454.85300000000012</v>
      </c>
      <c r="DP101" s="17">
        <f>DO101*VLOOKUP('Données projet'!$B$14,Paramètres!$A$1:$I$89,3,0)*VLOOKUP('Données projet'!$B$14,Paramètres!$A$1:$I$89,5,0)</f>
        <v>305.11539240000008</v>
      </c>
      <c r="DQ101" s="13">
        <f t="shared" si="97"/>
        <v>72.247788681935546</v>
      </c>
      <c r="DR101" s="20">
        <f t="shared" si="70"/>
        <v>657.24087371770452</v>
      </c>
      <c r="DS101" s="59">
        <f t="shared" si="71"/>
        <v>934.07753265233589</v>
      </c>
      <c r="DT101" s="59">
        <f ca="1">AVERAGE(OFFSET($DS$3,0,0,'Données projet'!$E$14+1,1))-AVERAGE(OFFSET($H$3,0,0,'Données projet'!$E$14+1,1))</f>
        <v>441.20130048888439</v>
      </c>
      <c r="DU101" s="59">
        <f t="shared" si="98"/>
        <v>237.47732532183946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92.816098446587588</v>
      </c>
      <c r="EB101" s="21">
        <f>EXP(-LN(2)/25)*EB100+(1-EXP(-LN(2)/25))/(LN(2)/25)*Calculateur!DW101*Calculateur!DY101*VLOOKUP('Données projet'!$B$14,Paramètres!$A$1:$I$89,3,0)*0.475*44/12</f>
        <v>0</v>
      </c>
      <c r="EC101" s="21">
        <f>EXP(-LN(2)/2)*EC100+(1-EXP(-LN(2)/2))/(LN(2)/2)*DW101*DZ101*VLOOKUP('Données projet'!$B$14,Paramètres!$A$1:$I$89,3,0)*0.475*44/12</f>
        <v>0</v>
      </c>
      <c r="ED101" s="22">
        <f t="shared" si="72"/>
        <v>92.816098446587588</v>
      </c>
      <c r="EE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319</v>
      </c>
      <c r="EK101" s="17">
        <f>EJ101*VLOOKUP('Données projet'!$B$15,Paramètres!$A$1:$I$89,3,0)*VLOOKUP('Données projet'!$B$15,Paramètres!$A$1:$I$89,5,0)</f>
        <v>253.79640000000001</v>
      </c>
      <c r="EL101" s="13">
        <f t="shared" si="99"/>
        <v>61.39816832228076</v>
      </c>
      <c r="EM101" s="20">
        <f t="shared" si="73"/>
        <v>548.96387316130563</v>
      </c>
      <c r="EN101" s="59">
        <f t="shared" si="74"/>
        <v>825.800532095937</v>
      </c>
      <c r="EO101" s="59">
        <f ca="1">AVERAGE(OFFSET($EN$3,0,0,'Données projet'!$E$15+1,1))-AVERAGE(OFFSET($H$3,0,0,'Données projet'!$E$15+1,1))</f>
        <v>377.27600411578322</v>
      </c>
      <c r="EP101" s="59">
        <f t="shared" si="100"/>
        <v>364.58250627635425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>
        <f>EXP(-LN(2)/35)*EV100+(1-EXP(-LN(2)/35))/(LN(2)/35)*ER101*ES101*VLOOKUP('Données projet'!$B$15,Paramètres!$A$1:$I$89,3,0)*0.475*44/12</f>
        <v>37.22518277032767</v>
      </c>
      <c r="EW101" s="21">
        <f>EXP(-LN(2)/25)*EW100+(1-EXP(-LN(2)/25))/(LN(2)/25)*Calculateur!ER101*Calculateur!ET101*VLOOKUP('Données projet'!$B$15,Paramètres!$A$1:$I$89,3,0)*0.475*44/12</f>
        <v>0</v>
      </c>
      <c r="EX101" s="21">
        <f>EXP(-LN(2)/2)*EX100+(1-EXP(-LN(2)/2))/(LN(2)/2)*ER101*EU101*VLOOKUP('Données projet'!$B$15,Paramètres!$A$1:$I$89,3,0)*0.475*44/12</f>
        <v>0</v>
      </c>
      <c r="EY101" s="22">
        <f t="shared" si="75"/>
        <v>37.22518277032767</v>
      </c>
      <c r="EZ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319</v>
      </c>
      <c r="FF101" s="17">
        <f>FE101*VLOOKUP('Données projet'!$B$16,Paramètres!$A$1:$I$89,3,0)*VLOOKUP('Données projet'!$B$16,Paramètres!$A$1:$I$89,5,0)</f>
        <v>258.77280000000002</v>
      </c>
      <c r="FG101" s="13">
        <f t="shared" si="101"/>
        <v>62.460716522234691</v>
      </c>
      <c r="FH101" s="20">
        <f t="shared" si="76"/>
        <v>559.48170794289206</v>
      </c>
      <c r="FI101" s="59">
        <f t="shared" si="77"/>
        <v>836.31836687752343</v>
      </c>
      <c r="FJ101" s="59">
        <f ca="1">AVERAGE(OFFSET($FI$3,0,0,'Données projet'!$E$16+1,1))-AVERAGE(OFFSET($H$3,0,0,'Données projet'!$E$16+1,1))</f>
        <v>383.47399633251354</v>
      </c>
      <c r="FK101" s="59">
        <f t="shared" si="102"/>
        <v>370.49129421395628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>
        <f>EXP(-LN(2)/35)*FQ100+(1-EXP(-LN(2)/35))/(LN(2)/35)*FM101*FN101*VLOOKUP('Données projet'!$B$16,Paramètres!$A$1:$I$89,3,0)*0.475*44/12</f>
        <v>37.95508831484392</v>
      </c>
      <c r="FR101" s="21">
        <f>EXP(-LN(2)/25)*FR100+(1-EXP(-LN(2)/25))/(LN(2)/25)*Calculateur!FM101*Calculateur!FO101*VLOOKUP('Données projet'!$B$16,Paramètres!$A$1:$I$89,3,0)*0.475*44/12</f>
        <v>0</v>
      </c>
      <c r="FS101" s="21">
        <f>EXP(-LN(2)/2)*FS100+(1-EXP(-LN(2)/2))/(LN(2)/2)*FM101*FP101*VLOOKUP('Données projet'!$B$16,Paramètres!$A$1:$I$89,3,0)*0.475*44/12</f>
        <v>0</v>
      </c>
      <c r="FT101" s="22">
        <f t="shared" si="78"/>
        <v>37.95508831484392</v>
      </c>
      <c r="FU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9.9470000000000027</v>
      </c>
      <c r="FZ101" s="12">
        <f>IF('Données projet'!$A$244&gt;35,FZ100+FY101-GH100,IF(A101&lt;'Données projet'!$A$244,$FW$205^A101,IF(A101='Données projet'!$A$244,'Données projet'!$B$244,FZ100+FY101-GH100)))</f>
        <v>454.85300000000012</v>
      </c>
      <c r="GA101" s="17">
        <f>FZ101*VLOOKUP('Données projet'!$B$17,Paramètres!$A$1:$I$89,3,0)*VLOOKUP('Données projet'!$B$17,Paramètres!$A$1:$I$89,5,0)</f>
        <v>432.83811480000008</v>
      </c>
      <c r="GB101" s="13">
        <f t="shared" si="103"/>
        <v>98.403211842611611</v>
      </c>
      <c r="GC101" s="20">
        <f t="shared" si="79"/>
        <v>925.24531056921535</v>
      </c>
      <c r="GD101" s="59">
        <f t="shared" si="80"/>
        <v>1202.0819695038467</v>
      </c>
      <c r="GE101" s="59">
        <f ca="1">AVERAGE(OFFSET($GD$3,0,0,'Données projet'!$E$17+1,1))-AVERAGE(OFFSET($H$3,0,0,'Données projet'!$E$17+1,1))</f>
        <v>592.58528889137358</v>
      </c>
      <c r="GF101" s="59">
        <f t="shared" si="104"/>
        <v>311.31528020403709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>
        <f>EXP(-LN(2)/35)*GL100+(1-EXP(-LN(2)/35))/(LN(2)/35)*GH101*GI101*VLOOKUP('Données projet'!$B$17,Paramètres!$A$1:$I$89,3,0)*0.475*44/12</f>
        <v>106.82607557060084</v>
      </c>
      <c r="GM101" s="21">
        <f>EXP(-LN(2)/25)*GM100+(1-EXP(-LN(2)/25))/(LN(2)/25)*Calculateur!GH101*Calculateur!GJ101*VLOOKUP('Données projet'!$B$17,Paramètres!$A$1:$I$89,3,0)*0.475*44/12</f>
        <v>0</v>
      </c>
      <c r="GN101" s="21">
        <f>EXP(-LN(2)/2)*GN100+(1-EXP(-LN(2)/2))/(LN(2)/2)*GH101*GK101*VLOOKUP('Données projet'!$B$17,Paramètres!$A$1:$I$89,3,0)*0.475*44/12</f>
        <v>0</v>
      </c>
      <c r="GO101" s="21">
        <f t="shared" si="81"/>
        <v>106.82607557060084</v>
      </c>
      <c r="GP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328.00000000000006</v>
      </c>
      <c r="GV101" s="17">
        <f>GU101*VLOOKUP('Données projet'!$B$18,Paramètres!$A$1:$I$89,3,0)*VLOOKUP('Données projet'!$B$18,Paramètres!$A$1:$I$89,5,0)</f>
        <v>255.84000000000006</v>
      </c>
      <c r="GW101" s="13">
        <f t="shared" si="105"/>
        <v>61.834803371075836</v>
      </c>
      <c r="GX101" s="20">
        <f t="shared" si="82"/>
        <v>553.28361587129041</v>
      </c>
      <c r="GY101" s="59">
        <f t="shared" si="83"/>
        <v>830.12027480592178</v>
      </c>
      <c r="GZ101" s="59">
        <f ca="1">AVERAGE(OFFSET($GY$3,0,0,'Données projet'!$E$18+1,1))-AVERAGE(OFFSET($H$3,0,0,'Données projet'!$E$18+1,1))</f>
        <v>308.85018589589453</v>
      </c>
      <c r="HA101" s="59">
        <f t="shared" si="106"/>
        <v>302.59481222418219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>
        <f>EXP(-LN(2)/35)*HG100+(1-EXP(-LN(2)/35))/(LN(2)/35)*HC101*HD101*VLOOKUP('Données projet'!$B$18,Paramètres!$A$1:$I$89,3,0)*0.475*44/12</f>
        <v>28.368411072269669</v>
      </c>
      <c r="HH101" s="21">
        <f>EXP(-LN(2)/25)*HH100+(1-EXP(-LN(2)/25))/(LN(2)/25)*Calculateur!HC101*Calculateur!HE101*VLOOKUP('Données projet'!$B$18,Paramètres!$A$1:$I$89,3,0)*0.475*44/12</f>
        <v>0</v>
      </c>
      <c r="HI101" s="21">
        <f>EXP(-LN(2)/2)*HI100+(1-EXP(-LN(2)/2))/(LN(2)/2)*HC101*HF101*VLOOKUP('Données projet'!$B$18,Paramètres!$A$1:$I$89,3,0)*0.475*44/12</f>
        <v>0</v>
      </c>
      <c r="HJ101" s="22">
        <f t="shared" si="84"/>
        <v>28.368411072269669</v>
      </c>
    </row>
    <row r="102" spans="1:218" x14ac:dyDescent="0.35">
      <c r="A102" s="10">
        <f t="shared" si="85"/>
        <v>99</v>
      </c>
      <c r="B102" s="72">
        <f>'Scénario référence'!$B$16*5+'Scénario référence'!$B$17*0+'Scénario référence'!$B$18*5</f>
        <v>5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66">
        <f t="shared" si="56"/>
        <v>183.33333333333334</v>
      </c>
      <c r="I102" s="6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>
        <f>VLOOKUP(A102,'Données projet'!$A$35:$I$55,2,0)</f>
        <v>464.8</v>
      </c>
      <c r="L102" s="12">
        <f>VLOOKUP(A102,'Données projet'!$A$35:$I$55,9,0)</f>
        <v>9.9470000000000027</v>
      </c>
      <c r="M102" s="12">
        <f t="array" ref="M102">INDEX(L:L,MIN(IF(ISNUMBER(L102:L298),ROW(L102:L298),"")))</f>
        <v>9.9470000000000027</v>
      </c>
      <c r="N102" s="13">
        <f>IF('Données projet'!$A$36&gt;35,N101+M102-V101,IF(A102&lt;'Données projet'!$A$36,$K$205^A102,IF(A102='Données projet'!$A$36,'Données projet'!$B$36,N101+M102-V101)))</f>
        <v>464.80000000000013</v>
      </c>
      <c r="O102" s="13">
        <f>N102*VLOOKUP('Données projet'!$B$9,Paramètres!$A$1:$I$89,3,0)*VLOOKUP('Données projet'!$B$9,Paramètres!$A$1:$I$89,5,0)</f>
        <v>420.55104000000011</v>
      </c>
      <c r="P102" s="13">
        <f t="shared" si="87"/>
        <v>95.930846819060008</v>
      </c>
      <c r="Q102" s="20">
        <f t="shared" si="107"/>
        <v>899.53928620986301</v>
      </c>
      <c r="R102" s="59">
        <f t="shared" si="55"/>
        <v>1176.6621255642731</v>
      </c>
      <c r="S102" s="59">
        <f ca="1">AVERAGE(OFFSET($R$3,0,0,'Données projet'!$E$9+1,1))-AVERAGE(OFFSET($H$3,0,0,'Données projet'!$E$9+1,1))</f>
        <v>567.42635821507474</v>
      </c>
      <c r="T102" s="59">
        <f t="shared" si="88"/>
        <v>299.04735309930152</v>
      </c>
      <c r="U102" s="15">
        <f>IF(ISNA(VLOOKUP(A102,'Données projet'!$A$35:$I$55,3,0)),0,VLOOKUP(A102,'Données projet'!$A$35:$I$55,3,0))</f>
        <v>9</v>
      </c>
      <c r="V102" s="15">
        <f>IF(ISNA(VLOOKUP(A102,'Données projet'!$A$35:$I$55,4,0)),0,VLOOKUP(A102,'Données projet'!$A$35:$I$55,4,0))</f>
        <v>62.94</v>
      </c>
      <c r="W102" s="16">
        <f>IF(ISNA(VLOOKUP(A102,'Données projet'!$A$35:$I$55,5,0)),0%,VLOOKUP(A102,'Données projet'!$A$35:$I$55,5,0)*VLOOKUP('Données projet'!$B$9,Paramètres!$A$1:$I$89,7,0))</f>
        <v>0.43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126.65097655355829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126.65097655355829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>
        <f>VLOOKUP(A102,'Données projet'!$A$61:$I$81,2,0)</f>
        <v>464.8</v>
      </c>
      <c r="AG102" s="12">
        <f>VLOOKUP(A102,'Données projet'!$A$61:$I$81,9,0)</f>
        <v>9.9470000000000027</v>
      </c>
      <c r="AH102" s="12">
        <f t="array" ref="AH102">INDEX(AG:AG,MIN(IF(ISNUMBER(AG102:AG298),ROW(AG102:AG298),"")))</f>
        <v>9.9470000000000027</v>
      </c>
      <c r="AI102" s="13">
        <f>IF('Données projet'!$A$62&gt;35,AI101+AH102-AQ101,IF(A102&lt;'Données projet'!$A$62,$AF$205^A102,IF(A102='Données projet'!$A$62,'Données projet'!$B$62,AI101+AH102-AQ101)))</f>
        <v>464.80000000000013</v>
      </c>
      <c r="AJ102" s="13">
        <f>AI102*VLOOKUP('Données projet'!$B$10,Paramètres!$A$1:$I$89,3,0)*VLOOKUP('Données projet'!$B$10,Paramètres!$A$1:$I$89,5,0)</f>
        <v>471.30720000000019</v>
      </c>
      <c r="AK102" s="13">
        <f t="shared" si="89"/>
        <v>106.0922219031893</v>
      </c>
      <c r="AL102" s="20">
        <f t="shared" si="58"/>
        <v>1005.6373264813883</v>
      </c>
      <c r="AM102" s="59">
        <f t="shared" si="59"/>
        <v>1282.7601658357985</v>
      </c>
      <c r="AN102" s="59">
        <f ca="1">AVERAGE(OFFSET($AM$3,0,0,'Données projet'!$E$10+1,1))-AVERAGE(OFFSET($H$3,0,0,'Données projet'!$E$10+1,1))</f>
        <v>626.09203985591455</v>
      </c>
      <c r="AO102" s="59">
        <f t="shared" si="90"/>
        <v>327.65191296575199</v>
      </c>
      <c r="AP102" s="15">
        <f>IF(ISNA(VLOOKUP(A102,'Données projet'!$A$61:$I$81,3,0)),0,VLOOKUP(A102,'Données projet'!$A$61:$I$81,3,0))</f>
        <v>9</v>
      </c>
      <c r="AQ102" s="15">
        <f>IF(ISNA(VLOOKUP(A102,'Données projet'!$A$61:$I$81,4,0)),0,VLOOKUP(A102,'Données projet'!$A$61:$I$81,4,0))</f>
        <v>62.94</v>
      </c>
      <c r="AR102" s="16">
        <f>IF(ISNA(VLOOKUP(A102,'Données projet'!$A$61:$I$81,5,0)),0%,VLOOKUP(A102,'Données projet'!$A$61:$I$81,5,0)*VLOOKUP('Données projet'!$B$10,Paramètres!$A$1:$I$89,7,0))</f>
        <v>0.43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141.93643924105675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141.93643924105675</v>
      </c>
      <c r="AY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7.2</v>
      </c>
      <c r="BD102" s="12">
        <f>IF('Données projet'!$A$88&gt;35,BD101+BC102-BL101,IF(A102&lt;'Données projet'!$A$88,$BA$205^A102,IF(A102='Données projet'!$A$88,'Données projet'!$B$88,BD101+BC102-BL101)))</f>
        <v>392.7999999999999</v>
      </c>
      <c r="BE102" s="13">
        <f>BD102*VLOOKUP('Données projet'!$B$11,Paramètres!$A$1:$I$89,3,0)*VLOOKUP('Données projet'!$B$11,Paramètres!$A$1:$I$89,5,0)</f>
        <v>337.02239999999995</v>
      </c>
      <c r="BF102" s="13">
        <f t="shared" si="91"/>
        <v>78.884440823098231</v>
      </c>
      <c r="BG102" s="20">
        <f t="shared" si="61"/>
        <v>724.37108110022928</v>
      </c>
      <c r="BH102" s="59">
        <f t="shared" si="62"/>
        <v>1001.4939204546395</v>
      </c>
      <c r="BI102" s="59">
        <f ca="1">AVERAGE(OFFSET($BH$3,0,0,'Données projet'!$E$11+1,1))-AVERAGE(OFFSET($H$3,0,0,'Données projet'!$E$11+1,1))</f>
        <v>481.23392184981651</v>
      </c>
      <c r="BJ102" s="59">
        <f t="shared" si="92"/>
        <v>275.88160405468193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97.243536465934227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97.243536465934227</v>
      </c>
      <c r="BT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8.5349999999999966</v>
      </c>
      <c r="BY102" s="12">
        <f>IF('Données projet'!$A$114&gt;35,BY101+BX102-CG101,IF(A102&lt;'Données projet'!$A$114,$BV$205^A102,IF(A102='Données projet'!$A$114,'Données projet'!$B$114,BY101+BX102-CG101)))</f>
        <v>339.3599999999991</v>
      </c>
      <c r="BZ102" s="13">
        <f>BY102*VLOOKUP('Données projet'!$B$12,Paramètres!$A$1:$I$89,3,0)*VLOOKUP('Données projet'!$B$12,Paramètres!$A$1:$I$89,5,0)</f>
        <v>158.82047999999958</v>
      </c>
      <c r="CA102" s="13">
        <f t="shared" si="93"/>
        <v>40.576356917593031</v>
      </c>
      <c r="CB102" s="20">
        <f t="shared" si="64"/>
        <v>347.28282429814044</v>
      </c>
      <c r="CC102" s="59">
        <f t="shared" si="65"/>
        <v>624.40566365255063</v>
      </c>
      <c r="CD102" s="59">
        <f ca="1">AVERAGE(OFFSET($CC$3,0,0,'Données projet'!$E$12+1,1))-AVERAGE(OFFSET($H$3,0,0,'Données projet'!$E$12+1,1))</f>
        <v>331.86732359395467</v>
      </c>
      <c r="CE102" s="59">
        <f t="shared" si="94"/>
        <v>208.64489375183106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171.32716781224576</v>
      </c>
      <c r="CL102" s="21">
        <f>EXP(-LN(2)/25)*CL101+(1-EXP(-LN(2)/25))/(LN(2)/25)*Calculateur!CG102*Calculateur!CI102*VLOOKUP('Données projet'!$B$12,Paramètres!$A$1:$I$89,3,0)*0.475*44/12</f>
        <v>0</v>
      </c>
      <c r="CM102" s="21">
        <f>EXP(-LN(2)/2)*CM101+(1-EXP(-LN(2)/2))/(LN(2)/2)*CG102*CJ102*VLOOKUP('Données projet'!$B$12,Paramètres!$A$1:$I$89,3,0)*0.475*44/12</f>
        <v>0</v>
      </c>
      <c r="CN102" s="22">
        <f t="shared" si="66"/>
        <v>171.32716781224576</v>
      </c>
      <c r="CO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319</v>
      </c>
      <c r="CU102" s="17">
        <f>CT102*VLOOKUP('Données projet'!$B$13,Paramètres!$A$1:$I$89,3,0)*VLOOKUP('Données projet'!$B$13,Paramètres!$A$1:$I$89,5,0)</f>
        <v>233.89079999999998</v>
      </c>
      <c r="CV102" s="13">
        <f t="shared" si="95"/>
        <v>57.123140349023068</v>
      </c>
      <c r="CW102" s="20">
        <f t="shared" si="67"/>
        <v>506.84927944121517</v>
      </c>
      <c r="CX102" s="59">
        <f t="shared" si="68"/>
        <v>783.97211879562531</v>
      </c>
      <c r="CY102" s="59">
        <f ca="1">AVERAGE(OFFSET($CX$3,0,0,'Données projet'!$E$13+1,1))-AVERAGE(OFFSET($H$3,0,0,'Données projet'!$E$13+1,1))</f>
        <v>352.45777291109863</v>
      </c>
      <c r="CZ102" s="59">
        <f t="shared" si="96"/>
        <v>340.92165104349181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27.287028818020683</v>
      </c>
      <c r="DG102" s="21">
        <f>EXP(-LN(2)/25)*DG101+(1-EXP(-LN(2)/25))/(LN(2)/25)*Calculateur!DB102*Calculateur!DD102*VLOOKUP('Données projet'!$B$13,Paramètres!$A$1:$I$89,3,0)*0.475*44/12</f>
        <v>0</v>
      </c>
      <c r="DH102" s="21">
        <f>EXP(-LN(2)/2)*DH101+(1-EXP(-LN(2)/2))/(LN(2)/2)*DB102*DE102*VLOOKUP('Données projet'!$B$13,Paramètres!$A$1:$I$89,3,0)*0.475*44/12</f>
        <v>0</v>
      </c>
      <c r="DI102" s="22">
        <f t="shared" si="69"/>
        <v>27.287028818020683</v>
      </c>
      <c r="DJ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>
        <f>VLOOKUP(A102,'Données projet'!$A$165:$I$185,2,0)</f>
        <v>464.8</v>
      </c>
      <c r="DM102" s="12">
        <f>VLOOKUP(A102,'Données projet'!$A$165:$I$185,9,0)</f>
        <v>9.9470000000000027</v>
      </c>
      <c r="DN102" s="12">
        <f t="array" ref="DN102">INDEX(DM:DM,MIN(IF(ISNUMBER(DM102:DM298),ROW(DM102:DM298),"")))</f>
        <v>9.9470000000000027</v>
      </c>
      <c r="DO102" s="12">
        <f>IF('Données projet'!$A$166&gt;35,DO101+DN102-DW101,IF(A102&lt;'Données projet'!$A$166,$DL$205^A102,IF(A102='Données projet'!$A$166,'Données projet'!$B$166,DO101+DN102-DW101)))</f>
        <v>464.80000000000013</v>
      </c>
      <c r="DP102" s="17">
        <f>DO102*VLOOKUP('Données projet'!$B$14,Paramètres!$A$1:$I$89,3,0)*VLOOKUP('Données projet'!$B$14,Paramètres!$A$1:$I$89,5,0)</f>
        <v>311.78784000000013</v>
      </c>
      <c r="DQ102" s="13">
        <f t="shared" si="97"/>
        <v>73.642077266609391</v>
      </c>
      <c r="DR102" s="20">
        <f t="shared" si="70"/>
        <v>671.29043923934501</v>
      </c>
      <c r="DS102" s="59">
        <f t="shared" si="71"/>
        <v>948.41327859375519</v>
      </c>
      <c r="DT102" s="59">
        <f ca="1">AVERAGE(OFFSET($DS$3,0,0,'Données projet'!$E$14+1,1))-AVERAGE(OFFSET($H$3,0,0,'Données projet'!$E$14+1,1))</f>
        <v>441.20130048888439</v>
      </c>
      <c r="DU102" s="59">
        <f t="shared" si="98"/>
        <v>237.47732532183946</v>
      </c>
      <c r="DV102" s="15">
        <f>IF(ISNA(VLOOKUP(A102,'Données projet'!$A$165:$I$185,3,0)),0,VLOOKUP(A102,'Données projet'!$A$165:$I$185,3,0))</f>
        <v>9</v>
      </c>
      <c r="DW102" s="15">
        <f>IF(ISNA(VLOOKUP(A102,'Données projet'!$A$165:$I$185,4,0)),0,VLOOKUP(A102,'Données projet'!$A$165:$I$185,4,0))</f>
        <v>62.94</v>
      </c>
      <c r="DX102" s="16">
        <f>IF(ISNA(VLOOKUP(A102,'Données projet'!$A$165:$I$185,5,0)),0%,VLOOKUP(A102,'Données projet'!$A$165:$I$185,5,0)*VLOOKUP('Données projet'!$B$14,Paramètres!$A$1:$I$89,7,0))</f>
        <v>0.53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115.73278891963086</v>
      </c>
      <c r="EB102" s="21">
        <f>EXP(-LN(2)/25)*EB101+(1-EXP(-LN(2)/25))/(LN(2)/25)*Calculateur!DW102*Calculateur!DY102*VLOOKUP('Données projet'!$B$14,Paramètres!$A$1:$I$89,3,0)*0.475*44/12</f>
        <v>0</v>
      </c>
      <c r="EC102" s="21">
        <f>EXP(-LN(2)/2)*EC101+(1-EXP(-LN(2)/2))/(LN(2)/2)*DW102*DZ102*VLOOKUP('Données projet'!$B$14,Paramètres!$A$1:$I$89,3,0)*0.475*44/12</f>
        <v>0</v>
      </c>
      <c r="ED102" s="22">
        <f t="shared" si="72"/>
        <v>115.73278891963086</v>
      </c>
      <c r="EE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319</v>
      </c>
      <c r="EK102" s="17">
        <f>EJ102*VLOOKUP('Données projet'!$B$15,Paramètres!$A$1:$I$89,3,0)*VLOOKUP('Données projet'!$B$15,Paramètres!$A$1:$I$89,5,0)</f>
        <v>253.79640000000001</v>
      </c>
      <c r="EL102" s="13">
        <f t="shared" si="99"/>
        <v>61.39816832228076</v>
      </c>
      <c r="EM102" s="20">
        <f t="shared" si="73"/>
        <v>548.96387316130563</v>
      </c>
      <c r="EN102" s="59">
        <f t="shared" si="74"/>
        <v>826.08671251571582</v>
      </c>
      <c r="EO102" s="59">
        <f ca="1">AVERAGE(OFFSET($EN$3,0,0,'Données projet'!$E$15+1,1))-AVERAGE(OFFSET($H$3,0,0,'Données projet'!$E$15+1,1))</f>
        <v>377.27600411578322</v>
      </c>
      <c r="EP102" s="59">
        <f t="shared" si="100"/>
        <v>364.58250627635425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>
        <f>EXP(-LN(2)/35)*EV101+(1-EXP(-LN(2)/35))/(LN(2)/35)*ER102*ES102*VLOOKUP('Données projet'!$B$15,Paramètres!$A$1:$I$89,3,0)*0.475*44/12</f>
        <v>36.495219641321093</v>
      </c>
      <c r="EW102" s="21">
        <f>EXP(-LN(2)/25)*EW101+(1-EXP(-LN(2)/25))/(LN(2)/25)*Calculateur!ER102*Calculateur!ET102*VLOOKUP('Données projet'!$B$15,Paramètres!$A$1:$I$89,3,0)*0.475*44/12</f>
        <v>0</v>
      </c>
      <c r="EX102" s="21">
        <f>EXP(-LN(2)/2)*EX101+(1-EXP(-LN(2)/2))/(LN(2)/2)*ER102*EU102*VLOOKUP('Données projet'!$B$15,Paramètres!$A$1:$I$89,3,0)*0.475*44/12</f>
        <v>0</v>
      </c>
      <c r="EY102" s="22">
        <f t="shared" si="75"/>
        <v>36.495219641321093</v>
      </c>
      <c r="EZ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319</v>
      </c>
      <c r="FF102" s="17">
        <f>FE102*VLOOKUP('Données projet'!$B$16,Paramètres!$A$1:$I$89,3,0)*VLOOKUP('Données projet'!$B$16,Paramètres!$A$1:$I$89,5,0)</f>
        <v>258.77280000000002</v>
      </c>
      <c r="FG102" s="13">
        <f t="shared" si="101"/>
        <v>62.460716522234691</v>
      </c>
      <c r="FH102" s="20">
        <f t="shared" si="76"/>
        <v>559.48170794289206</v>
      </c>
      <c r="FI102" s="59">
        <f t="shared" si="77"/>
        <v>836.60454729730213</v>
      </c>
      <c r="FJ102" s="59">
        <f ca="1">AVERAGE(OFFSET($FI$3,0,0,'Données projet'!$E$16+1,1))-AVERAGE(OFFSET($H$3,0,0,'Données projet'!$E$16+1,1))</f>
        <v>383.47399633251354</v>
      </c>
      <c r="FK102" s="59">
        <f t="shared" si="102"/>
        <v>370.49129421395628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>
        <f>EXP(-LN(2)/35)*FQ101+(1-EXP(-LN(2)/35))/(LN(2)/35)*FM102*FN102*VLOOKUP('Données projet'!$B$16,Paramètres!$A$1:$I$89,3,0)*0.475*44/12</f>
        <v>37.210812183307802</v>
      </c>
      <c r="FR102" s="21">
        <f>EXP(-LN(2)/25)*FR101+(1-EXP(-LN(2)/25))/(LN(2)/25)*Calculateur!FM102*Calculateur!FO102*VLOOKUP('Données projet'!$B$16,Paramètres!$A$1:$I$89,3,0)*0.475*44/12</f>
        <v>0</v>
      </c>
      <c r="FS102" s="21">
        <f>EXP(-LN(2)/2)*FS101+(1-EXP(-LN(2)/2))/(LN(2)/2)*FM102*FP102*VLOOKUP('Données projet'!$B$16,Paramètres!$A$1:$I$89,3,0)*0.475*44/12</f>
        <v>0</v>
      </c>
      <c r="FT102" s="22">
        <f t="shared" si="78"/>
        <v>37.210812183307802</v>
      </c>
      <c r="FU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>
        <f>VLOOKUP(A102,'Données projet'!$A$243:$I$263,2,0)</f>
        <v>464.8</v>
      </c>
      <c r="FX102" s="12">
        <f>VLOOKUP(A102,'Données projet'!$A$243:$I$263,9,0)</f>
        <v>9.9470000000000027</v>
      </c>
      <c r="FY102" s="12">
        <f t="array" ref="FY102">INDEX(FX:FX,MIN(IF(ISNUMBER(FX102:FX298),ROW(FX102:FX298),"")))</f>
        <v>9.9470000000000027</v>
      </c>
      <c r="FZ102" s="12">
        <f>IF('Données projet'!$A$244&gt;35,FZ101+FY102-GH101,IF(A102&lt;'Données projet'!$A$244,$FW$205^A102,IF(A102='Données projet'!$A$244,'Données projet'!$B$244,FZ101+FY102-GH101)))</f>
        <v>464.80000000000013</v>
      </c>
      <c r="GA102" s="17">
        <f>FZ102*VLOOKUP('Données projet'!$B$17,Paramètres!$A$1:$I$89,3,0)*VLOOKUP('Données projet'!$B$17,Paramètres!$A$1:$I$89,5,0)</f>
        <v>442.30368000000016</v>
      </c>
      <c r="GB102" s="13">
        <f t="shared" si="103"/>
        <v>100.30226615929689</v>
      </c>
      <c r="GC102" s="20">
        <f t="shared" si="79"/>
        <v>945.03868956077565</v>
      </c>
      <c r="GD102" s="59">
        <f t="shared" si="80"/>
        <v>1222.1615289151857</v>
      </c>
      <c r="GE102" s="59">
        <f ca="1">AVERAGE(OFFSET($GD$3,0,0,'Données projet'!$E$17+1,1))-AVERAGE(OFFSET($H$3,0,0,'Données projet'!$E$17+1,1))</f>
        <v>592.58528889137358</v>
      </c>
      <c r="GF102" s="59">
        <f t="shared" si="104"/>
        <v>311.31528020403709</v>
      </c>
      <c r="GG102" s="15">
        <f>IF(ISNA(VLOOKUP(A102,'Données projet'!$A$243:$I$263,3,0)),0,VLOOKUP(A102,'Données projet'!$A$243:$I$263,3,0))</f>
        <v>9</v>
      </c>
      <c r="GH102" s="15">
        <f>IF(ISNA(VLOOKUP(A102,'Données projet'!$A$243:$I$263,4,0)),0,VLOOKUP(A102,'Données projet'!$A$243:$I$263,4,0))</f>
        <v>62.94</v>
      </c>
      <c r="GI102" s="16">
        <f>IF(ISNA(VLOOKUP(A102,'Données projet'!$A$243:$I$263,5,0)),0%,VLOOKUP(A102,'Données projet'!$A$243:$I$263,5,0)*VLOOKUP('Données projet'!$B$17,Paramètres!$A$1:$I$89,7,0))</f>
        <v>0.43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>
        <f>EXP(-LN(2)/35)*GL101+(1-EXP(-LN(2)/35))/(LN(2)/35)*GH102*GI102*VLOOKUP('Données projet'!$B$17,Paramètres!$A$1:$I$89,3,0)*0.475*44/12</f>
        <v>133.20188913391479</v>
      </c>
      <c r="GM102" s="21">
        <f>EXP(-LN(2)/25)*GM101+(1-EXP(-LN(2)/25))/(LN(2)/25)*Calculateur!GH102*Calculateur!GJ102*VLOOKUP('Données projet'!$B$17,Paramètres!$A$1:$I$89,3,0)*0.475*44/12</f>
        <v>0</v>
      </c>
      <c r="GN102" s="21">
        <f>EXP(-LN(2)/2)*GN101+(1-EXP(-LN(2)/2))/(LN(2)/2)*GH102*GK102*VLOOKUP('Données projet'!$B$17,Paramètres!$A$1:$I$89,3,0)*0.475*44/12</f>
        <v>0</v>
      </c>
      <c r="GO102" s="21">
        <f t="shared" si="81"/>
        <v>133.20188913391479</v>
      </c>
      <c r="GP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328.00000000000006</v>
      </c>
      <c r="GV102" s="17">
        <f>GU102*VLOOKUP('Données projet'!$B$18,Paramètres!$A$1:$I$89,3,0)*VLOOKUP('Données projet'!$B$18,Paramètres!$A$1:$I$89,5,0)</f>
        <v>255.84000000000006</v>
      </c>
      <c r="GW102" s="13">
        <f t="shared" si="105"/>
        <v>61.834803371075836</v>
      </c>
      <c r="GX102" s="20">
        <f t="shared" si="82"/>
        <v>553.28361587129041</v>
      </c>
      <c r="GY102" s="59">
        <f t="shared" si="83"/>
        <v>830.40645522570048</v>
      </c>
      <c r="GZ102" s="59">
        <f ca="1">AVERAGE(OFFSET($GY$3,0,0,'Données projet'!$E$18+1,1))-AVERAGE(OFFSET($H$3,0,0,'Données projet'!$E$18+1,1))</f>
        <v>308.85018589589453</v>
      </c>
      <c r="HA102" s="59">
        <f t="shared" si="106"/>
        <v>302.59481222418219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>
        <f>EXP(-LN(2)/35)*HG101+(1-EXP(-LN(2)/35))/(LN(2)/35)*HC102*HD102*VLOOKUP('Données projet'!$B$18,Paramètres!$A$1:$I$89,3,0)*0.475*44/12</f>
        <v>27.812123834164684</v>
      </c>
      <c r="HH102" s="21">
        <f>EXP(-LN(2)/25)*HH101+(1-EXP(-LN(2)/25))/(LN(2)/25)*Calculateur!HC102*Calculateur!HE102*VLOOKUP('Données projet'!$B$18,Paramètres!$A$1:$I$89,3,0)*0.475*44/12</f>
        <v>0</v>
      </c>
      <c r="HI102" s="21">
        <f>EXP(-LN(2)/2)*HI101+(1-EXP(-LN(2)/2))/(LN(2)/2)*HC102*HF102*VLOOKUP('Données projet'!$B$18,Paramètres!$A$1:$I$89,3,0)*0.475*44/12</f>
        <v>0</v>
      </c>
      <c r="HJ102" s="22">
        <f t="shared" si="84"/>
        <v>27.812123834164684</v>
      </c>
    </row>
    <row r="103" spans="1:218" x14ac:dyDescent="0.35">
      <c r="A103" s="10">
        <f t="shared" si="85"/>
        <v>100</v>
      </c>
      <c r="B103" s="72">
        <f>'Scénario référence'!$B$16*5+'Scénario référence'!$B$17*0+'Scénario référence'!$B$18*5</f>
        <v>5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66">
        <f t="shared" si="56"/>
        <v>183.33333333333334</v>
      </c>
      <c r="I103" s="6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9.7110000000000021</v>
      </c>
      <c r="N103" s="13">
        <f>IF('Données projet'!$A$36&gt;35,N102+M103-V102,IF(A103&lt;'Données projet'!$A$36,$K$205^A103,IF(A103='Données projet'!$A$36,'Données projet'!$B$36,N102+M103-V102)))</f>
        <v>411.57100000000014</v>
      </c>
      <c r="O103" s="13">
        <f>N103*VLOOKUP('Données projet'!$B$9,Paramètres!$A$1:$I$89,3,0)*VLOOKUP('Données projet'!$B$9,Paramètres!$A$1:$I$89,5,0)</f>
        <v>372.3894408000001</v>
      </c>
      <c r="P103" s="13">
        <f t="shared" si="87"/>
        <v>86.155960872174461</v>
      </c>
      <c r="Q103" s="20">
        <f t="shared" si="107"/>
        <v>798.63324124570397</v>
      </c>
      <c r="R103" s="59">
        <f t="shared" si="55"/>
        <v>1076.0372964294131</v>
      </c>
      <c r="S103" s="59">
        <f ca="1">AVERAGE(OFFSET($R$3,0,0,'Données projet'!$E$9+1,1))-AVERAGE(OFFSET($H$3,0,0,'Données projet'!$E$9+1,1))</f>
        <v>567.42635821507474</v>
      </c>
      <c r="T103" s="59">
        <f t="shared" si="88"/>
        <v>299.04735309930152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124.16742815281096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124.16742815281096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9.7110000000000021</v>
      </c>
      <c r="AI103" s="13">
        <f>IF('Données projet'!$A$62&gt;35,AI102+AH103-AQ102,IF(A103&lt;'Données projet'!$A$62,$AF$205^A103,IF(A103='Données projet'!$A$62,'Données projet'!$B$62,AI102+AH103-AQ102)))</f>
        <v>411.57100000000014</v>
      </c>
      <c r="AJ103" s="13">
        <f>AI103*VLOOKUP('Données projet'!$B$10,Paramètres!$A$1:$I$89,3,0)*VLOOKUP('Données projet'!$B$10,Paramètres!$A$1:$I$89,5,0)</f>
        <v>417.33299400000016</v>
      </c>
      <c r="AK103" s="13">
        <f t="shared" si="89"/>
        <v>95.281941338155363</v>
      </c>
      <c r="AL103" s="20">
        <f t="shared" si="58"/>
        <v>892.80434571395415</v>
      </c>
      <c r="AM103" s="59">
        <f t="shared" si="59"/>
        <v>1170.2084008976633</v>
      </c>
      <c r="AN103" s="59">
        <f ca="1">AVERAGE(OFFSET($AM$3,0,0,'Données projet'!$E$10+1,1))-AVERAGE(OFFSET($H$3,0,0,'Données projet'!$E$10+1,1))</f>
        <v>626.09203985591455</v>
      </c>
      <c r="AO103" s="59">
        <f t="shared" si="90"/>
        <v>327.65191296575199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139.15315224021921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139.15315224021921</v>
      </c>
      <c r="AY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>
        <f>VLOOKUP(A103,'Données projet'!$A$87:$I$107,2,0)</f>
        <v>400</v>
      </c>
      <c r="BB103" s="12">
        <f>VLOOKUP(A103,'Données projet'!$A$87:$I$107,9,0)</f>
        <v>7.2</v>
      </c>
      <c r="BC103" s="12">
        <f t="array" ref="BC103">INDEX(BB:BB,MIN(IF(ISNUMBER(BB103:BB299),ROW(BB103:BB299),"")))</f>
        <v>7.2</v>
      </c>
      <c r="BD103" s="12">
        <f>IF('Données projet'!$A$88&gt;35,BD102+BC103-BL102,IF(A103&lt;'Données projet'!$A$88,$BA$205^A103,IF(A103='Données projet'!$A$88,'Données projet'!$B$88,BD102+BC103-BL102)))</f>
        <v>399.99999999999989</v>
      </c>
      <c r="BE103" s="13">
        <f>BD103*VLOOKUP('Données projet'!$B$11,Paramètres!$A$1:$I$89,3,0)*VLOOKUP('Données projet'!$B$11,Paramètres!$A$1:$I$89,5,0)</f>
        <v>343.19999999999993</v>
      </c>
      <c r="BF103" s="13">
        <f t="shared" si="91"/>
        <v>80.160725794932105</v>
      </c>
      <c r="BG103" s="20">
        <f t="shared" si="61"/>
        <v>737.35326409283982</v>
      </c>
      <c r="BH103" s="59">
        <f t="shared" si="62"/>
        <v>1014.757319276549</v>
      </c>
      <c r="BI103" s="59">
        <f ca="1">AVERAGE(OFFSET($BH$3,0,0,'Données projet'!$E$11+1,1))-AVERAGE(OFFSET($H$3,0,0,'Données projet'!$E$11+1,1))</f>
        <v>481.23392184981651</v>
      </c>
      <c r="BJ103" s="59">
        <f t="shared" si="92"/>
        <v>275.88160405468193</v>
      </c>
      <c r="BK103" s="15">
        <f>IF(ISNA(VLOOKUP(A103,'Données projet'!$A$87:$I$107,3,0)),0,VLOOKUP(A103,'Données projet'!$A$87:$I$107,3,0))</f>
        <v>16</v>
      </c>
      <c r="BL103" s="15">
        <f>IF(ISNA(VLOOKUP(A103,'Données projet'!$A$87:$I$107,4,0)),0,VLOOKUP(A103,'Données projet'!$A$87:$I$107,4,0))</f>
        <v>24</v>
      </c>
      <c r="BM103" s="16">
        <f>IF(ISNA(VLOOKUP(A103,'Données projet'!$A$87:$I$107,5,0)),0%,VLOOKUP(A103,'Données projet'!$A$87:$I$107,5,0)*VLOOKUP('Données projet'!$B$11,Paramètres!$A$1:$I$89,7,0))</f>
        <v>0.53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107.40148843786939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107.40148843786939</v>
      </c>
      <c r="BT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8.5349999999999966</v>
      </c>
      <c r="BY103" s="12">
        <f>IF('Données projet'!$A$114&gt;35,BY102+BX103-CG102,IF(A103&lt;'Données projet'!$A$114,$BV$205^A103,IF(A103='Données projet'!$A$114,'Données projet'!$B$114,BY102+BX103-CG102)))</f>
        <v>347.89499999999907</v>
      </c>
      <c r="BZ103" s="13">
        <f>BY103*VLOOKUP('Données projet'!$B$12,Paramètres!$A$1:$I$89,3,0)*VLOOKUP('Données projet'!$B$12,Paramètres!$A$1:$I$89,5,0)</f>
        <v>162.81485999999956</v>
      </c>
      <c r="CA103" s="13">
        <f t="shared" si="93"/>
        <v>41.476769076697764</v>
      </c>
      <c r="CB103" s="20">
        <f t="shared" si="64"/>
        <v>355.80792064191445</v>
      </c>
      <c r="CC103" s="59">
        <f t="shared" si="65"/>
        <v>633.21197582562365</v>
      </c>
      <c r="CD103" s="59">
        <f ca="1">AVERAGE(OFFSET($CC$3,0,0,'Données projet'!$E$12+1,1))-AVERAGE(OFFSET($H$3,0,0,'Données projet'!$E$12+1,1))</f>
        <v>331.86732359395467</v>
      </c>
      <c r="CE103" s="59">
        <f t="shared" si="94"/>
        <v>208.64489375183106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167.96754655070154</v>
      </c>
      <c r="CL103" s="21">
        <f>EXP(-LN(2)/25)*CL102+(1-EXP(-LN(2)/25))/(LN(2)/25)*Calculateur!CG103*Calculateur!CI103*VLOOKUP('Données projet'!$B$12,Paramètres!$A$1:$I$89,3,0)*0.475*44/12</f>
        <v>0</v>
      </c>
      <c r="CM103" s="21">
        <f>EXP(-LN(2)/2)*CM102+(1-EXP(-LN(2)/2))/(LN(2)/2)*CG103*CJ103*VLOOKUP('Données projet'!$B$12,Paramètres!$A$1:$I$89,3,0)*0.475*44/12</f>
        <v>0</v>
      </c>
      <c r="CN103" s="22">
        <f t="shared" si="66"/>
        <v>167.96754655070154</v>
      </c>
      <c r="CO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319</v>
      </c>
      <c r="CU103" s="17">
        <f>CT103*VLOOKUP('Données projet'!$B$13,Paramètres!$A$1:$I$89,3,0)*VLOOKUP('Données projet'!$B$13,Paramètres!$A$1:$I$89,5,0)</f>
        <v>233.89079999999998</v>
      </c>
      <c r="CV103" s="13">
        <f t="shared" si="95"/>
        <v>57.123140349023068</v>
      </c>
      <c r="CW103" s="20">
        <f t="shared" si="67"/>
        <v>506.84927944121517</v>
      </c>
      <c r="CX103" s="59">
        <f t="shared" si="68"/>
        <v>784.25333462492438</v>
      </c>
      <c r="CY103" s="59">
        <f ca="1">AVERAGE(OFFSET($CX$3,0,0,'Données projet'!$E$13+1,1))-AVERAGE(OFFSET($H$3,0,0,'Données projet'!$E$13+1,1))</f>
        <v>352.45777291109863</v>
      </c>
      <c r="CZ103" s="59">
        <f t="shared" si="96"/>
        <v>340.92165104349181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26.751946826343474</v>
      </c>
      <c r="DG103" s="21">
        <f>EXP(-LN(2)/25)*DG102+(1-EXP(-LN(2)/25))/(LN(2)/25)*Calculateur!DB103*Calculateur!DD103*VLOOKUP('Données projet'!$B$13,Paramètres!$A$1:$I$89,3,0)*0.475*44/12</f>
        <v>0</v>
      </c>
      <c r="DH103" s="21">
        <f>EXP(-LN(2)/2)*DH102+(1-EXP(-LN(2)/2))/(LN(2)/2)*DB103*DE103*VLOOKUP('Données projet'!$B$13,Paramètres!$A$1:$I$89,3,0)*0.475*44/12</f>
        <v>0</v>
      </c>
      <c r="DI103" s="22">
        <f t="shared" si="69"/>
        <v>26.751946826343474</v>
      </c>
      <c r="DJ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9.7110000000000021</v>
      </c>
      <c r="DO103" s="12">
        <f>IF('Données projet'!$A$166&gt;35,DO102+DN103-DW102,IF(A103&lt;'Données projet'!$A$166,$DL$205^A103,IF(A103='Données projet'!$A$166,'Données projet'!$B$166,DO102+DN103-DW102)))</f>
        <v>411.57100000000014</v>
      </c>
      <c r="DP103" s="17">
        <f>DO103*VLOOKUP('Données projet'!$B$14,Paramètres!$A$1:$I$89,3,0)*VLOOKUP('Données projet'!$B$14,Paramètres!$A$1:$I$89,5,0)</f>
        <v>276.0818268000001</v>
      </c>
      <c r="DQ103" s="13">
        <f t="shared" si="97"/>
        <v>66.138308353461298</v>
      </c>
      <c r="DR103" s="20">
        <f t="shared" si="70"/>
        <v>596.03340205894528</v>
      </c>
      <c r="DS103" s="59">
        <f t="shared" si="71"/>
        <v>873.43745724265455</v>
      </c>
      <c r="DT103" s="59">
        <f ca="1">AVERAGE(OFFSET($DS$3,0,0,'Données projet'!$E$14+1,1))-AVERAGE(OFFSET($H$3,0,0,'Données projet'!$E$14+1,1))</f>
        <v>441.20130048888439</v>
      </c>
      <c r="DU103" s="59">
        <f t="shared" si="98"/>
        <v>237.47732532183946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113.46333951894796</v>
      </c>
      <c r="EB103" s="21">
        <f>EXP(-LN(2)/25)*EB102+(1-EXP(-LN(2)/25))/(LN(2)/25)*Calculateur!DW103*Calculateur!DY103*VLOOKUP('Données projet'!$B$14,Paramètres!$A$1:$I$89,3,0)*0.475*44/12</f>
        <v>0</v>
      </c>
      <c r="EC103" s="21">
        <f>EXP(-LN(2)/2)*EC102+(1-EXP(-LN(2)/2))/(LN(2)/2)*DW103*DZ103*VLOOKUP('Données projet'!$B$14,Paramètres!$A$1:$I$89,3,0)*0.475*44/12</f>
        <v>0</v>
      </c>
      <c r="ED103" s="22">
        <f t="shared" si="72"/>
        <v>113.46333951894796</v>
      </c>
      <c r="EE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319</v>
      </c>
      <c r="EK103" s="17">
        <f>EJ103*VLOOKUP('Données projet'!$B$15,Paramètres!$A$1:$I$89,3,0)*VLOOKUP('Données projet'!$B$15,Paramètres!$A$1:$I$89,5,0)</f>
        <v>253.79640000000001</v>
      </c>
      <c r="EL103" s="13">
        <f t="shared" si="99"/>
        <v>61.39816832228076</v>
      </c>
      <c r="EM103" s="20">
        <f t="shared" si="73"/>
        <v>548.96387316130563</v>
      </c>
      <c r="EN103" s="59">
        <f t="shared" si="74"/>
        <v>826.36792834501489</v>
      </c>
      <c r="EO103" s="59">
        <f ca="1">AVERAGE(OFFSET($EN$3,0,0,'Données projet'!$E$15+1,1))-AVERAGE(OFFSET($H$3,0,0,'Données projet'!$E$15+1,1))</f>
        <v>377.27600411578322</v>
      </c>
      <c r="EP103" s="59">
        <f t="shared" si="100"/>
        <v>364.58250627635425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>
        <f>EXP(-LN(2)/35)*EV102+(1-EXP(-LN(2)/35))/(LN(2)/35)*ER103*ES103*VLOOKUP('Données projet'!$B$15,Paramètres!$A$1:$I$89,3,0)*0.475*44/12</f>
        <v>35.779570644040788</v>
      </c>
      <c r="EW103" s="21">
        <f>EXP(-LN(2)/25)*EW102+(1-EXP(-LN(2)/25))/(LN(2)/25)*Calculateur!ER103*Calculateur!ET103*VLOOKUP('Données projet'!$B$15,Paramètres!$A$1:$I$89,3,0)*0.475*44/12</f>
        <v>0</v>
      </c>
      <c r="EX103" s="21">
        <f>EXP(-LN(2)/2)*EX102+(1-EXP(-LN(2)/2))/(LN(2)/2)*ER103*EU103*VLOOKUP('Données projet'!$B$15,Paramètres!$A$1:$I$89,3,0)*0.475*44/12</f>
        <v>0</v>
      </c>
      <c r="EY103" s="22">
        <f t="shared" si="75"/>
        <v>35.779570644040788</v>
      </c>
      <c r="EZ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319</v>
      </c>
      <c r="FF103" s="17">
        <f>FE103*VLOOKUP('Données projet'!$B$16,Paramètres!$A$1:$I$89,3,0)*VLOOKUP('Données projet'!$B$16,Paramètres!$A$1:$I$89,5,0)</f>
        <v>258.77280000000002</v>
      </c>
      <c r="FG103" s="13">
        <f t="shared" si="101"/>
        <v>62.460716522234691</v>
      </c>
      <c r="FH103" s="20">
        <f t="shared" si="76"/>
        <v>559.48170794289206</v>
      </c>
      <c r="FI103" s="59">
        <f t="shared" si="77"/>
        <v>836.8857631266012</v>
      </c>
      <c r="FJ103" s="59">
        <f ca="1">AVERAGE(OFFSET($FI$3,0,0,'Données projet'!$E$16+1,1))-AVERAGE(OFFSET($H$3,0,0,'Données projet'!$E$16+1,1))</f>
        <v>383.47399633251354</v>
      </c>
      <c r="FK103" s="59">
        <f t="shared" si="102"/>
        <v>370.49129421395628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>
        <f>EXP(-LN(2)/35)*FQ102+(1-EXP(-LN(2)/35))/(LN(2)/35)*FM103*FN103*VLOOKUP('Données projet'!$B$16,Paramètres!$A$1:$I$89,3,0)*0.475*44/12</f>
        <v>36.481130852747491</v>
      </c>
      <c r="FR103" s="21">
        <f>EXP(-LN(2)/25)*FR102+(1-EXP(-LN(2)/25))/(LN(2)/25)*Calculateur!FM103*Calculateur!FO103*VLOOKUP('Données projet'!$B$16,Paramètres!$A$1:$I$89,3,0)*0.475*44/12</f>
        <v>0</v>
      </c>
      <c r="FS103" s="21">
        <f>EXP(-LN(2)/2)*FS102+(1-EXP(-LN(2)/2))/(LN(2)/2)*FM103*FP103*VLOOKUP('Données projet'!$B$16,Paramètres!$A$1:$I$89,3,0)*0.475*44/12</f>
        <v>0</v>
      </c>
      <c r="FT103" s="22">
        <f t="shared" si="78"/>
        <v>36.481130852747491</v>
      </c>
      <c r="FU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9.7110000000000021</v>
      </c>
      <c r="FZ103" s="12">
        <f>IF('Données projet'!$A$244&gt;35,FZ102+FY103-GH102,IF(A103&lt;'Données projet'!$A$244,$FW$205^A103,IF(A103='Données projet'!$A$244,'Données projet'!$B$244,FZ102+FY103-GH102)))</f>
        <v>411.57100000000014</v>
      </c>
      <c r="GA103" s="17">
        <f>FZ103*VLOOKUP('Données projet'!$B$17,Paramètres!$A$1:$I$89,3,0)*VLOOKUP('Données projet'!$B$17,Paramètres!$A$1:$I$89,5,0)</f>
        <v>391.65096360000018</v>
      </c>
      <c r="GB103" s="13">
        <f t="shared" si="103"/>
        <v>90.081953877778645</v>
      </c>
      <c r="GC103" s="20">
        <f t="shared" si="79"/>
        <v>839.01816460713133</v>
      </c>
      <c r="GD103" s="59">
        <f t="shared" si="80"/>
        <v>1116.4222197908405</v>
      </c>
      <c r="GE103" s="59">
        <f ca="1">AVERAGE(OFFSET($GD$3,0,0,'Données projet'!$E$17+1,1))-AVERAGE(OFFSET($H$3,0,0,'Données projet'!$E$17+1,1))</f>
        <v>592.58528889137358</v>
      </c>
      <c r="GF103" s="59">
        <f t="shared" si="104"/>
        <v>311.31528020403709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>
        <f>EXP(-LN(2)/35)*GL102+(1-EXP(-LN(2)/35))/(LN(2)/35)*GH103*GI103*VLOOKUP('Données projet'!$B$17,Paramètres!$A$1:$I$89,3,0)*0.475*44/12</f>
        <v>130.5898813331288</v>
      </c>
      <c r="GM103" s="21">
        <f>EXP(-LN(2)/25)*GM102+(1-EXP(-LN(2)/25))/(LN(2)/25)*Calculateur!GH103*Calculateur!GJ103*VLOOKUP('Données projet'!$B$17,Paramètres!$A$1:$I$89,3,0)*0.475*44/12</f>
        <v>0</v>
      </c>
      <c r="GN103" s="21">
        <f>EXP(-LN(2)/2)*GN102+(1-EXP(-LN(2)/2))/(LN(2)/2)*GH103*GK103*VLOOKUP('Données projet'!$B$17,Paramètres!$A$1:$I$89,3,0)*0.475*44/12</f>
        <v>0</v>
      </c>
      <c r="GO103" s="21">
        <f t="shared" si="81"/>
        <v>130.5898813331288</v>
      </c>
      <c r="GP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328.00000000000006</v>
      </c>
      <c r="GV103" s="17">
        <f>GU103*VLOOKUP('Données projet'!$B$18,Paramètres!$A$1:$I$89,3,0)*VLOOKUP('Données projet'!$B$18,Paramètres!$A$1:$I$89,5,0)</f>
        <v>255.84000000000006</v>
      </c>
      <c r="GW103" s="13">
        <f t="shared" si="105"/>
        <v>61.834803371075836</v>
      </c>
      <c r="GX103" s="20">
        <f t="shared" si="82"/>
        <v>553.28361587129041</v>
      </c>
      <c r="GY103" s="59">
        <f t="shared" si="83"/>
        <v>830.68767105499956</v>
      </c>
      <c r="GZ103" s="59">
        <f ca="1">AVERAGE(OFFSET($GY$3,0,0,'Données projet'!$E$18+1,1))-AVERAGE(OFFSET($H$3,0,0,'Données projet'!$E$18+1,1))</f>
        <v>308.85018589589453</v>
      </c>
      <c r="HA103" s="59">
        <f t="shared" si="106"/>
        <v>302.59481222418219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>
        <f>EXP(-LN(2)/35)*HG102+(1-EXP(-LN(2)/35))/(LN(2)/35)*HC103*HD103*VLOOKUP('Données projet'!$B$18,Paramètres!$A$1:$I$89,3,0)*0.475*44/12</f>
        <v>27.266745049497224</v>
      </c>
      <c r="HH103" s="21">
        <f>EXP(-LN(2)/25)*HH102+(1-EXP(-LN(2)/25))/(LN(2)/25)*Calculateur!HC103*Calculateur!HE103*VLOOKUP('Données projet'!$B$18,Paramètres!$A$1:$I$89,3,0)*0.475*44/12</f>
        <v>0</v>
      </c>
      <c r="HI103" s="21">
        <f>EXP(-LN(2)/2)*HI102+(1-EXP(-LN(2)/2))/(LN(2)/2)*HC103*HF103*VLOOKUP('Données projet'!$B$18,Paramètres!$A$1:$I$89,3,0)*0.475*44/12</f>
        <v>0</v>
      </c>
      <c r="HJ103" s="22">
        <f t="shared" si="84"/>
        <v>27.266745049497224</v>
      </c>
    </row>
    <row r="104" spans="1:218" x14ac:dyDescent="0.35">
      <c r="A104" s="10">
        <f t="shared" si="85"/>
        <v>101</v>
      </c>
      <c r="B104" s="72">
        <f>'Scénario référence'!$B$16*5+'Scénario référence'!$B$17*0+'Scénario référence'!$B$18*5</f>
        <v>5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66">
        <f t="shared" si="56"/>
        <v>183.33333333333334</v>
      </c>
      <c r="I104" s="6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9.7110000000000021</v>
      </c>
      <c r="N104" s="13">
        <f>IF('Données projet'!$A$36&gt;35,N103+M104-V103,IF(A104&lt;'Données projet'!$A$36,$K$205^A104,IF(A104='Données projet'!$A$36,'Données projet'!$B$36,N103+M104-V103)))</f>
        <v>421.28200000000015</v>
      </c>
      <c r="O104" s="13">
        <f>N104*VLOOKUP('Données projet'!$B$9,Paramètres!$A$1:$I$89,3,0)*VLOOKUP('Données projet'!$B$9,Paramètres!$A$1:$I$89,5,0)</f>
        <v>381.17595360000013</v>
      </c>
      <c r="P104" s="13">
        <f t="shared" si="87"/>
        <v>87.949738529484478</v>
      </c>
      <c r="Q104" s="20">
        <f t="shared" si="107"/>
        <v>817.06058045885231</v>
      </c>
      <c r="R104" s="59">
        <f t="shared" si="55"/>
        <v>1094.7409730059267</v>
      </c>
      <c r="S104" s="59">
        <f ca="1">AVERAGE(OFFSET($R$3,0,0,'Données projet'!$E$9+1,1))-AVERAGE(OFFSET($H$3,0,0,'Données projet'!$E$9+1,1))</f>
        <v>567.42635821507474</v>
      </c>
      <c r="T104" s="59">
        <f t="shared" si="88"/>
        <v>299.04735309930152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121.73258062138733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121.73258062138733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9.7110000000000021</v>
      </c>
      <c r="AI104" s="13">
        <f>IF('Données projet'!$A$62&gt;35,AI103+AH104-AQ103,IF(A104&lt;'Données projet'!$A$62,$AF$205^A104,IF(A104='Données projet'!$A$62,'Données projet'!$B$62,AI103+AH104-AQ103)))</f>
        <v>421.28200000000015</v>
      </c>
      <c r="AJ104" s="13">
        <f>AI104*VLOOKUP('Données projet'!$B$10,Paramètres!$A$1:$I$89,3,0)*VLOOKUP('Données projet'!$B$10,Paramètres!$A$1:$I$89,5,0)</f>
        <v>427.17994800000019</v>
      </c>
      <c r="AK104" s="13">
        <f t="shared" si="89"/>
        <v>97.265723026471477</v>
      </c>
      <c r="AL104" s="20">
        <f t="shared" si="58"/>
        <v>913.40954370443831</v>
      </c>
      <c r="AM104" s="59">
        <f t="shared" si="59"/>
        <v>1191.0899362515127</v>
      </c>
      <c r="AN104" s="59">
        <f ca="1">AVERAGE(OFFSET($AM$3,0,0,'Données projet'!$E$10+1,1))-AVERAGE(OFFSET($H$3,0,0,'Données projet'!$E$10+1,1))</f>
        <v>626.09203985591455</v>
      </c>
      <c r="AO104" s="59">
        <f t="shared" si="90"/>
        <v>327.65191296575199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136.42444379983067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136.42444379983067</v>
      </c>
      <c r="AY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6.6</v>
      </c>
      <c r="BD104" s="12">
        <f>IF('Données projet'!$A$88&gt;35,BD103+BC104-BL103,IF(A104&lt;'Données projet'!$A$88,$BA$205^A104,IF(A104='Données projet'!$A$88,'Données projet'!$B$88,BD103+BC104-BL103)))</f>
        <v>382.59999999999991</v>
      </c>
      <c r="BE104" s="13">
        <f>BD104*VLOOKUP('Données projet'!$B$11,Paramètres!$A$1:$I$89,3,0)*VLOOKUP('Données projet'!$B$11,Paramètres!$A$1:$I$89,5,0)</f>
        <v>328.27079999999995</v>
      </c>
      <c r="BF104" s="13">
        <f t="shared" si="91"/>
        <v>77.071690347038668</v>
      </c>
      <c r="BG104" s="20">
        <f t="shared" si="61"/>
        <v>705.97150402109219</v>
      </c>
      <c r="BH104" s="59">
        <f t="shared" si="62"/>
        <v>983.65189656816665</v>
      </c>
      <c r="BI104" s="59">
        <f ca="1">AVERAGE(OFFSET($BH$3,0,0,'Données projet'!$E$11+1,1))-AVERAGE(OFFSET($H$3,0,0,'Données projet'!$E$11+1,1))</f>
        <v>481.23392184981651</v>
      </c>
      <c r="BJ104" s="59">
        <f t="shared" si="92"/>
        <v>275.88160405468193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105.29541075804229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105.29541075804229</v>
      </c>
      <c r="BT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>
        <f>VLOOKUP(A104,'Données projet'!$A$113:$I$133,2,0)</f>
        <v>356.43</v>
      </c>
      <c r="BW104" s="12">
        <f>VLOOKUP(A104,'Données projet'!$A$113:$I$133,9,0)</f>
        <v>8.5349999999999966</v>
      </c>
      <c r="BX104" s="12">
        <f t="array" ref="BX104">INDEX(BW:BW,MIN(IF(ISNUMBER(BW104:BW300),ROW(BW104:BW300),"")))</f>
        <v>8.5349999999999966</v>
      </c>
      <c r="BY104" s="12">
        <f>IF('Données projet'!$A$114&gt;35,BY103+BX104-CG103,IF(A104&lt;'Données projet'!$A$114,$BV$205^A104,IF(A104='Données projet'!$A$114,'Données projet'!$B$114,BY103+BX104-CG103)))</f>
        <v>356.42999999999904</v>
      </c>
      <c r="BZ104" s="13">
        <f>BY104*VLOOKUP('Données projet'!$B$12,Paramètres!$A$1:$I$89,3,0)*VLOOKUP('Données projet'!$B$12,Paramètres!$A$1:$I$89,5,0)</f>
        <v>166.80923999999956</v>
      </c>
      <c r="CA104" s="13">
        <f t="shared" si="93"/>
        <v>42.374613349678434</v>
      </c>
      <c r="CB104" s="20">
        <f t="shared" si="64"/>
        <v>364.3285445840225</v>
      </c>
      <c r="CC104" s="59">
        <f t="shared" si="65"/>
        <v>642.0089371310969</v>
      </c>
      <c r="CD104" s="59">
        <f ca="1">AVERAGE(OFFSET($CC$3,0,0,'Données projet'!$E$12+1,1))-AVERAGE(OFFSET($H$3,0,0,'Données projet'!$E$12+1,1))</f>
        <v>331.86732359395467</v>
      </c>
      <c r="CE104" s="59">
        <f t="shared" si="94"/>
        <v>208.64489375183106</v>
      </c>
      <c r="CF104" s="15">
        <f>IF(ISNA(VLOOKUP(A104,'Données projet'!$A$113:$I$133,3,0)),0,VLOOKUP(A104,'Données projet'!$A$113:$I$133,3,0))</f>
        <v>8</v>
      </c>
      <c r="CG104" s="15">
        <f>IF(ISNA(VLOOKUP(A104,'Données projet'!$A$113:$I$133,4,0)),0,VLOOKUP(A104,'Données projet'!$A$113:$I$133,4,0))</f>
        <v>351.18</v>
      </c>
      <c r="CH104" s="16">
        <f>IF(ISNA(VLOOKUP(A104,'Données projet'!$A$113:$I$133,5,0)),0%,VLOOKUP(A104,'Données projet'!$A$113:$I$133,5,0)*VLOOKUP('Données projet'!$B$12,Paramètres!$A$1:$I$89,7,0))</f>
        <v>0.55000000000000004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284.58691727865732</v>
      </c>
      <c r="CL104" s="21">
        <f>EXP(-LN(2)/25)*CL103+(1-EXP(-LN(2)/25))/(LN(2)/25)*Calculateur!CG104*Calculateur!CI104*VLOOKUP('Données projet'!$B$12,Paramètres!$A$1:$I$89,3,0)*0.475*44/12</f>
        <v>0</v>
      </c>
      <c r="CM104" s="21">
        <f>EXP(-LN(2)/2)*CM103+(1-EXP(-LN(2)/2))/(LN(2)/2)*CG104*CJ104*VLOOKUP('Données projet'!$B$12,Paramètres!$A$1:$I$89,3,0)*0.475*44/12</f>
        <v>0</v>
      </c>
      <c r="CN104" s="22">
        <f t="shared" si="66"/>
        <v>284.58691727865732</v>
      </c>
      <c r="CO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319</v>
      </c>
      <c r="CU104" s="17">
        <f>CT104*VLOOKUP('Données projet'!$B$13,Paramètres!$A$1:$I$89,3,0)*VLOOKUP('Données projet'!$B$13,Paramètres!$A$1:$I$89,5,0)</f>
        <v>233.89079999999998</v>
      </c>
      <c r="CV104" s="13">
        <f t="shared" si="95"/>
        <v>57.123140349023068</v>
      </c>
      <c r="CW104" s="20">
        <f t="shared" si="67"/>
        <v>506.84927944121517</v>
      </c>
      <c r="CX104" s="59">
        <f t="shared" si="68"/>
        <v>784.52967198828958</v>
      </c>
      <c r="CY104" s="59">
        <f ca="1">AVERAGE(OFFSET($CX$3,0,0,'Données projet'!$E$13+1,1))-AVERAGE(OFFSET($H$3,0,0,'Données projet'!$E$13+1,1))</f>
        <v>352.45777291109863</v>
      </c>
      <c r="CZ104" s="59">
        <f t="shared" si="96"/>
        <v>340.92165104349181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26.227357466155265</v>
      </c>
      <c r="DG104" s="21">
        <f>EXP(-LN(2)/25)*DG103+(1-EXP(-LN(2)/25))/(LN(2)/25)*Calculateur!DB104*Calculateur!DD104*VLOOKUP('Données projet'!$B$13,Paramètres!$A$1:$I$89,3,0)*0.475*44/12</f>
        <v>0</v>
      </c>
      <c r="DH104" s="21">
        <f>EXP(-LN(2)/2)*DH103+(1-EXP(-LN(2)/2))/(LN(2)/2)*DB104*DE104*VLOOKUP('Données projet'!$B$13,Paramètres!$A$1:$I$89,3,0)*0.475*44/12</f>
        <v>0</v>
      </c>
      <c r="DI104" s="22">
        <f t="shared" si="69"/>
        <v>26.227357466155265</v>
      </c>
      <c r="DJ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9.7110000000000021</v>
      </c>
      <c r="DO104" s="12">
        <f>IF('Données projet'!$A$166&gt;35,DO103+DN104-DW103,IF(A104&lt;'Données projet'!$A$166,$DL$205^A104,IF(A104='Données projet'!$A$166,'Données projet'!$B$166,DO103+DN104-DW103)))</f>
        <v>421.28200000000015</v>
      </c>
      <c r="DP104" s="17">
        <f>DO104*VLOOKUP('Données projet'!$B$14,Paramètres!$A$1:$I$89,3,0)*VLOOKUP('Données projet'!$B$14,Paramètres!$A$1:$I$89,5,0)</f>
        <v>282.59596560000011</v>
      </c>
      <c r="DQ104" s="13">
        <f t="shared" si="97"/>
        <v>67.515316033669649</v>
      </c>
      <c r="DR104" s="20">
        <f t="shared" si="70"/>
        <v>609.77714884530803</v>
      </c>
      <c r="DS104" s="59">
        <f t="shared" si="71"/>
        <v>887.45754139238238</v>
      </c>
      <c r="DT104" s="59">
        <f ca="1">AVERAGE(OFFSET($DS$3,0,0,'Données projet'!$E$14+1,1))-AVERAGE(OFFSET($H$3,0,0,'Données projet'!$E$14+1,1))</f>
        <v>441.20130048888439</v>
      </c>
      <c r="DU104" s="59">
        <f t="shared" si="98"/>
        <v>237.47732532183946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111.23839263678499</v>
      </c>
      <c r="EB104" s="21">
        <f>EXP(-LN(2)/25)*EB103+(1-EXP(-LN(2)/25))/(LN(2)/25)*Calculateur!DW104*Calculateur!DY104*VLOOKUP('Données projet'!$B$14,Paramètres!$A$1:$I$89,3,0)*0.475*44/12</f>
        <v>0</v>
      </c>
      <c r="EC104" s="21">
        <f>EXP(-LN(2)/2)*EC103+(1-EXP(-LN(2)/2))/(LN(2)/2)*DW104*DZ104*VLOOKUP('Données projet'!$B$14,Paramètres!$A$1:$I$89,3,0)*0.475*44/12</f>
        <v>0</v>
      </c>
      <c r="ED104" s="22">
        <f t="shared" si="72"/>
        <v>111.23839263678499</v>
      </c>
      <c r="EE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319</v>
      </c>
      <c r="EK104" s="17">
        <f>EJ104*VLOOKUP('Données projet'!$B$15,Paramètres!$A$1:$I$89,3,0)*VLOOKUP('Données projet'!$B$15,Paramètres!$A$1:$I$89,5,0)</f>
        <v>253.79640000000001</v>
      </c>
      <c r="EL104" s="13">
        <f t="shared" si="99"/>
        <v>61.39816832228076</v>
      </c>
      <c r="EM104" s="20">
        <f t="shared" si="73"/>
        <v>548.96387316130563</v>
      </c>
      <c r="EN104" s="59">
        <f t="shared" si="74"/>
        <v>826.64426570838009</v>
      </c>
      <c r="EO104" s="59">
        <f ca="1">AVERAGE(OFFSET($EN$3,0,0,'Données projet'!$E$15+1,1))-AVERAGE(OFFSET($H$3,0,0,'Données projet'!$E$15+1,1))</f>
        <v>377.27600411578322</v>
      </c>
      <c r="EP104" s="59">
        <f t="shared" si="100"/>
        <v>364.58250627635425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>
        <f>EXP(-LN(2)/35)*EV103+(1-EXP(-LN(2)/35))/(LN(2)/35)*ER104*ES104*VLOOKUP('Données projet'!$B$15,Paramètres!$A$1:$I$89,3,0)*0.475*44/12</f>
        <v>35.077955087094359</v>
      </c>
      <c r="EW104" s="21">
        <f>EXP(-LN(2)/25)*EW103+(1-EXP(-LN(2)/25))/(LN(2)/25)*Calculateur!ER104*Calculateur!ET104*VLOOKUP('Données projet'!$B$15,Paramètres!$A$1:$I$89,3,0)*0.475*44/12</f>
        <v>0</v>
      </c>
      <c r="EX104" s="21">
        <f>EXP(-LN(2)/2)*EX103+(1-EXP(-LN(2)/2))/(LN(2)/2)*ER104*EU104*VLOOKUP('Données projet'!$B$15,Paramètres!$A$1:$I$89,3,0)*0.475*44/12</f>
        <v>0</v>
      </c>
      <c r="EY104" s="22">
        <f t="shared" si="75"/>
        <v>35.077955087094359</v>
      </c>
      <c r="EZ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319</v>
      </c>
      <c r="FF104" s="17">
        <f>FE104*VLOOKUP('Données projet'!$B$16,Paramètres!$A$1:$I$89,3,0)*VLOOKUP('Données projet'!$B$16,Paramètres!$A$1:$I$89,5,0)</f>
        <v>258.77280000000002</v>
      </c>
      <c r="FG104" s="13">
        <f t="shared" si="101"/>
        <v>62.460716522234691</v>
      </c>
      <c r="FH104" s="20">
        <f t="shared" si="76"/>
        <v>559.48170794289206</v>
      </c>
      <c r="FI104" s="59">
        <f t="shared" si="77"/>
        <v>837.16210048996641</v>
      </c>
      <c r="FJ104" s="59">
        <f ca="1">AVERAGE(OFFSET($FI$3,0,0,'Données projet'!$E$16+1,1))-AVERAGE(OFFSET($H$3,0,0,'Données projet'!$E$16+1,1))</f>
        <v>383.47399633251354</v>
      </c>
      <c r="FK104" s="59">
        <f t="shared" si="102"/>
        <v>370.49129421395628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>
        <f>EXP(-LN(2)/35)*FQ103+(1-EXP(-LN(2)/35))/(LN(2)/35)*FM104*FN104*VLOOKUP('Données projet'!$B$16,Paramètres!$A$1:$I$89,3,0)*0.475*44/12</f>
        <v>35.765758128017801</v>
      </c>
      <c r="FR104" s="21">
        <f>EXP(-LN(2)/25)*FR103+(1-EXP(-LN(2)/25))/(LN(2)/25)*Calculateur!FM104*Calculateur!FO104*VLOOKUP('Données projet'!$B$16,Paramètres!$A$1:$I$89,3,0)*0.475*44/12</f>
        <v>0</v>
      </c>
      <c r="FS104" s="21">
        <f>EXP(-LN(2)/2)*FS103+(1-EXP(-LN(2)/2))/(LN(2)/2)*FM104*FP104*VLOOKUP('Données projet'!$B$16,Paramètres!$A$1:$I$89,3,0)*0.475*44/12</f>
        <v>0</v>
      </c>
      <c r="FT104" s="22">
        <f t="shared" si="78"/>
        <v>35.765758128017801</v>
      </c>
      <c r="FU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9.7110000000000021</v>
      </c>
      <c r="FZ104" s="12">
        <f>IF('Données projet'!$A$244&gt;35,FZ103+FY104-GH103,IF(A104&lt;'Données projet'!$A$244,$FW$205^A104,IF(A104='Données projet'!$A$244,'Données projet'!$B$244,FZ103+FY104-GH103)))</f>
        <v>421.28200000000015</v>
      </c>
      <c r="GA104" s="17">
        <f>FZ104*VLOOKUP('Données projet'!$B$17,Paramètres!$A$1:$I$89,3,0)*VLOOKUP('Données projet'!$B$17,Paramètres!$A$1:$I$89,5,0)</f>
        <v>400.89195120000016</v>
      </c>
      <c r="GB104" s="13">
        <f t="shared" si="103"/>
        <v>91.957471190301248</v>
      </c>
      <c r="GC104" s="20">
        <f t="shared" si="79"/>
        <v>858.37941066310816</v>
      </c>
      <c r="GD104" s="59">
        <f t="shared" si="80"/>
        <v>1136.0598032101825</v>
      </c>
      <c r="GE104" s="59">
        <f ca="1">AVERAGE(OFFSET($GD$3,0,0,'Données projet'!$E$17+1,1))-AVERAGE(OFFSET($H$3,0,0,'Données projet'!$E$17+1,1))</f>
        <v>592.58528889137358</v>
      </c>
      <c r="GF104" s="59">
        <f t="shared" si="104"/>
        <v>311.31528020403709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>
        <f>EXP(-LN(2)/35)*GL103+(1-EXP(-LN(2)/35))/(LN(2)/35)*GH104*GI104*VLOOKUP('Données projet'!$B$17,Paramètres!$A$1:$I$89,3,0)*0.475*44/12</f>
        <v>128.02909341214877</v>
      </c>
      <c r="GM104" s="21">
        <f>EXP(-LN(2)/25)*GM103+(1-EXP(-LN(2)/25))/(LN(2)/25)*Calculateur!GH104*Calculateur!GJ104*VLOOKUP('Données projet'!$B$17,Paramètres!$A$1:$I$89,3,0)*0.475*44/12</f>
        <v>0</v>
      </c>
      <c r="GN104" s="21">
        <f>EXP(-LN(2)/2)*GN103+(1-EXP(-LN(2)/2))/(LN(2)/2)*GH104*GK104*VLOOKUP('Données projet'!$B$17,Paramètres!$A$1:$I$89,3,0)*0.475*44/12</f>
        <v>0</v>
      </c>
      <c r="GO104" s="21">
        <f t="shared" si="81"/>
        <v>128.02909341214877</v>
      </c>
      <c r="GP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328.00000000000006</v>
      </c>
      <c r="GV104" s="17">
        <f>GU104*VLOOKUP('Données projet'!$B$18,Paramètres!$A$1:$I$89,3,0)*VLOOKUP('Données projet'!$B$18,Paramètres!$A$1:$I$89,5,0)</f>
        <v>255.84000000000006</v>
      </c>
      <c r="GW104" s="13">
        <f t="shared" si="105"/>
        <v>61.834803371075836</v>
      </c>
      <c r="GX104" s="20">
        <f t="shared" si="82"/>
        <v>553.28361587129041</v>
      </c>
      <c r="GY104" s="59">
        <f t="shared" si="83"/>
        <v>830.96400841836476</v>
      </c>
      <c r="GZ104" s="59">
        <f ca="1">AVERAGE(OFFSET($GY$3,0,0,'Données projet'!$E$18+1,1))-AVERAGE(OFFSET($H$3,0,0,'Données projet'!$E$18+1,1))</f>
        <v>308.85018589589453</v>
      </c>
      <c r="HA104" s="59">
        <f t="shared" si="106"/>
        <v>302.59481222418219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>
        <f>EXP(-LN(2)/35)*HG103+(1-EXP(-LN(2)/35))/(LN(2)/35)*HC104*HD104*VLOOKUP('Données projet'!$B$18,Paramètres!$A$1:$I$89,3,0)*0.475*44/12</f>
        <v>26.732060810148884</v>
      </c>
      <c r="HH104" s="21">
        <f>EXP(-LN(2)/25)*HH103+(1-EXP(-LN(2)/25))/(LN(2)/25)*Calculateur!HC104*Calculateur!HE104*VLOOKUP('Données projet'!$B$18,Paramètres!$A$1:$I$89,3,0)*0.475*44/12</f>
        <v>0</v>
      </c>
      <c r="HI104" s="21">
        <f>EXP(-LN(2)/2)*HI103+(1-EXP(-LN(2)/2))/(LN(2)/2)*HC104*HF104*VLOOKUP('Données projet'!$B$18,Paramètres!$A$1:$I$89,3,0)*0.475*44/12</f>
        <v>0</v>
      </c>
      <c r="HJ104" s="22">
        <f t="shared" si="84"/>
        <v>26.732060810148884</v>
      </c>
    </row>
    <row r="105" spans="1:218" x14ac:dyDescent="0.35">
      <c r="A105" s="10">
        <f t="shared" si="85"/>
        <v>102</v>
      </c>
      <c r="B105" s="72">
        <f>'Scénario référence'!$B$16*5+'Scénario référence'!$B$17*0+'Scénario référence'!$B$18*5</f>
        <v>5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66">
        <f t="shared" si="56"/>
        <v>183.33333333333334</v>
      </c>
      <c r="I105" s="6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9.7110000000000021</v>
      </c>
      <c r="N105" s="13">
        <f>IF('Données projet'!$A$36&gt;35,N104+M105-V104,IF(A105&lt;'Données projet'!$A$36,$K$205^A105,IF(A105='Données projet'!$A$36,'Données projet'!$B$36,N104+M105-V104)))</f>
        <v>430.99300000000017</v>
      </c>
      <c r="O105" s="13">
        <f>N105*VLOOKUP('Données projet'!$B$9,Paramètres!$A$1:$I$89,3,0)*VLOOKUP('Données projet'!$B$9,Paramètres!$A$1:$I$89,5,0)</f>
        <v>389.9624664000001</v>
      </c>
      <c r="P105" s="13">
        <f t="shared" si="87"/>
        <v>89.738709223725238</v>
      </c>
      <c r="Q105" s="20">
        <f t="shared" si="107"/>
        <v>835.47954754465491</v>
      </c>
      <c r="R105" s="59">
        <f t="shared" si="55"/>
        <v>1113.4314836196379</v>
      </c>
      <c r="S105" s="59">
        <f ca="1">AVERAGE(OFFSET($R$3,0,0,'Données projet'!$E$9+1,1))-AVERAGE(OFFSET($H$3,0,0,'Données projet'!$E$9+1,1))</f>
        <v>567.42635821507474</v>
      </c>
      <c r="T105" s="59">
        <f t="shared" si="88"/>
        <v>299.04735309930152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119.34547896494456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119.34547896494456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9.7110000000000021</v>
      </c>
      <c r="AI105" s="13">
        <f>IF('Données projet'!$A$62&gt;35,AI104+AH105-AQ104,IF(A105&lt;'Données projet'!$A$62,$AF$205^A105,IF(A105='Données projet'!$A$62,'Données projet'!$B$62,AI104+AH105-AQ104)))</f>
        <v>430.99300000000017</v>
      </c>
      <c r="AJ105" s="13">
        <f>AI105*VLOOKUP('Données projet'!$B$10,Paramètres!$A$1:$I$89,3,0)*VLOOKUP('Données projet'!$B$10,Paramètres!$A$1:$I$89,5,0)</f>
        <v>437.02690200000018</v>
      </c>
      <c r="AK105" s="13">
        <f t="shared" si="89"/>
        <v>99.244188579159314</v>
      </c>
      <c r="AL105" s="20">
        <f t="shared" si="58"/>
        <v>934.00548275870278</v>
      </c>
      <c r="AM105" s="59">
        <f t="shared" si="59"/>
        <v>1211.9574188336858</v>
      </c>
      <c r="AN105" s="59">
        <f ca="1">AVERAGE(OFFSET($AM$3,0,0,'Données projet'!$E$10+1,1))-AVERAGE(OFFSET($H$3,0,0,'Données projet'!$E$10+1,1))</f>
        <v>626.09203985591455</v>
      </c>
      <c r="AO105" s="59">
        <f t="shared" si="90"/>
        <v>327.65191296575199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133.74924366761033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133.74924366761033</v>
      </c>
      <c r="AY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6.6</v>
      </c>
      <c r="BD105" s="12">
        <f>IF('Données projet'!$A$88&gt;35,BD104+BC105-BL104,IF(A105&lt;'Données projet'!$A$88,$BA$205^A105,IF(A105='Données projet'!$A$88,'Données projet'!$B$88,BD104+BC105-BL104)))</f>
        <v>389.19999999999993</v>
      </c>
      <c r="BE105" s="13">
        <f>BD105*VLOOKUP('Données projet'!$B$11,Paramètres!$A$1:$I$89,3,0)*VLOOKUP('Données projet'!$B$11,Paramètres!$A$1:$I$89,5,0)</f>
        <v>333.93359999999996</v>
      </c>
      <c r="BF105" s="13">
        <f t="shared" si="91"/>
        <v>78.245279532276854</v>
      </c>
      <c r="BG105" s="20">
        <f t="shared" si="61"/>
        <v>717.87821518538203</v>
      </c>
      <c r="BH105" s="59">
        <f t="shared" si="62"/>
        <v>995.83015126036503</v>
      </c>
      <c r="BI105" s="59">
        <f ca="1">AVERAGE(OFFSET($BH$3,0,0,'Données projet'!$E$11+1,1))-AVERAGE(OFFSET($H$3,0,0,'Données projet'!$E$11+1,1))</f>
        <v>481.23392184981651</v>
      </c>
      <c r="BJ105" s="59">
        <f t="shared" si="92"/>
        <v>275.88160405468193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103.23063197693607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103.23063197693607</v>
      </c>
      <c r="BT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5.2499999999990337</v>
      </c>
      <c r="BZ105" s="13">
        <f>BY105*VLOOKUP('Données projet'!$B$12,Paramètres!$A$1:$I$89,3,0)*VLOOKUP('Données projet'!$B$12,Paramètres!$A$1:$I$89,5,0)</f>
        <v>2.4569999999995478</v>
      </c>
      <c r="CA105" s="13">
        <f t="shared" si="93"/>
        <v>1.0197977774625564</v>
      </c>
      <c r="CB105" s="20">
        <f t="shared" si="64"/>
        <v>6.0554227957464972</v>
      </c>
      <c r="CC105" s="59">
        <f t="shared" si="65"/>
        <v>284.00735887072943</v>
      </c>
      <c r="CD105" s="59">
        <f ca="1">AVERAGE(OFFSET($CC$3,0,0,'Données projet'!$E$12+1,1))-AVERAGE(OFFSET($H$3,0,0,'Données projet'!$E$12+1,1))</f>
        <v>331.86732359395467</v>
      </c>
      <c r="CE105" s="59">
        <f t="shared" si="94"/>
        <v>208.64489375183106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279.00634141170269</v>
      </c>
      <c r="CL105" s="21">
        <f>EXP(-LN(2)/25)*CL104+(1-EXP(-LN(2)/25))/(LN(2)/25)*Calculateur!CG105*Calculateur!CI105*VLOOKUP('Données projet'!$B$12,Paramètres!$A$1:$I$89,3,0)*0.475*44/12</f>
        <v>0</v>
      </c>
      <c r="CM105" s="21">
        <f>EXP(-LN(2)/2)*CM104+(1-EXP(-LN(2)/2))/(LN(2)/2)*CG105*CJ105*VLOOKUP('Données projet'!$B$12,Paramètres!$A$1:$I$89,3,0)*0.475*44/12</f>
        <v>0</v>
      </c>
      <c r="CN105" s="22">
        <f t="shared" si="66"/>
        <v>279.00634141170269</v>
      </c>
      <c r="CO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319</v>
      </c>
      <c r="CU105" s="17">
        <f>CT105*VLOOKUP('Données projet'!$B$13,Paramètres!$A$1:$I$89,3,0)*VLOOKUP('Données projet'!$B$13,Paramètres!$A$1:$I$89,5,0)</f>
        <v>233.89079999999998</v>
      </c>
      <c r="CV105" s="13">
        <f t="shared" si="95"/>
        <v>57.123140349023068</v>
      </c>
      <c r="CW105" s="20">
        <f t="shared" si="67"/>
        <v>506.84927944121517</v>
      </c>
      <c r="CX105" s="59">
        <f t="shared" si="68"/>
        <v>784.80121551619811</v>
      </c>
      <c r="CY105" s="59">
        <f ca="1">AVERAGE(OFFSET($CX$3,0,0,'Données projet'!$E$13+1,1))-AVERAGE(OFFSET($H$3,0,0,'Données projet'!$E$13+1,1))</f>
        <v>352.45777291109863</v>
      </c>
      <c r="CZ105" s="59">
        <f t="shared" si="96"/>
        <v>340.92165104349181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25.713054983352432</v>
      </c>
      <c r="DG105" s="21">
        <f>EXP(-LN(2)/25)*DG104+(1-EXP(-LN(2)/25))/(LN(2)/25)*Calculateur!DB105*Calculateur!DD105*VLOOKUP('Données projet'!$B$13,Paramètres!$A$1:$I$89,3,0)*0.475*44/12</f>
        <v>0</v>
      </c>
      <c r="DH105" s="21">
        <f>EXP(-LN(2)/2)*DH104+(1-EXP(-LN(2)/2))/(LN(2)/2)*DB105*DE105*VLOOKUP('Données projet'!$B$13,Paramètres!$A$1:$I$89,3,0)*0.475*44/12</f>
        <v>0</v>
      </c>
      <c r="DI105" s="22">
        <f t="shared" si="69"/>
        <v>25.713054983352432</v>
      </c>
      <c r="DJ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9.7110000000000021</v>
      </c>
      <c r="DO105" s="12">
        <f>IF('Données projet'!$A$166&gt;35,DO104+DN105-DW104,IF(A105&lt;'Données projet'!$A$166,$DL$205^A105,IF(A105='Données projet'!$A$166,'Données projet'!$B$166,DO104+DN105-DW104)))</f>
        <v>430.99300000000017</v>
      </c>
      <c r="DP105" s="17">
        <f>DO105*VLOOKUP('Données projet'!$B$14,Paramètres!$A$1:$I$89,3,0)*VLOOKUP('Données projet'!$B$14,Paramètres!$A$1:$I$89,5,0)</f>
        <v>289.11010440000013</v>
      </c>
      <c r="DQ105" s="13">
        <f t="shared" si="97"/>
        <v>68.888633610459792</v>
      </c>
      <c r="DR105" s="20">
        <f t="shared" si="70"/>
        <v>623.51446870155098</v>
      </c>
      <c r="DS105" s="59">
        <f t="shared" si="71"/>
        <v>901.46640477653386</v>
      </c>
      <c r="DT105" s="59">
        <f ca="1">AVERAGE(OFFSET($DS$3,0,0,'Données projet'!$E$14+1,1))-AVERAGE(OFFSET($H$3,0,0,'Données projet'!$E$14+1,1))</f>
        <v>441.20130048888439</v>
      </c>
      <c r="DU105" s="59">
        <f t="shared" si="98"/>
        <v>237.47732532183946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109.05707560589764</v>
      </c>
      <c r="EB105" s="21">
        <f>EXP(-LN(2)/25)*EB104+(1-EXP(-LN(2)/25))/(LN(2)/25)*Calculateur!DW105*Calculateur!DY105*VLOOKUP('Données projet'!$B$14,Paramètres!$A$1:$I$89,3,0)*0.475*44/12</f>
        <v>0</v>
      </c>
      <c r="EC105" s="21">
        <f>EXP(-LN(2)/2)*EC104+(1-EXP(-LN(2)/2))/(LN(2)/2)*DW105*DZ105*VLOOKUP('Données projet'!$B$14,Paramètres!$A$1:$I$89,3,0)*0.475*44/12</f>
        <v>0</v>
      </c>
      <c r="ED105" s="22">
        <f t="shared" si="72"/>
        <v>109.05707560589764</v>
      </c>
      <c r="EE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319</v>
      </c>
      <c r="EK105" s="17">
        <f>EJ105*VLOOKUP('Données projet'!$B$15,Paramètres!$A$1:$I$89,3,0)*VLOOKUP('Données projet'!$B$15,Paramètres!$A$1:$I$89,5,0)</f>
        <v>253.79640000000001</v>
      </c>
      <c r="EL105" s="13">
        <f t="shared" si="99"/>
        <v>61.39816832228076</v>
      </c>
      <c r="EM105" s="20">
        <f t="shared" si="73"/>
        <v>548.96387316130563</v>
      </c>
      <c r="EN105" s="59">
        <f t="shared" si="74"/>
        <v>826.91580923628862</v>
      </c>
      <c r="EO105" s="59">
        <f ca="1">AVERAGE(OFFSET($EN$3,0,0,'Données projet'!$E$15+1,1))-AVERAGE(OFFSET($H$3,0,0,'Données projet'!$E$15+1,1))</f>
        <v>377.27600411578322</v>
      </c>
      <c r="EP105" s="59">
        <f t="shared" si="100"/>
        <v>364.58250627635425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>
        <f>EXP(-LN(2)/35)*EV104+(1-EXP(-LN(2)/35))/(LN(2)/35)*ER105*ES105*VLOOKUP('Données projet'!$B$15,Paramètres!$A$1:$I$89,3,0)*0.475*44/12</f>
        <v>34.390097783276417</v>
      </c>
      <c r="EW105" s="21">
        <f>EXP(-LN(2)/25)*EW104+(1-EXP(-LN(2)/25))/(LN(2)/25)*Calculateur!ER105*Calculateur!ET105*VLOOKUP('Données projet'!$B$15,Paramètres!$A$1:$I$89,3,0)*0.475*44/12</f>
        <v>0</v>
      </c>
      <c r="EX105" s="21">
        <f>EXP(-LN(2)/2)*EX104+(1-EXP(-LN(2)/2))/(LN(2)/2)*ER105*EU105*VLOOKUP('Données projet'!$B$15,Paramètres!$A$1:$I$89,3,0)*0.475*44/12</f>
        <v>0</v>
      </c>
      <c r="EY105" s="22">
        <f t="shared" si="75"/>
        <v>34.390097783276417</v>
      </c>
      <c r="EZ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319</v>
      </c>
      <c r="FF105" s="17">
        <f>FE105*VLOOKUP('Données projet'!$B$16,Paramètres!$A$1:$I$89,3,0)*VLOOKUP('Données projet'!$B$16,Paramètres!$A$1:$I$89,5,0)</f>
        <v>258.77280000000002</v>
      </c>
      <c r="FG105" s="13">
        <f t="shared" si="101"/>
        <v>62.460716522234691</v>
      </c>
      <c r="FH105" s="20">
        <f t="shared" si="76"/>
        <v>559.48170794289206</v>
      </c>
      <c r="FI105" s="59">
        <f t="shared" si="77"/>
        <v>837.43364401787494</v>
      </c>
      <c r="FJ105" s="59">
        <f ca="1">AVERAGE(OFFSET($FI$3,0,0,'Données projet'!$E$16+1,1))-AVERAGE(OFFSET($H$3,0,0,'Données projet'!$E$16+1,1))</f>
        <v>383.47399633251354</v>
      </c>
      <c r="FK105" s="59">
        <f t="shared" si="102"/>
        <v>370.49129421395628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>
        <f>EXP(-LN(2)/35)*FQ104+(1-EXP(-LN(2)/35))/(LN(2)/35)*FM105*FN105*VLOOKUP('Données projet'!$B$16,Paramètres!$A$1:$I$89,3,0)*0.475*44/12</f>
        <v>35.064413426085778</v>
      </c>
      <c r="FR105" s="21">
        <f>EXP(-LN(2)/25)*FR104+(1-EXP(-LN(2)/25))/(LN(2)/25)*Calculateur!FM105*Calculateur!FO105*VLOOKUP('Données projet'!$B$16,Paramètres!$A$1:$I$89,3,0)*0.475*44/12</f>
        <v>0</v>
      </c>
      <c r="FS105" s="21">
        <f>EXP(-LN(2)/2)*FS104+(1-EXP(-LN(2)/2))/(LN(2)/2)*FM105*FP105*VLOOKUP('Données projet'!$B$16,Paramètres!$A$1:$I$89,3,0)*0.475*44/12</f>
        <v>0</v>
      </c>
      <c r="FT105" s="22">
        <f t="shared" si="78"/>
        <v>35.064413426085778</v>
      </c>
      <c r="FU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9.7110000000000021</v>
      </c>
      <c r="FZ105" s="12">
        <f>IF('Données projet'!$A$244&gt;35,FZ104+FY105-GH104,IF(A105&lt;'Données projet'!$A$244,$FW$205^A105,IF(A105='Données projet'!$A$244,'Données projet'!$B$244,FZ104+FY105-GH104)))</f>
        <v>430.99300000000017</v>
      </c>
      <c r="GA105" s="17">
        <f>FZ105*VLOOKUP('Données projet'!$B$17,Paramètres!$A$1:$I$89,3,0)*VLOOKUP('Données projet'!$B$17,Paramètres!$A$1:$I$89,5,0)</f>
        <v>410.1329388000002</v>
      </c>
      <c r="GB105" s="13">
        <f t="shared" si="103"/>
        <v>93.827962493931295</v>
      </c>
      <c r="GC105" s="20">
        <f t="shared" si="79"/>
        <v>877.73190308693063</v>
      </c>
      <c r="GD105" s="59">
        <f t="shared" si="80"/>
        <v>1155.6838391619135</v>
      </c>
      <c r="GE105" s="59">
        <f ca="1">AVERAGE(OFFSET($GD$3,0,0,'Données projet'!$E$17+1,1))-AVERAGE(OFFSET($H$3,0,0,'Données projet'!$E$17+1,1))</f>
        <v>592.58528889137358</v>
      </c>
      <c r="GF105" s="59">
        <f t="shared" si="104"/>
        <v>311.31528020403709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>
        <f>EXP(-LN(2)/35)*GL104+(1-EXP(-LN(2)/35))/(LN(2)/35)*GH105*GI105*VLOOKUP('Données projet'!$B$17,Paramètres!$A$1:$I$89,3,0)*0.475*44/12</f>
        <v>125.51852098037276</v>
      </c>
      <c r="GM105" s="21">
        <f>EXP(-LN(2)/25)*GM104+(1-EXP(-LN(2)/25))/(LN(2)/25)*Calculateur!GH105*Calculateur!GJ105*VLOOKUP('Données projet'!$B$17,Paramètres!$A$1:$I$89,3,0)*0.475*44/12</f>
        <v>0</v>
      </c>
      <c r="GN105" s="21">
        <f>EXP(-LN(2)/2)*GN104+(1-EXP(-LN(2)/2))/(LN(2)/2)*GH105*GK105*VLOOKUP('Données projet'!$B$17,Paramètres!$A$1:$I$89,3,0)*0.475*44/12</f>
        <v>0</v>
      </c>
      <c r="GO105" s="21">
        <f t="shared" si="81"/>
        <v>125.51852098037276</v>
      </c>
      <c r="GP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328.00000000000006</v>
      </c>
      <c r="GV105" s="17">
        <f>GU105*VLOOKUP('Données projet'!$B$18,Paramètres!$A$1:$I$89,3,0)*VLOOKUP('Données projet'!$B$18,Paramètres!$A$1:$I$89,5,0)</f>
        <v>255.84000000000006</v>
      </c>
      <c r="GW105" s="13">
        <f t="shared" si="105"/>
        <v>61.834803371075836</v>
      </c>
      <c r="GX105" s="20">
        <f t="shared" si="82"/>
        <v>553.28361587129041</v>
      </c>
      <c r="GY105" s="59">
        <f t="shared" si="83"/>
        <v>831.23555194627329</v>
      </c>
      <c r="GZ105" s="59">
        <f ca="1">AVERAGE(OFFSET($GY$3,0,0,'Données projet'!$E$18+1,1))-AVERAGE(OFFSET($H$3,0,0,'Données projet'!$E$18+1,1))</f>
        <v>308.85018589589453</v>
      </c>
      <c r="HA105" s="59">
        <f t="shared" si="106"/>
        <v>302.59481222418219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>
        <f>EXP(-LN(2)/35)*HG104+(1-EXP(-LN(2)/35))/(LN(2)/35)*HC105*HD105*VLOOKUP('Données projet'!$B$18,Paramètres!$A$1:$I$89,3,0)*0.475*44/12</f>
        <v>26.20786140260898</v>
      </c>
      <c r="HH105" s="21">
        <f>EXP(-LN(2)/25)*HH104+(1-EXP(-LN(2)/25))/(LN(2)/25)*Calculateur!HC105*Calculateur!HE105*VLOOKUP('Données projet'!$B$18,Paramètres!$A$1:$I$89,3,0)*0.475*44/12</f>
        <v>0</v>
      </c>
      <c r="HI105" s="21">
        <f>EXP(-LN(2)/2)*HI104+(1-EXP(-LN(2)/2))/(LN(2)/2)*HC105*HF105*VLOOKUP('Données projet'!$B$18,Paramètres!$A$1:$I$89,3,0)*0.475*44/12</f>
        <v>0</v>
      </c>
      <c r="HJ105" s="22">
        <f t="shared" si="84"/>
        <v>26.20786140260898</v>
      </c>
    </row>
    <row r="106" spans="1:218" x14ac:dyDescent="0.35">
      <c r="A106" s="10">
        <f t="shared" si="85"/>
        <v>103</v>
      </c>
      <c r="B106" s="72">
        <f>'Scénario référence'!$B$16*5+'Scénario référence'!$B$17*0+'Scénario référence'!$B$18*5</f>
        <v>5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66">
        <f t="shared" si="56"/>
        <v>183.33333333333334</v>
      </c>
      <c r="I106" s="6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9.7110000000000021</v>
      </c>
      <c r="N106" s="13">
        <f>IF('Données projet'!$A$36&gt;35,N105+M106-V105,IF(A106&lt;'Données projet'!$A$36,$K$205^A106,IF(A106='Données projet'!$A$36,'Données projet'!$B$36,N105+M106-V105)))</f>
        <v>440.70400000000018</v>
      </c>
      <c r="O106" s="13">
        <f>N106*VLOOKUP('Données projet'!$B$9,Paramètres!$A$1:$I$89,3,0)*VLOOKUP('Données projet'!$B$9,Paramètres!$A$1:$I$89,5,0)</f>
        <v>398.74897920000012</v>
      </c>
      <c r="P106" s="13">
        <f t="shared" si="87"/>
        <v>91.522993733283613</v>
      </c>
      <c r="Q106" s="20">
        <f t="shared" si="107"/>
        <v>853.89035285880254</v>
      </c>
      <c r="R106" s="59">
        <f t="shared" si="55"/>
        <v>1132.1091217885653</v>
      </c>
      <c r="S106" s="59">
        <f ca="1">AVERAGE(OFFSET($R$3,0,0,'Données projet'!$E$9+1,1))-AVERAGE(OFFSET($H$3,0,0,'Données projet'!$E$9+1,1))</f>
        <v>567.42635821507474</v>
      </c>
      <c r="T106" s="59">
        <f t="shared" si="88"/>
        <v>299.04735309930152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117.0051869159964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117.0051869159964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9.7110000000000021</v>
      </c>
      <c r="AI106" s="13">
        <f>IF('Données projet'!$A$62&gt;35,AI105+AH106-AQ105,IF(A106&lt;'Données projet'!$A$62,$AF$205^A106,IF(A106='Données projet'!$A$62,'Données projet'!$B$62,AI105+AH106-AQ105)))</f>
        <v>440.70400000000018</v>
      </c>
      <c r="AJ106" s="13">
        <f>AI106*VLOOKUP('Données projet'!$B$10,Paramètres!$A$1:$I$89,3,0)*VLOOKUP('Données projet'!$B$10,Paramètres!$A$1:$I$89,5,0)</f>
        <v>446.87385600000022</v>
      </c>
      <c r="AK106" s="13">
        <f t="shared" si="89"/>
        <v>101.21747156793077</v>
      </c>
      <c r="AL106" s="20">
        <f t="shared" si="58"/>
        <v>954.59239551414646</v>
      </c>
      <c r="AM106" s="59">
        <f t="shared" si="59"/>
        <v>1232.8111644439091</v>
      </c>
      <c r="AN106" s="59">
        <f ca="1">AVERAGE(OFFSET($AM$3,0,0,'Données projet'!$E$10+1,1))-AVERAGE(OFFSET($H$3,0,0,'Données projet'!$E$10+1,1))</f>
        <v>626.09203985591455</v>
      </c>
      <c r="AO106" s="59">
        <f t="shared" si="90"/>
        <v>327.65191296575199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131.12650257827187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131.12650257827187</v>
      </c>
      <c r="AY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6.6</v>
      </c>
      <c r="BD106" s="12">
        <f>IF('Données projet'!$A$88&gt;35,BD105+BC106-BL105,IF(A106&lt;'Données projet'!$A$88,$BA$205^A106,IF(A106='Données projet'!$A$88,'Données projet'!$B$88,BD105+BC106-BL105)))</f>
        <v>395.79999999999995</v>
      </c>
      <c r="BE106" s="13">
        <f>BD106*VLOOKUP('Données projet'!$B$11,Paramètres!$A$1:$I$89,3,0)*VLOOKUP('Données projet'!$B$11,Paramètres!$A$1:$I$89,5,0)</f>
        <v>339.59640000000002</v>
      </c>
      <c r="BF106" s="13">
        <f t="shared" si="91"/>
        <v>79.416554343021332</v>
      </c>
      <c r="BG106" s="20">
        <f t="shared" si="61"/>
        <v>729.7808954807623</v>
      </c>
      <c r="BH106" s="59">
        <f t="shared" si="62"/>
        <v>1007.9996644105249</v>
      </c>
      <c r="BI106" s="59">
        <f ca="1">AVERAGE(OFFSET($BH$3,0,0,'Données projet'!$E$11+1,1))-AVERAGE(OFFSET($H$3,0,0,'Données projet'!$E$11+1,1))</f>
        <v>481.23392184981651</v>
      </c>
      <c r="BJ106" s="59">
        <f t="shared" si="92"/>
        <v>275.88160405468193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101.20634224833663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101.20634224833663</v>
      </c>
      <c r="BT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5.2499999999990337</v>
      </c>
      <c r="BZ106" s="13">
        <f>BY106*VLOOKUP('Données projet'!$B$12,Paramètres!$A$1:$I$89,3,0)*VLOOKUP('Données projet'!$B$12,Paramètres!$A$1:$I$89,5,0)</f>
        <v>2.4569999999995478</v>
      </c>
      <c r="CA106" s="13">
        <f t="shared" si="93"/>
        <v>1.0197977774625564</v>
      </c>
      <c r="CB106" s="20">
        <f t="shared" si="64"/>
        <v>6.0554227957464972</v>
      </c>
      <c r="CC106" s="59">
        <f t="shared" si="65"/>
        <v>284.27419172550918</v>
      </c>
      <c r="CD106" s="59">
        <f ca="1">AVERAGE(OFFSET($CC$3,0,0,'Données projet'!$E$12+1,1))-AVERAGE(OFFSET($H$3,0,0,'Données projet'!$E$12+1,1))</f>
        <v>331.86732359395467</v>
      </c>
      <c r="CE106" s="59">
        <f t="shared" si="94"/>
        <v>208.64489375183106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273.5351972336839</v>
      </c>
      <c r="CL106" s="21">
        <f>EXP(-LN(2)/25)*CL105+(1-EXP(-LN(2)/25))/(LN(2)/25)*Calculateur!CG106*Calculateur!CI106*VLOOKUP('Données projet'!$B$12,Paramètres!$A$1:$I$89,3,0)*0.475*44/12</f>
        <v>0</v>
      </c>
      <c r="CM106" s="21">
        <f>EXP(-LN(2)/2)*CM105+(1-EXP(-LN(2)/2))/(LN(2)/2)*CG106*CJ106*VLOOKUP('Données projet'!$B$12,Paramètres!$A$1:$I$89,3,0)*0.475*44/12</f>
        <v>0</v>
      </c>
      <c r="CN106" s="22">
        <f t="shared" si="66"/>
        <v>273.5351972336839</v>
      </c>
      <c r="CO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319</v>
      </c>
      <c r="CU106" s="17">
        <f>CT106*VLOOKUP('Données projet'!$B$13,Paramètres!$A$1:$I$89,3,0)*VLOOKUP('Données projet'!$B$13,Paramètres!$A$1:$I$89,5,0)</f>
        <v>233.89079999999998</v>
      </c>
      <c r="CV106" s="13">
        <f t="shared" si="95"/>
        <v>57.123140349023068</v>
      </c>
      <c r="CW106" s="20">
        <f t="shared" si="67"/>
        <v>506.84927944121517</v>
      </c>
      <c r="CX106" s="59">
        <f t="shared" si="68"/>
        <v>785.06804837097786</v>
      </c>
      <c r="CY106" s="59">
        <f ca="1">AVERAGE(OFFSET($CX$3,0,0,'Données projet'!$E$13+1,1))-AVERAGE(OFFSET($H$3,0,0,'Données projet'!$E$13+1,1))</f>
        <v>352.45777291109863</v>
      </c>
      <c r="CZ106" s="59">
        <f t="shared" si="96"/>
        <v>340.92165104349181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25.208837658543821</v>
      </c>
      <c r="DG106" s="21">
        <f>EXP(-LN(2)/25)*DG105+(1-EXP(-LN(2)/25))/(LN(2)/25)*Calculateur!DB106*Calculateur!DD106*VLOOKUP('Données projet'!$B$13,Paramètres!$A$1:$I$89,3,0)*0.475*44/12</f>
        <v>0</v>
      </c>
      <c r="DH106" s="21">
        <f>EXP(-LN(2)/2)*DH105+(1-EXP(-LN(2)/2))/(LN(2)/2)*DB106*DE106*VLOOKUP('Données projet'!$B$13,Paramètres!$A$1:$I$89,3,0)*0.475*44/12</f>
        <v>0</v>
      </c>
      <c r="DI106" s="22">
        <f t="shared" si="69"/>
        <v>25.208837658543821</v>
      </c>
      <c r="DJ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9.7110000000000021</v>
      </c>
      <c r="DO106" s="12">
        <f>IF('Données projet'!$A$166&gt;35,DO105+DN106-DW105,IF(A106&lt;'Données projet'!$A$166,$DL$205^A106,IF(A106='Données projet'!$A$166,'Données projet'!$B$166,DO105+DN106-DW105)))</f>
        <v>440.70400000000018</v>
      </c>
      <c r="DP106" s="17">
        <f>DO106*VLOOKUP('Données projet'!$B$14,Paramètres!$A$1:$I$89,3,0)*VLOOKUP('Données projet'!$B$14,Paramètres!$A$1:$I$89,5,0)</f>
        <v>295.62424320000014</v>
      </c>
      <c r="DQ106" s="13">
        <f t="shared" si="97"/>
        <v>70.258353800320606</v>
      </c>
      <c r="DR106" s="20">
        <f t="shared" si="70"/>
        <v>637.24552310889192</v>
      </c>
      <c r="DS106" s="59">
        <f t="shared" si="71"/>
        <v>915.46429203865455</v>
      </c>
      <c r="DT106" s="59">
        <f ca="1">AVERAGE(OFFSET($DS$3,0,0,'Données projet'!$E$14+1,1))-AVERAGE(OFFSET($H$3,0,0,'Données projet'!$E$14+1,1))</f>
        <v>441.20130048888439</v>
      </c>
      <c r="DU106" s="59">
        <f t="shared" si="98"/>
        <v>237.47732532183946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106.91853287151397</v>
      </c>
      <c r="EB106" s="21">
        <f>EXP(-LN(2)/25)*EB105+(1-EXP(-LN(2)/25))/(LN(2)/25)*Calculateur!DW106*Calculateur!DY106*VLOOKUP('Données projet'!$B$14,Paramètres!$A$1:$I$89,3,0)*0.475*44/12</f>
        <v>0</v>
      </c>
      <c r="EC106" s="21">
        <f>EXP(-LN(2)/2)*EC105+(1-EXP(-LN(2)/2))/(LN(2)/2)*DW106*DZ106*VLOOKUP('Données projet'!$B$14,Paramètres!$A$1:$I$89,3,0)*0.475*44/12</f>
        <v>0</v>
      </c>
      <c r="ED106" s="22">
        <f t="shared" si="72"/>
        <v>106.91853287151397</v>
      </c>
      <c r="EE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319</v>
      </c>
      <c r="EK106" s="17">
        <f>EJ106*VLOOKUP('Données projet'!$B$15,Paramètres!$A$1:$I$89,3,0)*VLOOKUP('Données projet'!$B$15,Paramètres!$A$1:$I$89,5,0)</f>
        <v>253.79640000000001</v>
      </c>
      <c r="EL106" s="13">
        <f t="shared" si="99"/>
        <v>61.39816832228076</v>
      </c>
      <c r="EM106" s="20">
        <f t="shared" si="73"/>
        <v>548.96387316130563</v>
      </c>
      <c r="EN106" s="59">
        <f t="shared" si="74"/>
        <v>827.18264209106837</v>
      </c>
      <c r="EO106" s="59">
        <f ca="1">AVERAGE(OFFSET($EN$3,0,0,'Données projet'!$E$15+1,1))-AVERAGE(OFFSET($H$3,0,0,'Données projet'!$E$15+1,1))</f>
        <v>377.27600411578322</v>
      </c>
      <c r="EP106" s="59">
        <f t="shared" si="100"/>
        <v>364.58250627635425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>
        <f>EXP(-LN(2)/35)*EV105+(1-EXP(-LN(2)/35))/(LN(2)/35)*ER106*ES106*VLOOKUP('Données projet'!$B$15,Paramètres!$A$1:$I$89,3,0)*0.475*44/12</f>
        <v>33.715728941634815</v>
      </c>
      <c r="EW106" s="21">
        <f>EXP(-LN(2)/25)*EW105+(1-EXP(-LN(2)/25))/(LN(2)/25)*Calculateur!ER106*Calculateur!ET106*VLOOKUP('Données projet'!$B$15,Paramètres!$A$1:$I$89,3,0)*0.475*44/12</f>
        <v>0</v>
      </c>
      <c r="EX106" s="21">
        <f>EXP(-LN(2)/2)*EX105+(1-EXP(-LN(2)/2))/(LN(2)/2)*ER106*EU106*VLOOKUP('Données projet'!$B$15,Paramètres!$A$1:$I$89,3,0)*0.475*44/12</f>
        <v>0</v>
      </c>
      <c r="EY106" s="22">
        <f t="shared" si="75"/>
        <v>33.715728941634815</v>
      </c>
      <c r="EZ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319</v>
      </c>
      <c r="FF106" s="17">
        <f>FE106*VLOOKUP('Données projet'!$B$16,Paramètres!$A$1:$I$89,3,0)*VLOOKUP('Données projet'!$B$16,Paramètres!$A$1:$I$89,5,0)</f>
        <v>258.77280000000002</v>
      </c>
      <c r="FG106" s="13">
        <f t="shared" si="101"/>
        <v>62.460716522234691</v>
      </c>
      <c r="FH106" s="20">
        <f t="shared" si="76"/>
        <v>559.48170794289206</v>
      </c>
      <c r="FI106" s="59">
        <f t="shared" si="77"/>
        <v>837.70047687265469</v>
      </c>
      <c r="FJ106" s="59">
        <f ca="1">AVERAGE(OFFSET($FI$3,0,0,'Données projet'!$E$16+1,1))-AVERAGE(OFFSET($H$3,0,0,'Données projet'!$E$16+1,1))</f>
        <v>383.47399633251354</v>
      </c>
      <c r="FK106" s="59">
        <f t="shared" si="102"/>
        <v>370.49129421395628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>
        <f>EXP(-LN(2)/35)*FQ105+(1-EXP(-LN(2)/35))/(LN(2)/35)*FM106*FN106*VLOOKUP('Données projet'!$B$16,Paramètres!$A$1:$I$89,3,0)*0.475*44/12</f>
        <v>34.376821665980614</v>
      </c>
      <c r="FR106" s="21">
        <f>EXP(-LN(2)/25)*FR105+(1-EXP(-LN(2)/25))/(LN(2)/25)*Calculateur!FM106*Calculateur!FO106*VLOOKUP('Données projet'!$B$16,Paramètres!$A$1:$I$89,3,0)*0.475*44/12</f>
        <v>0</v>
      </c>
      <c r="FS106" s="21">
        <f>EXP(-LN(2)/2)*FS105+(1-EXP(-LN(2)/2))/(LN(2)/2)*FM106*FP106*VLOOKUP('Données projet'!$B$16,Paramètres!$A$1:$I$89,3,0)*0.475*44/12</f>
        <v>0</v>
      </c>
      <c r="FT106" s="22">
        <f t="shared" si="78"/>
        <v>34.376821665980614</v>
      </c>
      <c r="FU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9.7110000000000021</v>
      </c>
      <c r="FZ106" s="12">
        <f>IF('Données projet'!$A$244&gt;35,FZ105+FY106-GH105,IF(A106&lt;'Données projet'!$A$244,$FW$205^A106,IF(A106='Données projet'!$A$244,'Données projet'!$B$244,FZ105+FY106-GH105)))</f>
        <v>440.70400000000018</v>
      </c>
      <c r="GA106" s="17">
        <f>FZ106*VLOOKUP('Données projet'!$B$17,Paramètres!$A$1:$I$89,3,0)*VLOOKUP('Données projet'!$B$17,Paramètres!$A$1:$I$89,5,0)</f>
        <v>419.37392640000013</v>
      </c>
      <c r="GB106" s="13">
        <f t="shared" si="103"/>
        <v>95.693554070738656</v>
      </c>
      <c r="GC106" s="20">
        <f t="shared" si="79"/>
        <v>897.07586181987006</v>
      </c>
      <c r="GD106" s="59">
        <f t="shared" si="80"/>
        <v>1175.2946307496327</v>
      </c>
      <c r="GE106" s="59">
        <f ca="1">AVERAGE(OFFSET($GD$3,0,0,'Données projet'!$E$17+1,1))-AVERAGE(OFFSET($H$3,0,0,'Données projet'!$E$17+1,1))</f>
        <v>592.58528889137358</v>
      </c>
      <c r="GF106" s="59">
        <f t="shared" si="104"/>
        <v>311.31528020403709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>
        <f>EXP(-LN(2)/35)*GL105+(1-EXP(-LN(2)/35))/(LN(2)/35)*GH106*GI106*VLOOKUP('Données projet'!$B$17,Paramètres!$A$1:$I$89,3,0)*0.475*44/12</f>
        <v>123.0571793426859</v>
      </c>
      <c r="GM106" s="21">
        <f>EXP(-LN(2)/25)*GM105+(1-EXP(-LN(2)/25))/(LN(2)/25)*Calculateur!GH106*Calculateur!GJ106*VLOOKUP('Données projet'!$B$17,Paramètres!$A$1:$I$89,3,0)*0.475*44/12</f>
        <v>0</v>
      </c>
      <c r="GN106" s="21">
        <f>EXP(-LN(2)/2)*GN105+(1-EXP(-LN(2)/2))/(LN(2)/2)*GH106*GK106*VLOOKUP('Données projet'!$B$17,Paramètres!$A$1:$I$89,3,0)*0.475*44/12</f>
        <v>0</v>
      </c>
      <c r="GO106" s="21">
        <f t="shared" si="81"/>
        <v>123.0571793426859</v>
      </c>
      <c r="GP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328.00000000000006</v>
      </c>
      <c r="GV106" s="17">
        <f>GU106*VLOOKUP('Données projet'!$B$18,Paramètres!$A$1:$I$89,3,0)*VLOOKUP('Données projet'!$B$18,Paramètres!$A$1:$I$89,5,0)</f>
        <v>255.84000000000006</v>
      </c>
      <c r="GW106" s="13">
        <f t="shared" si="105"/>
        <v>61.834803371075836</v>
      </c>
      <c r="GX106" s="20">
        <f t="shared" si="82"/>
        <v>553.28361587129041</v>
      </c>
      <c r="GY106" s="59">
        <f t="shared" si="83"/>
        <v>831.50238480105304</v>
      </c>
      <c r="GZ106" s="59">
        <f ca="1">AVERAGE(OFFSET($GY$3,0,0,'Données projet'!$E$18+1,1))-AVERAGE(OFFSET($H$3,0,0,'Données projet'!$E$18+1,1))</f>
        <v>308.85018589589453</v>
      </c>
      <c r="HA106" s="59">
        <f t="shared" si="106"/>
        <v>302.59481222418219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>
        <f>EXP(-LN(2)/35)*HG105+(1-EXP(-LN(2)/35))/(LN(2)/35)*HC106*HD106*VLOOKUP('Données projet'!$B$18,Paramètres!$A$1:$I$89,3,0)*0.475*44/12</f>
        <v>25.693941225720863</v>
      </c>
      <c r="HH106" s="21">
        <f>EXP(-LN(2)/25)*HH105+(1-EXP(-LN(2)/25))/(LN(2)/25)*Calculateur!HC106*Calculateur!HE106*VLOOKUP('Données projet'!$B$18,Paramètres!$A$1:$I$89,3,0)*0.475*44/12</f>
        <v>0</v>
      </c>
      <c r="HI106" s="21">
        <f>EXP(-LN(2)/2)*HI105+(1-EXP(-LN(2)/2))/(LN(2)/2)*HC106*HF106*VLOOKUP('Données projet'!$B$18,Paramètres!$A$1:$I$89,3,0)*0.475*44/12</f>
        <v>0</v>
      </c>
      <c r="HJ106" s="22">
        <f t="shared" si="84"/>
        <v>25.693941225720863</v>
      </c>
    </row>
    <row r="107" spans="1:218" x14ac:dyDescent="0.35">
      <c r="A107" s="10">
        <f t="shared" si="85"/>
        <v>104</v>
      </c>
      <c r="B107" s="72">
        <f>'Scénario référence'!$B$16*5+'Scénario référence'!$B$17*0+'Scénario référence'!$B$18*5</f>
        <v>5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66">
        <f t="shared" si="56"/>
        <v>183.33333333333334</v>
      </c>
      <c r="I107" s="6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9.7110000000000021</v>
      </c>
      <c r="N107" s="13">
        <f>IF('Données projet'!$A$36&gt;35,N106+M107-V106,IF(A107&lt;'Données projet'!$A$36,$K$205^A107,IF(A107='Données projet'!$A$36,'Données projet'!$B$36,N106+M107-V106)))</f>
        <v>450.41500000000019</v>
      </c>
      <c r="O107" s="13">
        <f>N107*VLOOKUP('Données projet'!$B$9,Paramètres!$A$1:$I$89,3,0)*VLOOKUP('Données projet'!$B$9,Paramètres!$A$1:$I$89,5,0)</f>
        <v>407.5354920000002</v>
      </c>
      <c r="P107" s="13">
        <f t="shared" si="87"/>
        <v>93.30270720985969</v>
      </c>
      <c r="Q107" s="20">
        <f t="shared" si="107"/>
        <v>872.29319695717265</v>
      </c>
      <c r="R107" s="59">
        <f t="shared" si="55"/>
        <v>1150.7741697882336</v>
      </c>
      <c r="S107" s="59">
        <f ca="1">AVERAGE(OFFSET($R$3,0,0,'Données projet'!$E$9+1,1))-AVERAGE(OFFSET($H$3,0,0,'Données projet'!$E$9+1,1))</f>
        <v>567.42635821507474</v>
      </c>
      <c r="T107" s="59">
        <f t="shared" si="88"/>
        <v>299.04735309930152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114.71078656669091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114.71078656669091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9.7110000000000021</v>
      </c>
      <c r="AI107" s="13">
        <f>IF('Données projet'!$A$62&gt;35,AI106+AH107-AQ106,IF(A107&lt;'Données projet'!$A$62,$AF$205^A107,IF(A107='Données projet'!$A$62,'Données projet'!$B$62,AI106+AH107-AQ106)))</f>
        <v>450.41500000000019</v>
      </c>
      <c r="AJ107" s="13">
        <f>AI107*VLOOKUP('Données projet'!$B$10,Paramètres!$A$1:$I$89,3,0)*VLOOKUP('Données projet'!$B$10,Paramètres!$A$1:$I$89,5,0)</f>
        <v>456.72081000000026</v>
      </c>
      <c r="AK107" s="13">
        <f t="shared" si="89"/>
        <v>103.18569934180985</v>
      </c>
      <c r="AL107" s="20">
        <f t="shared" si="58"/>
        <v>975.1705037703191</v>
      </c>
      <c r="AM107" s="59">
        <f t="shared" si="59"/>
        <v>1253.65147660138</v>
      </c>
      <c r="AN107" s="59">
        <f ca="1">AVERAGE(OFFSET($AM$3,0,0,'Données projet'!$E$10+1,1))-AVERAGE(OFFSET($H$3,0,0,'Données projet'!$E$10+1,1))</f>
        <v>626.09203985591455</v>
      </c>
      <c r="AO107" s="59">
        <f t="shared" si="90"/>
        <v>327.65191296575199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128.55519184198124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128.55519184198124</v>
      </c>
      <c r="AY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6.6</v>
      </c>
      <c r="BD107" s="12">
        <f>IF('Données projet'!$A$88&gt;35,BD106+BC107-BL106,IF(A107&lt;'Données projet'!$A$88,$BA$205^A107,IF(A107='Données projet'!$A$88,'Données projet'!$B$88,BD106+BC107-BL106)))</f>
        <v>402.4</v>
      </c>
      <c r="BE107" s="13">
        <f>BD107*VLOOKUP('Données projet'!$B$11,Paramètres!$A$1:$I$89,3,0)*VLOOKUP('Données projet'!$B$11,Paramètres!$A$1:$I$89,5,0)</f>
        <v>345.25920000000002</v>
      </c>
      <c r="BF107" s="13">
        <f t="shared" si="91"/>
        <v>80.585557826060622</v>
      </c>
      <c r="BG107" s="20">
        <f t="shared" si="61"/>
        <v>741.67961988038894</v>
      </c>
      <c r="BH107" s="59">
        <f t="shared" si="62"/>
        <v>1020.1605927114499</v>
      </c>
      <c r="BI107" s="59">
        <f ca="1">AVERAGE(OFFSET($BH$3,0,0,'Données projet'!$E$11+1,1))-AVERAGE(OFFSET($H$3,0,0,'Données projet'!$E$11+1,1))</f>
        <v>481.23392184981651</v>
      </c>
      <c r="BJ107" s="59">
        <f t="shared" si="92"/>
        <v>275.88160405468193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99.221747606620212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99.221747606620212</v>
      </c>
      <c r="BT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5.2499999999990337</v>
      </c>
      <c r="BZ107" s="13">
        <f>BY107*VLOOKUP('Données projet'!$B$12,Paramètres!$A$1:$I$89,3,0)*VLOOKUP('Données projet'!$B$12,Paramètres!$A$1:$I$89,5,0)</f>
        <v>2.4569999999995478</v>
      </c>
      <c r="CA107" s="13">
        <f t="shared" si="93"/>
        <v>1.0197977774625564</v>
      </c>
      <c r="CB107" s="20">
        <f t="shared" si="64"/>
        <v>6.0554227957464972</v>
      </c>
      <c r="CC107" s="59">
        <f t="shared" si="65"/>
        <v>284.5363956268074</v>
      </c>
      <c r="CD107" s="59">
        <f ca="1">AVERAGE(OFFSET($CC$3,0,0,'Données projet'!$E$12+1,1))-AVERAGE(OFFSET($H$3,0,0,'Données projet'!$E$12+1,1))</f>
        <v>331.86732359395467</v>
      </c>
      <c r="CE107" s="59">
        <f t="shared" si="94"/>
        <v>208.64489375183106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268.17133885592762</v>
      </c>
      <c r="CL107" s="21">
        <f>EXP(-LN(2)/25)*CL106+(1-EXP(-LN(2)/25))/(LN(2)/25)*Calculateur!CG107*Calculateur!CI107*VLOOKUP('Données projet'!$B$12,Paramètres!$A$1:$I$89,3,0)*0.475*44/12</f>
        <v>0</v>
      </c>
      <c r="CM107" s="21">
        <f>EXP(-LN(2)/2)*CM106+(1-EXP(-LN(2)/2))/(LN(2)/2)*CG107*CJ107*VLOOKUP('Données projet'!$B$12,Paramètres!$A$1:$I$89,3,0)*0.475*44/12</f>
        <v>0</v>
      </c>
      <c r="CN107" s="22">
        <f t="shared" si="66"/>
        <v>268.17133885592762</v>
      </c>
      <c r="CO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319</v>
      </c>
      <c r="CU107" s="17">
        <f>CT107*VLOOKUP('Données projet'!$B$13,Paramètres!$A$1:$I$89,3,0)*VLOOKUP('Données projet'!$B$13,Paramètres!$A$1:$I$89,5,0)</f>
        <v>233.89079999999998</v>
      </c>
      <c r="CV107" s="13">
        <f t="shared" si="95"/>
        <v>57.123140349023068</v>
      </c>
      <c r="CW107" s="20">
        <f t="shared" si="67"/>
        <v>506.84927944121517</v>
      </c>
      <c r="CX107" s="59">
        <f t="shared" si="68"/>
        <v>785.33025227227608</v>
      </c>
      <c r="CY107" s="59">
        <f ca="1">AVERAGE(OFFSET($CX$3,0,0,'Données projet'!$E$13+1,1))-AVERAGE(OFFSET($H$3,0,0,'Données projet'!$E$13+1,1))</f>
        <v>352.45777291109863</v>
      </c>
      <c r="CZ107" s="59">
        <f t="shared" si="96"/>
        <v>340.92165104349181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24.714507727932506</v>
      </c>
      <c r="DG107" s="21">
        <f>EXP(-LN(2)/25)*DG106+(1-EXP(-LN(2)/25))/(LN(2)/25)*Calculateur!DB107*Calculateur!DD107*VLOOKUP('Données projet'!$B$13,Paramètres!$A$1:$I$89,3,0)*0.475*44/12</f>
        <v>0</v>
      </c>
      <c r="DH107" s="21">
        <f>EXP(-LN(2)/2)*DH106+(1-EXP(-LN(2)/2))/(LN(2)/2)*DB107*DE107*VLOOKUP('Données projet'!$B$13,Paramètres!$A$1:$I$89,3,0)*0.475*44/12</f>
        <v>0</v>
      </c>
      <c r="DI107" s="22">
        <f t="shared" si="69"/>
        <v>24.714507727932506</v>
      </c>
      <c r="DJ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9.7110000000000021</v>
      </c>
      <c r="DO107" s="12">
        <f>IF('Données projet'!$A$166&gt;35,DO106+DN107-DW106,IF(A107&lt;'Données projet'!$A$166,$DL$205^A107,IF(A107='Données projet'!$A$166,'Données projet'!$B$166,DO106+DN107-DW106)))</f>
        <v>450.41500000000019</v>
      </c>
      <c r="DP107" s="17">
        <f>DO107*VLOOKUP('Données projet'!$B$14,Paramètres!$A$1:$I$89,3,0)*VLOOKUP('Données projet'!$B$14,Paramètres!$A$1:$I$89,5,0)</f>
        <v>302.13838200000015</v>
      </c>
      <c r="DQ107" s="13">
        <f t="shared" si="97"/>
        <v>71.624565000370197</v>
      </c>
      <c r="DR107" s="20">
        <f t="shared" si="70"/>
        <v>650.9704660256449</v>
      </c>
      <c r="DS107" s="59">
        <f t="shared" si="71"/>
        <v>929.45143885670586</v>
      </c>
      <c r="DT107" s="59">
        <f ca="1">AVERAGE(OFFSET($DS$3,0,0,'Données projet'!$E$14+1,1))-AVERAGE(OFFSET($H$3,0,0,'Données projet'!$E$14+1,1))</f>
        <v>441.20130048888439</v>
      </c>
      <c r="DU107" s="59">
        <f t="shared" si="98"/>
        <v>237.47732532183946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104.82192565576931</v>
      </c>
      <c r="EB107" s="21">
        <f>EXP(-LN(2)/25)*EB106+(1-EXP(-LN(2)/25))/(LN(2)/25)*Calculateur!DW107*Calculateur!DY107*VLOOKUP('Données projet'!$B$14,Paramètres!$A$1:$I$89,3,0)*0.475*44/12</f>
        <v>0</v>
      </c>
      <c r="EC107" s="21">
        <f>EXP(-LN(2)/2)*EC106+(1-EXP(-LN(2)/2))/(LN(2)/2)*DW107*DZ107*VLOOKUP('Données projet'!$B$14,Paramètres!$A$1:$I$89,3,0)*0.475*44/12</f>
        <v>0</v>
      </c>
      <c r="ED107" s="22">
        <f t="shared" si="72"/>
        <v>104.82192565576931</v>
      </c>
      <c r="EE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319</v>
      </c>
      <c r="EK107" s="17">
        <f>EJ107*VLOOKUP('Données projet'!$B$15,Paramètres!$A$1:$I$89,3,0)*VLOOKUP('Données projet'!$B$15,Paramètres!$A$1:$I$89,5,0)</f>
        <v>253.79640000000001</v>
      </c>
      <c r="EL107" s="13">
        <f t="shared" si="99"/>
        <v>61.39816832228076</v>
      </c>
      <c r="EM107" s="20">
        <f t="shared" si="73"/>
        <v>548.96387316130563</v>
      </c>
      <c r="EN107" s="59">
        <f t="shared" si="74"/>
        <v>827.44484599236648</v>
      </c>
      <c r="EO107" s="59">
        <f ca="1">AVERAGE(OFFSET($EN$3,0,0,'Données projet'!$E$15+1,1))-AVERAGE(OFFSET($H$3,0,0,'Données projet'!$E$15+1,1))</f>
        <v>377.27600411578322</v>
      </c>
      <c r="EP107" s="59">
        <f t="shared" si="100"/>
        <v>364.58250627635425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>
        <f>EXP(-LN(2)/35)*EV106+(1-EXP(-LN(2)/35))/(LN(2)/35)*ER107*ES107*VLOOKUP('Données projet'!$B$15,Paramètres!$A$1:$I$89,3,0)*0.475*44/12</f>
        <v>33.054584061653429</v>
      </c>
      <c r="EW107" s="21">
        <f>EXP(-LN(2)/25)*EW106+(1-EXP(-LN(2)/25))/(LN(2)/25)*Calculateur!ER107*Calculateur!ET107*VLOOKUP('Données projet'!$B$15,Paramètres!$A$1:$I$89,3,0)*0.475*44/12</f>
        <v>0</v>
      </c>
      <c r="EX107" s="21">
        <f>EXP(-LN(2)/2)*EX106+(1-EXP(-LN(2)/2))/(LN(2)/2)*ER107*EU107*VLOOKUP('Données projet'!$B$15,Paramètres!$A$1:$I$89,3,0)*0.475*44/12</f>
        <v>0</v>
      </c>
      <c r="EY107" s="22">
        <f t="shared" si="75"/>
        <v>33.054584061653429</v>
      </c>
      <c r="EZ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319</v>
      </c>
      <c r="FF107" s="17">
        <f>FE107*VLOOKUP('Données projet'!$B$16,Paramètres!$A$1:$I$89,3,0)*VLOOKUP('Données projet'!$B$16,Paramètres!$A$1:$I$89,5,0)</f>
        <v>258.77280000000002</v>
      </c>
      <c r="FG107" s="13">
        <f t="shared" si="101"/>
        <v>62.460716522234691</v>
      </c>
      <c r="FH107" s="20">
        <f t="shared" si="76"/>
        <v>559.48170794289206</v>
      </c>
      <c r="FI107" s="59">
        <f t="shared" si="77"/>
        <v>837.96268077395302</v>
      </c>
      <c r="FJ107" s="59">
        <f ca="1">AVERAGE(OFFSET($FI$3,0,0,'Données projet'!$E$16+1,1))-AVERAGE(OFFSET($H$3,0,0,'Données projet'!$E$16+1,1))</f>
        <v>383.47399633251354</v>
      </c>
      <c r="FK107" s="59">
        <f t="shared" si="102"/>
        <v>370.49129421395628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>
        <f>EXP(-LN(2)/35)*FQ106+(1-EXP(-LN(2)/35))/(LN(2)/35)*FM107*FN107*VLOOKUP('Données projet'!$B$16,Paramètres!$A$1:$I$89,3,0)*0.475*44/12</f>
        <v>33.702713160901553</v>
      </c>
      <c r="FR107" s="21">
        <f>EXP(-LN(2)/25)*FR106+(1-EXP(-LN(2)/25))/(LN(2)/25)*Calculateur!FM107*Calculateur!FO107*VLOOKUP('Données projet'!$B$16,Paramètres!$A$1:$I$89,3,0)*0.475*44/12</f>
        <v>0</v>
      </c>
      <c r="FS107" s="21">
        <f>EXP(-LN(2)/2)*FS106+(1-EXP(-LN(2)/2))/(LN(2)/2)*FM107*FP107*VLOOKUP('Données projet'!$B$16,Paramètres!$A$1:$I$89,3,0)*0.475*44/12</f>
        <v>0</v>
      </c>
      <c r="FT107" s="22">
        <f t="shared" si="78"/>
        <v>33.702713160901553</v>
      </c>
      <c r="FU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9.7110000000000021</v>
      </c>
      <c r="FZ107" s="12">
        <f>IF('Données projet'!$A$244&gt;35,FZ106+FY107-GH106,IF(A107&lt;'Données projet'!$A$244,$FW$205^A107,IF(A107='Données projet'!$A$244,'Données projet'!$B$244,FZ106+FY107-GH106)))</f>
        <v>450.41500000000019</v>
      </c>
      <c r="GA107" s="17">
        <f>FZ107*VLOOKUP('Données projet'!$B$17,Paramètres!$A$1:$I$89,3,0)*VLOOKUP('Données projet'!$B$17,Paramètres!$A$1:$I$89,5,0)</f>
        <v>428.61491400000023</v>
      </c>
      <c r="GB107" s="13">
        <f t="shared" si="103"/>
        <v>97.554366319707086</v>
      </c>
      <c r="GC107" s="20">
        <f t="shared" si="79"/>
        <v>916.41149655682364</v>
      </c>
      <c r="GD107" s="59">
        <f t="shared" si="80"/>
        <v>1194.8924693878846</v>
      </c>
      <c r="GE107" s="59">
        <f ca="1">AVERAGE(OFFSET($GD$3,0,0,'Données projet'!$E$17+1,1))-AVERAGE(OFFSET($H$3,0,0,'Données projet'!$E$17+1,1))</f>
        <v>592.58528889137358</v>
      </c>
      <c r="GF107" s="59">
        <f t="shared" si="104"/>
        <v>311.31528020403709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>
        <f>EXP(-LN(2)/35)*GL106+(1-EXP(-LN(2)/35))/(LN(2)/35)*GH107*GI107*VLOOKUP('Données projet'!$B$17,Paramètres!$A$1:$I$89,3,0)*0.475*44/12</f>
        <v>120.64410311324392</v>
      </c>
      <c r="GM107" s="21">
        <f>EXP(-LN(2)/25)*GM106+(1-EXP(-LN(2)/25))/(LN(2)/25)*Calculateur!GH107*Calculateur!GJ107*VLOOKUP('Données projet'!$B$17,Paramètres!$A$1:$I$89,3,0)*0.475*44/12</f>
        <v>0</v>
      </c>
      <c r="GN107" s="21">
        <f>EXP(-LN(2)/2)*GN106+(1-EXP(-LN(2)/2))/(LN(2)/2)*GH107*GK107*VLOOKUP('Données projet'!$B$17,Paramètres!$A$1:$I$89,3,0)*0.475*44/12</f>
        <v>0</v>
      </c>
      <c r="GO107" s="21">
        <f t="shared" si="81"/>
        <v>120.64410311324392</v>
      </c>
      <c r="GP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328.00000000000006</v>
      </c>
      <c r="GV107" s="17">
        <f>GU107*VLOOKUP('Données projet'!$B$18,Paramètres!$A$1:$I$89,3,0)*VLOOKUP('Données projet'!$B$18,Paramètres!$A$1:$I$89,5,0)</f>
        <v>255.84000000000006</v>
      </c>
      <c r="GW107" s="13">
        <f t="shared" si="105"/>
        <v>61.834803371075836</v>
      </c>
      <c r="GX107" s="20">
        <f t="shared" si="82"/>
        <v>553.28361587129041</v>
      </c>
      <c r="GY107" s="59">
        <f t="shared" si="83"/>
        <v>831.76458870235138</v>
      </c>
      <c r="GZ107" s="59">
        <f ca="1">AVERAGE(OFFSET($GY$3,0,0,'Données projet'!$E$18+1,1))-AVERAGE(OFFSET($H$3,0,0,'Données projet'!$E$18+1,1))</f>
        <v>308.85018589589453</v>
      </c>
      <c r="HA107" s="59">
        <f t="shared" si="106"/>
        <v>302.59481222418219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>
        <f>EXP(-LN(2)/35)*HG106+(1-EXP(-LN(2)/35))/(LN(2)/35)*HC107*HD107*VLOOKUP('Données projet'!$B$18,Paramètres!$A$1:$I$89,3,0)*0.475*44/12</f>
        <v>25.190098710041166</v>
      </c>
      <c r="HH107" s="21">
        <f>EXP(-LN(2)/25)*HH106+(1-EXP(-LN(2)/25))/(LN(2)/25)*Calculateur!HC107*Calculateur!HE107*VLOOKUP('Données projet'!$B$18,Paramètres!$A$1:$I$89,3,0)*0.475*44/12</f>
        <v>0</v>
      </c>
      <c r="HI107" s="21">
        <f>EXP(-LN(2)/2)*HI106+(1-EXP(-LN(2)/2))/(LN(2)/2)*HC107*HF107*VLOOKUP('Données projet'!$B$18,Paramètres!$A$1:$I$89,3,0)*0.475*44/12</f>
        <v>0</v>
      </c>
      <c r="HJ107" s="22">
        <f t="shared" si="84"/>
        <v>25.190098710041166</v>
      </c>
    </row>
    <row r="108" spans="1:218" x14ac:dyDescent="0.35">
      <c r="A108" s="10">
        <f t="shared" si="85"/>
        <v>105</v>
      </c>
      <c r="B108" s="72">
        <f>'Scénario référence'!$B$16*5+'Scénario référence'!$B$17*0+'Scénario référence'!$B$18*5</f>
        <v>5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66">
        <f t="shared" si="56"/>
        <v>183.33333333333334</v>
      </c>
      <c r="I108" s="6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9.7110000000000021</v>
      </c>
      <c r="N108" s="13">
        <f>IF('Données projet'!$A$36&gt;35,N107+M108-V107,IF(A108&lt;'Données projet'!$A$36,$K$205^A108,IF(A108='Données projet'!$A$36,'Données projet'!$B$36,N107+M108-V107)))</f>
        <v>460.1260000000002</v>
      </c>
      <c r="O108" s="13">
        <f>N108*VLOOKUP('Données projet'!$B$9,Paramètres!$A$1:$I$89,3,0)*VLOOKUP('Données projet'!$B$9,Paramètres!$A$1:$I$89,5,0)</f>
        <v>416.32200480000012</v>
      </c>
      <c r="P108" s="13">
        <f t="shared" si="87"/>
        <v>95.077959556166732</v>
      </c>
      <c r="Q108" s="20">
        <f t="shared" si="107"/>
        <v>890.68827125365715</v>
      </c>
      <c r="R108" s="59">
        <f t="shared" si="55"/>
        <v>1169.426899334529</v>
      </c>
      <c r="S108" s="59">
        <f ca="1">AVERAGE(OFFSET($R$3,0,0,'Données projet'!$E$9+1,1))-AVERAGE(OFFSET($H$3,0,0,'Données projet'!$E$9+1,1))</f>
        <v>567.42635821507474</v>
      </c>
      <c r="T108" s="59">
        <f t="shared" si="88"/>
        <v>299.04735309930152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112.46137800878928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112.46137800878928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9.7110000000000021</v>
      </c>
      <c r="AI108" s="13">
        <f>IF('Données projet'!$A$62&gt;35,AI107+AH108-AQ107,IF(A108&lt;'Données projet'!$A$62,$AF$205^A108,IF(A108='Données projet'!$A$62,'Données projet'!$B$62,AI107+AH108-AQ107)))</f>
        <v>460.1260000000002</v>
      </c>
      <c r="AJ108" s="13">
        <f>AI108*VLOOKUP('Données projet'!$B$10,Paramètres!$A$1:$I$89,3,0)*VLOOKUP('Données projet'!$B$10,Paramètres!$A$1:$I$89,5,0)</f>
        <v>466.56776400000024</v>
      </c>
      <c r="AK108" s="13">
        <f t="shared" si="89"/>
        <v>105.14899344484016</v>
      </c>
      <c r="AL108" s="20">
        <f t="shared" si="58"/>
        <v>995.74001921643037</v>
      </c>
      <c r="AM108" s="59">
        <f t="shared" si="59"/>
        <v>1274.4786472973021</v>
      </c>
      <c r="AN108" s="59">
        <f ca="1">AVERAGE(OFFSET($AM$3,0,0,'Données projet'!$E$10+1,1))-AVERAGE(OFFSET($H$3,0,0,'Données projet'!$E$10+1,1))</f>
        <v>626.09203985591455</v>
      </c>
      <c r="AO108" s="59">
        <f t="shared" si="90"/>
        <v>327.65191296575199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126.03430294088457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126.03430294088457</v>
      </c>
      <c r="AY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>
        <f>VLOOKUP(A108,'Données projet'!$A$87:$I$107,2,0)</f>
        <v>409</v>
      </c>
      <c r="BB108" s="12">
        <f>VLOOKUP(A108,'Données projet'!$A$87:$I$107,9,0)</f>
        <v>6.6</v>
      </c>
      <c r="BC108" s="12">
        <f t="array" ref="BC108">INDEX(BB:BB,MIN(IF(ISNUMBER(BB108:BB304),ROW(BB108:BB304),"")))</f>
        <v>6.6</v>
      </c>
      <c r="BD108" s="12">
        <f>IF('Données projet'!$A$88&gt;35,BD107+BC108-BL107,IF(A108&lt;'Données projet'!$A$88,$BA$205^A108,IF(A108='Données projet'!$A$88,'Données projet'!$B$88,BD107+BC108-BL107)))</f>
        <v>409</v>
      </c>
      <c r="BE108" s="13">
        <f>BD108*VLOOKUP('Données projet'!$B$11,Paramètres!$A$1:$I$89,3,0)*VLOOKUP('Données projet'!$B$11,Paramètres!$A$1:$I$89,5,0)</f>
        <v>350.92200000000003</v>
      </c>
      <c r="BF108" s="13">
        <f t="shared" si="91"/>
        <v>81.752331535154511</v>
      </c>
      <c r="BG108" s="20">
        <f t="shared" si="61"/>
        <v>753.57446075706082</v>
      </c>
      <c r="BH108" s="59">
        <f t="shared" si="62"/>
        <v>1032.3130888379326</v>
      </c>
      <c r="BI108" s="59">
        <f ca="1">AVERAGE(OFFSET($BH$3,0,0,'Données projet'!$E$11+1,1))-AVERAGE(OFFSET($H$3,0,0,'Données projet'!$E$11+1,1))</f>
        <v>481.23392184981651</v>
      </c>
      <c r="BJ108" s="59">
        <f t="shared" si="92"/>
        <v>275.88160405468193</v>
      </c>
      <c r="BK108" s="15">
        <f>IF(ISNA(VLOOKUP(A108,'Données projet'!$A$87:$I$107,3,0)),0,VLOOKUP(A108,'Données projet'!$A$87:$I$107,3,0))</f>
        <v>17</v>
      </c>
      <c r="BL108" s="15">
        <f>IF(ISNA(VLOOKUP(A108,'Données projet'!$A$87:$I$107,4,0)),0,VLOOKUP(A108,'Données projet'!$A$87:$I$107,4,0))</f>
        <v>23</v>
      </c>
      <c r="BM108" s="16">
        <f>IF(ISNA(VLOOKUP(A108,'Données projet'!$A$87:$I$107,5,0)),0%,VLOOKUP(A108,'Données projet'!$A$87:$I$107,5,0)*VLOOKUP('Données projet'!$B$11,Paramètres!$A$1:$I$89,7,0))</f>
        <v>0.53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108.83820646428737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108.83820646428737</v>
      </c>
      <c r="BT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5.2499999999990337</v>
      </c>
      <c r="BZ108" s="13">
        <f>BY108*VLOOKUP('Données projet'!$B$12,Paramètres!$A$1:$I$89,3,0)*VLOOKUP('Données projet'!$B$12,Paramètres!$A$1:$I$89,5,0)</f>
        <v>2.4569999999995478</v>
      </c>
      <c r="CA108" s="13">
        <f t="shared" si="93"/>
        <v>1.0197977774625564</v>
      </c>
      <c r="CB108" s="20">
        <f t="shared" si="64"/>
        <v>6.0554227957464972</v>
      </c>
      <c r="CC108" s="59">
        <f t="shared" si="65"/>
        <v>284.79405087661826</v>
      </c>
      <c r="CD108" s="59">
        <f ca="1">AVERAGE(OFFSET($CC$3,0,0,'Données projet'!$E$12+1,1))-AVERAGE(OFFSET($H$3,0,0,'Données projet'!$E$12+1,1))</f>
        <v>331.86732359395467</v>
      </c>
      <c r="CE108" s="59">
        <f t="shared" si="94"/>
        <v>208.64489375183106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262.91266246932855</v>
      </c>
      <c r="CL108" s="21">
        <f>EXP(-LN(2)/25)*CL107+(1-EXP(-LN(2)/25))/(LN(2)/25)*Calculateur!CG108*Calculateur!CI108*VLOOKUP('Données projet'!$B$12,Paramètres!$A$1:$I$89,3,0)*0.475*44/12</f>
        <v>0</v>
      </c>
      <c r="CM108" s="21">
        <f>EXP(-LN(2)/2)*CM107+(1-EXP(-LN(2)/2))/(LN(2)/2)*CG108*CJ108*VLOOKUP('Données projet'!$B$12,Paramètres!$A$1:$I$89,3,0)*0.475*44/12</f>
        <v>0</v>
      </c>
      <c r="CN108" s="22">
        <f t="shared" si="66"/>
        <v>262.91266246932855</v>
      </c>
      <c r="CO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319</v>
      </c>
      <c r="CU108" s="17">
        <f>CT108*VLOOKUP('Données projet'!$B$13,Paramètres!$A$1:$I$89,3,0)*VLOOKUP('Données projet'!$B$13,Paramètres!$A$1:$I$89,5,0)</f>
        <v>233.89079999999998</v>
      </c>
      <c r="CV108" s="13">
        <f t="shared" si="95"/>
        <v>57.123140349023068</v>
      </c>
      <c r="CW108" s="20">
        <f t="shared" si="67"/>
        <v>506.84927944121517</v>
      </c>
      <c r="CX108" s="59">
        <f t="shared" si="68"/>
        <v>785.58790752208688</v>
      </c>
      <c r="CY108" s="59">
        <f ca="1">AVERAGE(OFFSET($CX$3,0,0,'Données projet'!$E$13+1,1))-AVERAGE(OFFSET($H$3,0,0,'Données projet'!$E$13+1,1))</f>
        <v>352.45777291109863</v>
      </c>
      <c r="CZ108" s="59">
        <f t="shared" si="96"/>
        <v>340.92165104349181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24.229871305748993</v>
      </c>
      <c r="DG108" s="21">
        <f>EXP(-LN(2)/25)*DG107+(1-EXP(-LN(2)/25))/(LN(2)/25)*Calculateur!DB108*Calculateur!DD108*VLOOKUP('Données projet'!$B$13,Paramètres!$A$1:$I$89,3,0)*0.475*44/12</f>
        <v>0</v>
      </c>
      <c r="DH108" s="21">
        <f>EXP(-LN(2)/2)*DH107+(1-EXP(-LN(2)/2))/(LN(2)/2)*DB108*DE108*VLOOKUP('Données projet'!$B$13,Paramètres!$A$1:$I$89,3,0)*0.475*44/12</f>
        <v>0</v>
      </c>
      <c r="DI108" s="22">
        <f t="shared" si="69"/>
        <v>24.229871305748993</v>
      </c>
      <c r="DJ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9.7110000000000021</v>
      </c>
      <c r="DO108" s="12">
        <f>IF('Données projet'!$A$166&gt;35,DO107+DN108-DW107,IF(A108&lt;'Données projet'!$A$166,$DL$205^A108,IF(A108='Données projet'!$A$166,'Données projet'!$B$166,DO107+DN108-DW107)))</f>
        <v>460.1260000000002</v>
      </c>
      <c r="DP108" s="17">
        <f>DO108*VLOOKUP('Données projet'!$B$14,Paramètres!$A$1:$I$89,3,0)*VLOOKUP('Données projet'!$B$14,Paramètres!$A$1:$I$89,5,0)</f>
        <v>308.6525208000001</v>
      </c>
      <c r="DQ108" s="13">
        <f t="shared" si="97"/>
        <v>72.987351578300249</v>
      </c>
      <c r="DR108" s="20">
        <f t="shared" si="70"/>
        <v>664.6894443922065</v>
      </c>
      <c r="DS108" s="59">
        <f t="shared" si="71"/>
        <v>943.42807247307826</v>
      </c>
      <c r="DT108" s="59">
        <f ca="1">AVERAGE(OFFSET($DS$3,0,0,'Données projet'!$E$14+1,1))-AVERAGE(OFFSET($H$3,0,0,'Données projet'!$E$14+1,1))</f>
        <v>441.20130048888439</v>
      </c>
      <c r="DU108" s="59">
        <f t="shared" si="98"/>
        <v>237.47732532183946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102.76643162872125</v>
      </c>
      <c r="EB108" s="21">
        <f>EXP(-LN(2)/25)*EB107+(1-EXP(-LN(2)/25))/(LN(2)/25)*Calculateur!DW108*Calculateur!DY108*VLOOKUP('Données projet'!$B$14,Paramètres!$A$1:$I$89,3,0)*0.475*44/12</f>
        <v>0</v>
      </c>
      <c r="EC108" s="21">
        <f>EXP(-LN(2)/2)*EC107+(1-EXP(-LN(2)/2))/(LN(2)/2)*DW108*DZ108*VLOOKUP('Données projet'!$B$14,Paramètres!$A$1:$I$89,3,0)*0.475*44/12</f>
        <v>0</v>
      </c>
      <c r="ED108" s="22">
        <f t="shared" si="72"/>
        <v>102.76643162872125</v>
      </c>
      <c r="EE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319</v>
      </c>
      <c r="EK108" s="17">
        <f>EJ108*VLOOKUP('Données projet'!$B$15,Paramètres!$A$1:$I$89,3,0)*VLOOKUP('Données projet'!$B$15,Paramètres!$A$1:$I$89,5,0)</f>
        <v>253.79640000000001</v>
      </c>
      <c r="EL108" s="13">
        <f t="shared" si="99"/>
        <v>61.39816832228076</v>
      </c>
      <c r="EM108" s="20">
        <f t="shared" si="73"/>
        <v>548.96387316130563</v>
      </c>
      <c r="EN108" s="59">
        <f t="shared" si="74"/>
        <v>827.70250124217739</v>
      </c>
      <c r="EO108" s="59">
        <f ca="1">AVERAGE(OFFSET($EN$3,0,0,'Données projet'!$E$15+1,1))-AVERAGE(OFFSET($H$3,0,0,'Données projet'!$E$15+1,1))</f>
        <v>377.27600411578322</v>
      </c>
      <c r="EP108" s="59">
        <f t="shared" si="100"/>
        <v>364.58250627635425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>
        <f>EXP(-LN(2)/35)*EV107+(1-EXP(-LN(2)/35))/(LN(2)/35)*ER108*ES108*VLOOKUP('Données projet'!$B$15,Paramètres!$A$1:$I$89,3,0)*0.475*44/12</f>
        <v>32.406403829509919</v>
      </c>
      <c r="EW108" s="21">
        <f>EXP(-LN(2)/25)*EW107+(1-EXP(-LN(2)/25))/(LN(2)/25)*Calculateur!ER108*Calculateur!ET108*VLOOKUP('Données projet'!$B$15,Paramètres!$A$1:$I$89,3,0)*0.475*44/12</f>
        <v>0</v>
      </c>
      <c r="EX108" s="21">
        <f>EXP(-LN(2)/2)*EX107+(1-EXP(-LN(2)/2))/(LN(2)/2)*ER108*EU108*VLOOKUP('Données projet'!$B$15,Paramètres!$A$1:$I$89,3,0)*0.475*44/12</f>
        <v>0</v>
      </c>
      <c r="EY108" s="22">
        <f t="shared" si="75"/>
        <v>32.406403829509919</v>
      </c>
      <c r="EZ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319</v>
      </c>
      <c r="FF108" s="17">
        <f>FE108*VLOOKUP('Données projet'!$B$16,Paramètres!$A$1:$I$89,3,0)*VLOOKUP('Données projet'!$B$16,Paramètres!$A$1:$I$89,5,0)</f>
        <v>258.77280000000002</v>
      </c>
      <c r="FG108" s="13">
        <f t="shared" si="101"/>
        <v>62.460716522234691</v>
      </c>
      <c r="FH108" s="20">
        <f t="shared" si="76"/>
        <v>559.48170794289206</v>
      </c>
      <c r="FI108" s="59">
        <f t="shared" si="77"/>
        <v>838.22033602376382</v>
      </c>
      <c r="FJ108" s="59">
        <f ca="1">AVERAGE(OFFSET($FI$3,0,0,'Données projet'!$E$16+1,1))-AVERAGE(OFFSET($H$3,0,0,'Données projet'!$E$16+1,1))</f>
        <v>383.47399633251354</v>
      </c>
      <c r="FK108" s="59">
        <f t="shared" si="102"/>
        <v>370.49129421395628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>
        <f>EXP(-LN(2)/35)*FQ107+(1-EXP(-LN(2)/35))/(LN(2)/35)*FM108*FN108*VLOOKUP('Données projet'!$B$16,Paramètres!$A$1:$I$89,3,0)*0.475*44/12</f>
        <v>33.041823512441503</v>
      </c>
      <c r="FR108" s="21">
        <f>EXP(-LN(2)/25)*FR107+(1-EXP(-LN(2)/25))/(LN(2)/25)*Calculateur!FM108*Calculateur!FO108*VLOOKUP('Données projet'!$B$16,Paramètres!$A$1:$I$89,3,0)*0.475*44/12</f>
        <v>0</v>
      </c>
      <c r="FS108" s="21">
        <f>EXP(-LN(2)/2)*FS107+(1-EXP(-LN(2)/2))/(LN(2)/2)*FM108*FP108*VLOOKUP('Données projet'!$B$16,Paramètres!$A$1:$I$89,3,0)*0.475*44/12</f>
        <v>0</v>
      </c>
      <c r="FT108" s="22">
        <f t="shared" si="78"/>
        <v>33.041823512441503</v>
      </c>
      <c r="FU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9.7110000000000021</v>
      </c>
      <c r="FZ108" s="12">
        <f>IF('Données projet'!$A$244&gt;35,FZ107+FY108-GH107,IF(A108&lt;'Données projet'!$A$244,$FW$205^A108,IF(A108='Données projet'!$A$244,'Données projet'!$B$244,FZ107+FY108-GH107)))</f>
        <v>460.1260000000002</v>
      </c>
      <c r="GA108" s="17">
        <f>FZ108*VLOOKUP('Données projet'!$B$17,Paramètres!$A$1:$I$89,3,0)*VLOOKUP('Données projet'!$B$17,Paramètres!$A$1:$I$89,5,0)</f>
        <v>437.85590160000015</v>
      </c>
      <c r="GB108" s="13">
        <f t="shared" si="103"/>
        <v>99.410514151645486</v>
      </c>
      <c r="GC108" s="20">
        <f t="shared" si="79"/>
        <v>935.73900743411593</v>
      </c>
      <c r="GD108" s="59">
        <f t="shared" si="80"/>
        <v>1214.4776355149877</v>
      </c>
      <c r="GE108" s="59">
        <f ca="1">AVERAGE(OFFSET($GD$3,0,0,'Données projet'!$E$17+1,1))-AVERAGE(OFFSET($H$3,0,0,'Données projet'!$E$17+1,1))</f>
        <v>592.58528889137358</v>
      </c>
      <c r="GF108" s="59">
        <f t="shared" si="104"/>
        <v>311.31528020403709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>
        <f>EXP(-LN(2)/35)*GL107+(1-EXP(-LN(2)/35))/(LN(2)/35)*GH108*GI108*VLOOKUP('Données projet'!$B$17,Paramètres!$A$1:$I$89,3,0)*0.475*44/12</f>
        <v>118.27834583683013</v>
      </c>
      <c r="GM108" s="21">
        <f>EXP(-LN(2)/25)*GM107+(1-EXP(-LN(2)/25))/(LN(2)/25)*Calculateur!GH108*Calculateur!GJ108*VLOOKUP('Données projet'!$B$17,Paramètres!$A$1:$I$89,3,0)*0.475*44/12</f>
        <v>0</v>
      </c>
      <c r="GN108" s="21">
        <f>EXP(-LN(2)/2)*GN107+(1-EXP(-LN(2)/2))/(LN(2)/2)*GH108*GK108*VLOOKUP('Données projet'!$B$17,Paramètres!$A$1:$I$89,3,0)*0.475*44/12</f>
        <v>0</v>
      </c>
      <c r="GO108" s="21">
        <f t="shared" si="81"/>
        <v>118.27834583683013</v>
      </c>
      <c r="GP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328.00000000000006</v>
      </c>
      <c r="GV108" s="17">
        <f>GU108*VLOOKUP('Données projet'!$B$18,Paramètres!$A$1:$I$89,3,0)*VLOOKUP('Données projet'!$B$18,Paramètres!$A$1:$I$89,5,0)</f>
        <v>255.84000000000006</v>
      </c>
      <c r="GW108" s="13">
        <f t="shared" si="105"/>
        <v>61.834803371075836</v>
      </c>
      <c r="GX108" s="20">
        <f t="shared" si="82"/>
        <v>553.28361587129041</v>
      </c>
      <c r="GY108" s="59">
        <f t="shared" si="83"/>
        <v>832.02224395216217</v>
      </c>
      <c r="GZ108" s="59">
        <f ca="1">AVERAGE(OFFSET($GY$3,0,0,'Données projet'!$E$18+1,1))-AVERAGE(OFFSET($H$3,0,0,'Données projet'!$E$18+1,1))</f>
        <v>308.85018589589453</v>
      </c>
      <c r="HA108" s="59">
        <f t="shared" si="106"/>
        <v>302.59481222418219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>
        <f>EXP(-LN(2)/35)*HG107+(1-EXP(-LN(2)/35))/(LN(2)/35)*HC108*HD108*VLOOKUP('Données projet'!$B$18,Paramètres!$A$1:$I$89,3,0)*0.475*44/12</f>
        <v>24.696136238780358</v>
      </c>
      <c r="HH108" s="21">
        <f>EXP(-LN(2)/25)*HH107+(1-EXP(-LN(2)/25))/(LN(2)/25)*Calculateur!HC108*Calculateur!HE108*VLOOKUP('Données projet'!$B$18,Paramètres!$A$1:$I$89,3,0)*0.475*44/12</f>
        <v>0</v>
      </c>
      <c r="HI108" s="21">
        <f>EXP(-LN(2)/2)*HI107+(1-EXP(-LN(2)/2))/(LN(2)/2)*HC108*HF108*VLOOKUP('Données projet'!$B$18,Paramètres!$A$1:$I$89,3,0)*0.475*44/12</f>
        <v>0</v>
      </c>
      <c r="HJ108" s="22">
        <f t="shared" si="84"/>
        <v>24.696136238780358</v>
      </c>
    </row>
    <row r="109" spans="1:218" x14ac:dyDescent="0.35">
      <c r="A109" s="10">
        <f t="shared" si="85"/>
        <v>106</v>
      </c>
      <c r="B109" s="72">
        <f>'Scénario référence'!$B$16*5+'Scénario référence'!$B$17*0+'Scénario référence'!$B$18*5</f>
        <v>5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66">
        <f t="shared" si="56"/>
        <v>183.33333333333334</v>
      </c>
      <c r="I109" s="6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9.7110000000000021</v>
      </c>
      <c r="N109" s="13">
        <f>IF('Données projet'!$A$36&gt;35,N108+M109-V108,IF(A109&lt;'Données projet'!$A$36,$K$205^A109,IF(A109='Données projet'!$A$36,'Données projet'!$B$36,N108+M109-V108)))</f>
        <v>469.83700000000022</v>
      </c>
      <c r="O109" s="13">
        <f>N109*VLOOKUP('Données projet'!$B$9,Paramètres!$A$1:$I$89,3,0)*VLOOKUP('Données projet'!$B$9,Paramètres!$A$1:$I$89,5,0)</f>
        <v>425.10851760000014</v>
      </c>
      <c r="P109" s="13">
        <f t="shared" si="87"/>
        <v>96.848855770846484</v>
      </c>
      <c r="Q109" s="20">
        <f t="shared" si="107"/>
        <v>909.07575862089118</v>
      </c>
      <c r="R109" s="59">
        <f t="shared" si="55"/>
        <v>1188.0675722090202</v>
      </c>
      <c r="S109" s="59">
        <f ca="1">AVERAGE(OFFSET($R$3,0,0,'Données projet'!$E$9+1,1))-AVERAGE(OFFSET($H$3,0,0,'Données projet'!$E$9+1,1))</f>
        <v>567.42635821507474</v>
      </c>
      <c r="T109" s="59">
        <f t="shared" si="88"/>
        <v>299.04735309930152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110.25607898070434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110.25607898070434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9.7110000000000021</v>
      </c>
      <c r="AI109" s="13">
        <f>IF('Données projet'!$A$62&gt;35,AI108+AH109-AQ108,IF(A109&lt;'Données projet'!$A$62,$AF$205^A109,IF(A109='Données projet'!$A$62,'Données projet'!$B$62,AI108+AH109-AQ108)))</f>
        <v>469.83700000000022</v>
      </c>
      <c r="AJ109" s="13">
        <f>AI109*VLOOKUP('Données projet'!$B$10,Paramètres!$A$1:$I$89,3,0)*VLOOKUP('Données projet'!$B$10,Paramètres!$A$1:$I$89,5,0)</f>
        <v>476.41471800000028</v>
      </c>
      <c r="AK109" s="13">
        <f t="shared" si="89"/>
        <v>107.10746999753525</v>
      </c>
      <c r="AL109" s="20">
        <f t="shared" si="58"/>
        <v>1016.3011440957075</v>
      </c>
      <c r="AM109" s="59">
        <f t="shared" si="59"/>
        <v>1295.2929576838367</v>
      </c>
      <c r="AN109" s="59">
        <f ca="1">AVERAGE(OFFSET($AM$3,0,0,'Données projet'!$E$10+1,1))-AVERAGE(OFFSET($H$3,0,0,'Données projet'!$E$10+1,1))</f>
        <v>626.09203985591455</v>
      </c>
      <c r="AO109" s="59">
        <f t="shared" si="90"/>
        <v>327.65191296575199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123.562847133548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123.562847133548</v>
      </c>
      <c r="AY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6.8</v>
      </c>
      <c r="BD109" s="12">
        <f>IF('Données projet'!$A$88&gt;35,BD108+BC109-BL108,IF(A109&lt;'Données projet'!$A$88,$BA$205^A109,IF(A109='Données projet'!$A$88,'Données projet'!$B$88,BD108+BC109-BL108)))</f>
        <v>392.8</v>
      </c>
      <c r="BE109" s="13">
        <f>BD109*VLOOKUP('Données projet'!$B$11,Paramètres!$A$1:$I$89,3,0)*VLOOKUP('Données projet'!$B$11,Paramètres!$A$1:$I$89,5,0)</f>
        <v>337.02240000000006</v>
      </c>
      <c r="BF109" s="13">
        <f t="shared" si="91"/>
        <v>78.884440823098231</v>
      </c>
      <c r="BG109" s="20">
        <f t="shared" si="61"/>
        <v>724.37108110022939</v>
      </c>
      <c r="BH109" s="59">
        <f t="shared" si="62"/>
        <v>1003.3628946883584</v>
      </c>
      <c r="BI109" s="59">
        <f ca="1">AVERAGE(OFFSET($BH$3,0,0,'Données projet'!$E$11+1,1))-AVERAGE(OFFSET($H$3,0,0,'Données projet'!$E$11+1,1))</f>
        <v>481.23392184981651</v>
      </c>
      <c r="BJ109" s="59">
        <f t="shared" si="92"/>
        <v>275.88160405468193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106.70395562027369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106.70395562027369</v>
      </c>
      <c r="BT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5.2499999999990337</v>
      </c>
      <c r="BZ109" s="13">
        <f>BY109*VLOOKUP('Données projet'!$B$12,Paramètres!$A$1:$I$89,3,0)*VLOOKUP('Données projet'!$B$12,Paramètres!$A$1:$I$89,5,0)</f>
        <v>2.4569999999995478</v>
      </c>
      <c r="CA109" s="13">
        <f t="shared" si="93"/>
        <v>1.0197977774625564</v>
      </c>
      <c r="CB109" s="20">
        <f t="shared" si="64"/>
        <v>6.0554227957464972</v>
      </c>
      <c r="CC109" s="59">
        <f t="shared" si="65"/>
        <v>285.0472363838756</v>
      </c>
      <c r="CD109" s="59">
        <f ca="1">AVERAGE(OFFSET($CC$3,0,0,'Données projet'!$E$12+1,1))-AVERAGE(OFFSET($H$3,0,0,'Données projet'!$E$12+1,1))</f>
        <v>331.86732359395467</v>
      </c>
      <c r="CE109" s="59">
        <f t="shared" si="94"/>
        <v>208.64489375183106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257.75710551919479</v>
      </c>
      <c r="CL109" s="21">
        <f>EXP(-LN(2)/25)*CL108+(1-EXP(-LN(2)/25))/(LN(2)/25)*Calculateur!CG109*Calculateur!CI109*VLOOKUP('Données projet'!$B$12,Paramètres!$A$1:$I$89,3,0)*0.475*44/12</f>
        <v>0</v>
      </c>
      <c r="CM109" s="21">
        <f>EXP(-LN(2)/2)*CM108+(1-EXP(-LN(2)/2))/(LN(2)/2)*CG109*CJ109*VLOOKUP('Données projet'!$B$12,Paramètres!$A$1:$I$89,3,0)*0.475*44/12</f>
        <v>0</v>
      </c>
      <c r="CN109" s="22">
        <f t="shared" si="66"/>
        <v>257.75710551919479</v>
      </c>
      <c r="CO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319</v>
      </c>
      <c r="CU109" s="17">
        <f>CT109*VLOOKUP('Données projet'!$B$13,Paramètres!$A$1:$I$89,3,0)*VLOOKUP('Données projet'!$B$13,Paramètres!$A$1:$I$89,5,0)</f>
        <v>233.89079999999998</v>
      </c>
      <c r="CV109" s="13">
        <f t="shared" si="95"/>
        <v>57.123140349023068</v>
      </c>
      <c r="CW109" s="20">
        <f t="shared" si="67"/>
        <v>506.84927944121517</v>
      </c>
      <c r="CX109" s="59">
        <f t="shared" si="68"/>
        <v>785.84109302934428</v>
      </c>
      <c r="CY109" s="59">
        <f ca="1">AVERAGE(OFFSET($CX$3,0,0,'Données projet'!$E$13+1,1))-AVERAGE(OFFSET($H$3,0,0,'Données projet'!$E$13+1,1))</f>
        <v>352.45777291109863</v>
      </c>
      <c r="CZ109" s="59">
        <f t="shared" si="96"/>
        <v>340.92165104349181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23.754738308205471</v>
      </c>
      <c r="DG109" s="21">
        <f>EXP(-LN(2)/25)*DG108+(1-EXP(-LN(2)/25))/(LN(2)/25)*Calculateur!DB109*Calculateur!DD109*VLOOKUP('Données projet'!$B$13,Paramètres!$A$1:$I$89,3,0)*0.475*44/12</f>
        <v>0</v>
      </c>
      <c r="DH109" s="21">
        <f>EXP(-LN(2)/2)*DH108+(1-EXP(-LN(2)/2))/(LN(2)/2)*DB109*DE109*VLOOKUP('Données projet'!$B$13,Paramètres!$A$1:$I$89,3,0)*0.475*44/12</f>
        <v>0</v>
      </c>
      <c r="DI109" s="22">
        <f t="shared" si="69"/>
        <v>23.754738308205471</v>
      </c>
      <c r="DJ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9.7110000000000021</v>
      </c>
      <c r="DO109" s="12">
        <f>IF('Données projet'!$A$166&gt;35,DO108+DN109-DW108,IF(A109&lt;'Données projet'!$A$166,$DL$205^A109,IF(A109='Données projet'!$A$166,'Données projet'!$B$166,DO108+DN109-DW108)))</f>
        <v>469.83700000000022</v>
      </c>
      <c r="DP109" s="17">
        <f>DO109*VLOOKUP('Données projet'!$B$14,Paramètres!$A$1:$I$89,3,0)*VLOOKUP('Données projet'!$B$14,Paramètres!$A$1:$I$89,5,0)</f>
        <v>315.16665960000017</v>
      </c>
      <c r="DQ109" s="13">
        <f t="shared" si="97"/>
        <v>74.346794137152642</v>
      </c>
      <c r="DR109" s="20">
        <f t="shared" si="70"/>
        <v>678.40259859220782</v>
      </c>
      <c r="DS109" s="59">
        <f t="shared" si="71"/>
        <v>957.39441218033699</v>
      </c>
      <c r="DT109" s="59">
        <f ca="1">AVERAGE(OFFSET($DS$3,0,0,'Données projet'!$E$14+1,1))-AVERAGE(OFFSET($H$3,0,0,'Données projet'!$E$14+1,1))</f>
        <v>441.20130048888439</v>
      </c>
      <c r="DU109" s="59">
        <f t="shared" si="98"/>
        <v>237.47732532183946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100.75124458581605</v>
      </c>
      <c r="EB109" s="21">
        <f>EXP(-LN(2)/25)*EB108+(1-EXP(-LN(2)/25))/(LN(2)/25)*Calculateur!DW109*Calculateur!DY109*VLOOKUP('Données projet'!$B$14,Paramètres!$A$1:$I$89,3,0)*0.475*44/12</f>
        <v>0</v>
      </c>
      <c r="EC109" s="21">
        <f>EXP(-LN(2)/2)*EC108+(1-EXP(-LN(2)/2))/(LN(2)/2)*DW109*DZ109*VLOOKUP('Données projet'!$B$14,Paramètres!$A$1:$I$89,3,0)*0.475*44/12</f>
        <v>0</v>
      </c>
      <c r="ED109" s="22">
        <f t="shared" si="72"/>
        <v>100.75124458581605</v>
      </c>
      <c r="EE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319</v>
      </c>
      <c r="EK109" s="17">
        <f>EJ109*VLOOKUP('Données projet'!$B$15,Paramètres!$A$1:$I$89,3,0)*VLOOKUP('Données projet'!$B$15,Paramètres!$A$1:$I$89,5,0)</f>
        <v>253.79640000000001</v>
      </c>
      <c r="EL109" s="13">
        <f t="shared" si="99"/>
        <v>61.39816832228076</v>
      </c>
      <c r="EM109" s="20">
        <f t="shared" si="73"/>
        <v>548.96387316130563</v>
      </c>
      <c r="EN109" s="59">
        <f t="shared" si="74"/>
        <v>827.95568674943479</v>
      </c>
      <c r="EO109" s="59">
        <f ca="1">AVERAGE(OFFSET($EN$3,0,0,'Données projet'!$E$15+1,1))-AVERAGE(OFFSET($H$3,0,0,'Données projet'!$E$15+1,1))</f>
        <v>377.27600411578322</v>
      </c>
      <c r="EP109" s="59">
        <f t="shared" si="100"/>
        <v>364.58250627635425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>
        <f>EXP(-LN(2)/35)*EV108+(1-EXP(-LN(2)/35))/(LN(2)/35)*ER109*ES109*VLOOKUP('Données projet'!$B$15,Paramètres!$A$1:$I$89,3,0)*0.475*44/12</f>
        <v>31.770934016367839</v>
      </c>
      <c r="EW109" s="21">
        <f>EXP(-LN(2)/25)*EW108+(1-EXP(-LN(2)/25))/(LN(2)/25)*Calculateur!ER109*Calculateur!ET109*VLOOKUP('Données projet'!$B$15,Paramètres!$A$1:$I$89,3,0)*0.475*44/12</f>
        <v>0</v>
      </c>
      <c r="EX109" s="21">
        <f>EXP(-LN(2)/2)*EX108+(1-EXP(-LN(2)/2))/(LN(2)/2)*ER109*EU109*VLOOKUP('Données projet'!$B$15,Paramètres!$A$1:$I$89,3,0)*0.475*44/12</f>
        <v>0</v>
      </c>
      <c r="EY109" s="22">
        <f t="shared" si="75"/>
        <v>31.770934016367839</v>
      </c>
      <c r="EZ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319</v>
      </c>
      <c r="FF109" s="17">
        <f>FE109*VLOOKUP('Données projet'!$B$16,Paramètres!$A$1:$I$89,3,0)*VLOOKUP('Données projet'!$B$16,Paramètres!$A$1:$I$89,5,0)</f>
        <v>258.77280000000002</v>
      </c>
      <c r="FG109" s="13">
        <f t="shared" si="101"/>
        <v>62.460716522234691</v>
      </c>
      <c r="FH109" s="20">
        <f t="shared" si="76"/>
        <v>559.48170794289206</v>
      </c>
      <c r="FI109" s="59">
        <f t="shared" si="77"/>
        <v>838.47352153102111</v>
      </c>
      <c r="FJ109" s="59">
        <f ca="1">AVERAGE(OFFSET($FI$3,0,0,'Données projet'!$E$16+1,1))-AVERAGE(OFFSET($H$3,0,0,'Données projet'!$E$16+1,1))</f>
        <v>383.47399633251354</v>
      </c>
      <c r="FK109" s="59">
        <f t="shared" si="102"/>
        <v>370.49129421395628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>
        <f>EXP(-LN(2)/35)*FQ108+(1-EXP(-LN(2)/35))/(LN(2)/35)*FM109*FN109*VLOOKUP('Données projet'!$B$16,Paramètres!$A$1:$I$89,3,0)*0.475*44/12</f>
        <v>32.393893506884872</v>
      </c>
      <c r="FR109" s="21">
        <f>EXP(-LN(2)/25)*FR108+(1-EXP(-LN(2)/25))/(LN(2)/25)*Calculateur!FM109*Calculateur!FO109*VLOOKUP('Données projet'!$B$16,Paramètres!$A$1:$I$89,3,0)*0.475*44/12</f>
        <v>0</v>
      </c>
      <c r="FS109" s="21">
        <f>EXP(-LN(2)/2)*FS108+(1-EXP(-LN(2)/2))/(LN(2)/2)*FM109*FP109*VLOOKUP('Données projet'!$B$16,Paramètres!$A$1:$I$89,3,0)*0.475*44/12</f>
        <v>0</v>
      </c>
      <c r="FT109" s="22">
        <f t="shared" si="78"/>
        <v>32.393893506884872</v>
      </c>
      <c r="FU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9.7110000000000021</v>
      </c>
      <c r="FZ109" s="12">
        <f>IF('Données projet'!$A$244&gt;35,FZ108+FY109-GH108,IF(A109&lt;'Données projet'!$A$244,$FW$205^A109,IF(A109='Données projet'!$A$244,'Données projet'!$B$244,FZ108+FY109-GH108)))</f>
        <v>469.83700000000022</v>
      </c>
      <c r="GA109" s="17">
        <f>FZ109*VLOOKUP('Données projet'!$B$17,Paramètres!$A$1:$I$89,3,0)*VLOOKUP('Données projet'!$B$17,Paramètres!$A$1:$I$89,5,0)</f>
        <v>447.09688920000019</v>
      </c>
      <c r="GB109" s="13">
        <f t="shared" si="103"/>
        <v>101.26210734981989</v>
      </c>
      <c r="GC109" s="20">
        <f t="shared" si="79"/>
        <v>955.0585856576032</v>
      </c>
      <c r="GD109" s="59">
        <f t="shared" si="80"/>
        <v>1234.0503992457323</v>
      </c>
      <c r="GE109" s="59">
        <f ca="1">AVERAGE(OFFSET($GD$3,0,0,'Données projet'!$E$17+1,1))-AVERAGE(OFFSET($H$3,0,0,'Données projet'!$E$17+1,1))</f>
        <v>592.58528889137358</v>
      </c>
      <c r="GF109" s="59">
        <f t="shared" si="104"/>
        <v>311.31528020403709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>
        <f>EXP(-LN(2)/35)*GL108+(1-EXP(-LN(2)/35))/(LN(2)/35)*GH109*GI109*VLOOKUP('Données projet'!$B$17,Paramètres!$A$1:$I$89,3,0)*0.475*44/12</f>
        <v>115.95897961763735</v>
      </c>
      <c r="GM109" s="21">
        <f>EXP(-LN(2)/25)*GM108+(1-EXP(-LN(2)/25))/(LN(2)/25)*Calculateur!GH109*Calculateur!GJ109*VLOOKUP('Données projet'!$B$17,Paramètres!$A$1:$I$89,3,0)*0.475*44/12</f>
        <v>0</v>
      </c>
      <c r="GN109" s="21">
        <f>EXP(-LN(2)/2)*GN108+(1-EXP(-LN(2)/2))/(LN(2)/2)*GH109*GK109*VLOOKUP('Données projet'!$B$17,Paramètres!$A$1:$I$89,3,0)*0.475*44/12</f>
        <v>0</v>
      </c>
      <c r="GO109" s="21">
        <f t="shared" si="81"/>
        <v>115.95897961763735</v>
      </c>
      <c r="GP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328.00000000000006</v>
      </c>
      <c r="GV109" s="17">
        <f>GU109*VLOOKUP('Données projet'!$B$18,Paramètres!$A$1:$I$89,3,0)*VLOOKUP('Données projet'!$B$18,Paramètres!$A$1:$I$89,5,0)</f>
        <v>255.84000000000006</v>
      </c>
      <c r="GW109" s="13">
        <f t="shared" si="105"/>
        <v>61.834803371075836</v>
      </c>
      <c r="GX109" s="20">
        <f t="shared" si="82"/>
        <v>553.28361587129041</v>
      </c>
      <c r="GY109" s="59">
        <f t="shared" si="83"/>
        <v>832.27542945941946</v>
      </c>
      <c r="GZ109" s="59">
        <f ca="1">AVERAGE(OFFSET($GY$3,0,0,'Données projet'!$E$18+1,1))-AVERAGE(OFFSET($H$3,0,0,'Données projet'!$E$18+1,1))</f>
        <v>308.85018589589453</v>
      </c>
      <c r="HA109" s="59">
        <f t="shared" si="106"/>
        <v>302.59481222418219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>
        <f>EXP(-LN(2)/35)*HG108+(1-EXP(-LN(2)/35))/(LN(2)/35)*HC109*HD109*VLOOKUP('Données projet'!$B$18,Paramètres!$A$1:$I$89,3,0)*0.475*44/12</f>
        <v>24.211860070293618</v>
      </c>
      <c r="HH109" s="21">
        <f>EXP(-LN(2)/25)*HH108+(1-EXP(-LN(2)/25))/(LN(2)/25)*Calculateur!HC109*Calculateur!HE109*VLOOKUP('Données projet'!$B$18,Paramètres!$A$1:$I$89,3,0)*0.475*44/12</f>
        <v>0</v>
      </c>
      <c r="HI109" s="21">
        <f>EXP(-LN(2)/2)*HI108+(1-EXP(-LN(2)/2))/(LN(2)/2)*HC109*HF109*VLOOKUP('Données projet'!$B$18,Paramètres!$A$1:$I$89,3,0)*0.475*44/12</f>
        <v>0</v>
      </c>
      <c r="HJ109" s="22">
        <f t="shared" si="84"/>
        <v>24.211860070293618</v>
      </c>
    </row>
    <row r="110" spans="1:218" x14ac:dyDescent="0.35">
      <c r="A110" s="10">
        <f t="shared" si="85"/>
        <v>107</v>
      </c>
      <c r="B110" s="72">
        <f>'Scénario référence'!$B$16*5+'Scénario référence'!$B$17*0+'Scénario référence'!$B$18*5</f>
        <v>5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66">
        <f t="shared" si="56"/>
        <v>183.33333333333334</v>
      </c>
      <c r="I110" s="6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9.7110000000000021</v>
      </c>
      <c r="N110" s="13">
        <f>IF('Données projet'!$A$36&gt;35,N109+M110-V109,IF(A110&lt;'Données projet'!$A$36,$K$205^A110,IF(A110='Données projet'!$A$36,'Données projet'!$B$36,N109+M110-V109)))</f>
        <v>479.54800000000023</v>
      </c>
      <c r="O110" s="13">
        <f>N110*VLOOKUP('Données projet'!$B$9,Paramètres!$A$1:$I$89,3,0)*VLOOKUP('Données projet'!$B$9,Paramètres!$A$1:$I$89,5,0)</f>
        <v>433.89503040000017</v>
      </c>
      <c r="P110" s="13">
        <f t="shared" si="87"/>
        <v>98.615496264061846</v>
      </c>
      <c r="Q110" s="20">
        <f t="shared" si="107"/>
        <v>927.45583393990785</v>
      </c>
      <c r="R110" s="59">
        <f t="shared" si="55"/>
        <v>1206.6964408327815</v>
      </c>
      <c r="S110" s="59">
        <f ca="1">AVERAGE(OFFSET($R$3,0,0,'Données projet'!$E$9+1,1))-AVERAGE(OFFSET($H$3,0,0,'Données projet'!$E$9+1,1))</f>
        <v>567.42635821507474</v>
      </c>
      <c r="T110" s="59">
        <f t="shared" si="88"/>
        <v>299.04735309930152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108.09402452146057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108.09402452146057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9.7110000000000021</v>
      </c>
      <c r="AI110" s="13">
        <f>IF('Données projet'!$A$62&gt;35,AI109+AH110-AQ109,IF(A110&lt;'Données projet'!$A$62,$AF$205^A110,IF(A110='Données projet'!$A$62,'Données projet'!$B$62,AI109+AH110-AQ109)))</f>
        <v>479.54800000000023</v>
      </c>
      <c r="AJ110" s="13">
        <f>AI110*VLOOKUP('Données projet'!$B$10,Paramètres!$A$1:$I$89,3,0)*VLOOKUP('Données projet'!$B$10,Paramètres!$A$1:$I$89,5,0)</f>
        <v>486.2616720000002</v>
      </c>
      <c r="AK110" s="13">
        <f t="shared" si="89"/>
        <v>109.06124004590019</v>
      </c>
      <c r="AL110" s="20">
        <f t="shared" si="58"/>
        <v>1036.8540718132763</v>
      </c>
      <c r="AM110" s="59">
        <f t="shared" si="59"/>
        <v>1316.0946787061498</v>
      </c>
      <c r="AN110" s="59">
        <f ca="1">AVERAGE(OFFSET($AM$3,0,0,'Données projet'!$E$10+1,1))-AVERAGE(OFFSET($H$3,0,0,'Données projet'!$E$10+1,1))</f>
        <v>626.09203985591455</v>
      </c>
      <c r="AO110" s="59">
        <f t="shared" si="90"/>
        <v>327.65191296575199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121.13985506715412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121.13985506715412</v>
      </c>
      <c r="AY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6.8</v>
      </c>
      <c r="BD110" s="12">
        <f>IF('Données projet'!$A$88&gt;35,BD109+BC110-BL109,IF(A110&lt;'Données projet'!$A$88,$BA$205^A110,IF(A110='Données projet'!$A$88,'Données projet'!$B$88,BD109+BC110-BL109)))</f>
        <v>399.6</v>
      </c>
      <c r="BE110" s="13">
        <f>BD110*VLOOKUP('Données projet'!$B$11,Paramètres!$A$1:$I$89,3,0)*VLOOKUP('Données projet'!$B$11,Paramètres!$A$1:$I$89,5,0)</f>
        <v>342.85680000000008</v>
      </c>
      <c r="BF110" s="13">
        <f t="shared" si="91"/>
        <v>80.089891653777826</v>
      </c>
      <c r="BG110" s="20">
        <f t="shared" si="61"/>
        <v>736.63215463032975</v>
      </c>
      <c r="BH110" s="59">
        <f t="shared" si="62"/>
        <v>1015.8727615232034</v>
      </c>
      <c r="BI110" s="59">
        <f ca="1">AVERAGE(OFFSET($BH$3,0,0,'Données projet'!$E$11+1,1))-AVERAGE(OFFSET($H$3,0,0,'Données projet'!$E$11+1,1))</f>
        <v>481.23392184981651</v>
      </c>
      <c r="BJ110" s="59">
        <f t="shared" si="92"/>
        <v>275.88160405468193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104.61155613354664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104.61155613354664</v>
      </c>
      <c r="BT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5.2499999999990337</v>
      </c>
      <c r="BZ110" s="13">
        <f>BY110*VLOOKUP('Données projet'!$B$12,Paramètres!$A$1:$I$89,3,0)*VLOOKUP('Données projet'!$B$12,Paramètres!$A$1:$I$89,5,0)</f>
        <v>2.4569999999995478</v>
      </c>
      <c r="CA110" s="13">
        <f t="shared" si="93"/>
        <v>1.0197977774625564</v>
      </c>
      <c r="CB110" s="20">
        <f t="shared" si="64"/>
        <v>6.0554227957464972</v>
      </c>
      <c r="CC110" s="59">
        <f t="shared" si="65"/>
        <v>285.29602968862014</v>
      </c>
      <c r="CD110" s="59">
        <f ca="1">AVERAGE(OFFSET($CC$3,0,0,'Données projet'!$E$12+1,1))-AVERAGE(OFFSET($H$3,0,0,'Données projet'!$E$12+1,1))</f>
        <v>331.86732359395467</v>
      </c>
      <c r="CE110" s="59">
        <f t="shared" si="94"/>
        <v>208.64489375183106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252.70264589627394</v>
      </c>
      <c r="CL110" s="21">
        <f>EXP(-LN(2)/25)*CL109+(1-EXP(-LN(2)/25))/(LN(2)/25)*Calculateur!CG110*Calculateur!CI110*VLOOKUP('Données projet'!$B$12,Paramètres!$A$1:$I$89,3,0)*0.475*44/12</f>
        <v>0</v>
      </c>
      <c r="CM110" s="21">
        <f>EXP(-LN(2)/2)*CM109+(1-EXP(-LN(2)/2))/(LN(2)/2)*CG110*CJ110*VLOOKUP('Données projet'!$B$12,Paramètres!$A$1:$I$89,3,0)*0.475*44/12</f>
        <v>0</v>
      </c>
      <c r="CN110" s="22">
        <f t="shared" si="66"/>
        <v>252.70264589627394</v>
      </c>
      <c r="CO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319</v>
      </c>
      <c r="CU110" s="17">
        <f>CT110*VLOOKUP('Données projet'!$B$13,Paramètres!$A$1:$I$89,3,0)*VLOOKUP('Données projet'!$B$13,Paramètres!$A$1:$I$89,5,0)</f>
        <v>233.89079999999998</v>
      </c>
      <c r="CV110" s="13">
        <f t="shared" si="95"/>
        <v>57.123140349023068</v>
      </c>
      <c r="CW110" s="20">
        <f t="shared" si="67"/>
        <v>506.84927944121517</v>
      </c>
      <c r="CX110" s="59">
        <f t="shared" si="68"/>
        <v>786.08988633408876</v>
      </c>
      <c r="CY110" s="59">
        <f ca="1">AVERAGE(OFFSET($CX$3,0,0,'Données projet'!$E$13+1,1))-AVERAGE(OFFSET($H$3,0,0,'Données projet'!$E$13+1,1))</f>
        <v>352.45777291109863</v>
      </c>
      <c r="CZ110" s="59">
        <f t="shared" si="96"/>
        <v>340.92165104349181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23.288922378941265</v>
      </c>
      <c r="DG110" s="21">
        <f>EXP(-LN(2)/25)*DG109+(1-EXP(-LN(2)/25))/(LN(2)/25)*Calculateur!DB110*Calculateur!DD110*VLOOKUP('Données projet'!$B$13,Paramètres!$A$1:$I$89,3,0)*0.475*44/12</f>
        <v>0</v>
      </c>
      <c r="DH110" s="21">
        <f>EXP(-LN(2)/2)*DH109+(1-EXP(-LN(2)/2))/(LN(2)/2)*DB110*DE110*VLOOKUP('Données projet'!$B$13,Paramètres!$A$1:$I$89,3,0)*0.475*44/12</f>
        <v>0</v>
      </c>
      <c r="DI110" s="22">
        <f t="shared" si="69"/>
        <v>23.288922378941265</v>
      </c>
      <c r="DJ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9.7110000000000021</v>
      </c>
      <c r="DO110" s="12">
        <f>IF('Données projet'!$A$166&gt;35,DO109+DN110-DW109,IF(A110&lt;'Données projet'!$A$166,$DL$205^A110,IF(A110='Données projet'!$A$166,'Données projet'!$B$166,DO109+DN110-DW109)))</f>
        <v>479.54800000000023</v>
      </c>
      <c r="DP110" s="17">
        <f>DO110*VLOOKUP('Données projet'!$B$14,Paramètres!$A$1:$I$89,3,0)*VLOOKUP('Données projet'!$B$14,Paramètres!$A$1:$I$89,5,0)</f>
        <v>321.68079840000019</v>
      </c>
      <c r="DQ110" s="13">
        <f t="shared" si="97"/>
        <v>75.702969757587567</v>
      </c>
      <c r="DR110" s="20">
        <f t="shared" si="70"/>
        <v>692.11006287446526</v>
      </c>
      <c r="DS110" s="59">
        <f t="shared" si="71"/>
        <v>971.3506697673389</v>
      </c>
      <c r="DT110" s="59">
        <f ca="1">AVERAGE(OFFSET($DS$3,0,0,'Données projet'!$E$14+1,1))-AVERAGE(OFFSET($H$3,0,0,'Données projet'!$E$14+1,1))</f>
        <v>441.20130048888439</v>
      </c>
      <c r="DU110" s="59">
        <f t="shared" si="98"/>
        <v>237.47732532183946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98.775574131679491</v>
      </c>
      <c r="EB110" s="21">
        <f>EXP(-LN(2)/25)*EB109+(1-EXP(-LN(2)/25))/(LN(2)/25)*Calculateur!DW110*Calculateur!DY110*VLOOKUP('Données projet'!$B$14,Paramètres!$A$1:$I$89,3,0)*0.475*44/12</f>
        <v>0</v>
      </c>
      <c r="EC110" s="21">
        <f>EXP(-LN(2)/2)*EC109+(1-EXP(-LN(2)/2))/(LN(2)/2)*DW110*DZ110*VLOOKUP('Données projet'!$B$14,Paramètres!$A$1:$I$89,3,0)*0.475*44/12</f>
        <v>0</v>
      </c>
      <c r="ED110" s="22">
        <f t="shared" si="72"/>
        <v>98.775574131679491</v>
      </c>
      <c r="EE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319</v>
      </c>
      <c r="EK110" s="17">
        <f>EJ110*VLOOKUP('Données projet'!$B$15,Paramètres!$A$1:$I$89,3,0)*VLOOKUP('Données projet'!$B$15,Paramètres!$A$1:$I$89,5,0)</f>
        <v>253.79640000000001</v>
      </c>
      <c r="EL110" s="13">
        <f t="shared" si="99"/>
        <v>61.39816832228076</v>
      </c>
      <c r="EM110" s="20">
        <f t="shared" si="73"/>
        <v>548.96387316130563</v>
      </c>
      <c r="EN110" s="59">
        <f t="shared" si="74"/>
        <v>828.20448005417927</v>
      </c>
      <c r="EO110" s="59">
        <f ca="1">AVERAGE(OFFSET($EN$3,0,0,'Données projet'!$E$15+1,1))-AVERAGE(OFFSET($H$3,0,0,'Données projet'!$E$15+1,1))</f>
        <v>377.27600411578322</v>
      </c>
      <c r="EP110" s="59">
        <f t="shared" si="100"/>
        <v>364.58250627635425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>
        <f>EXP(-LN(2)/35)*EV109+(1-EXP(-LN(2)/35))/(LN(2)/35)*ER110*ES110*VLOOKUP('Données projet'!$B$15,Paramètres!$A$1:$I$89,3,0)*0.475*44/12</f>
        <v>31.14792537866316</v>
      </c>
      <c r="EW110" s="21">
        <f>EXP(-LN(2)/25)*EW109+(1-EXP(-LN(2)/25))/(LN(2)/25)*Calculateur!ER110*Calculateur!ET110*VLOOKUP('Données projet'!$B$15,Paramètres!$A$1:$I$89,3,0)*0.475*44/12</f>
        <v>0</v>
      </c>
      <c r="EX110" s="21">
        <f>EXP(-LN(2)/2)*EX109+(1-EXP(-LN(2)/2))/(LN(2)/2)*ER110*EU110*VLOOKUP('Données projet'!$B$15,Paramètres!$A$1:$I$89,3,0)*0.475*44/12</f>
        <v>0</v>
      </c>
      <c r="EY110" s="22">
        <f t="shared" si="75"/>
        <v>31.14792537866316</v>
      </c>
      <c r="EZ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319</v>
      </c>
      <c r="FF110" s="17">
        <f>FE110*VLOOKUP('Données projet'!$B$16,Paramètres!$A$1:$I$89,3,0)*VLOOKUP('Données projet'!$B$16,Paramètres!$A$1:$I$89,5,0)</f>
        <v>258.77280000000002</v>
      </c>
      <c r="FG110" s="13">
        <f t="shared" si="101"/>
        <v>62.460716522234691</v>
      </c>
      <c r="FH110" s="20">
        <f t="shared" si="76"/>
        <v>559.48170794289206</v>
      </c>
      <c r="FI110" s="59">
        <f t="shared" si="77"/>
        <v>838.7223148357657</v>
      </c>
      <c r="FJ110" s="59">
        <f ca="1">AVERAGE(OFFSET($FI$3,0,0,'Données projet'!$E$16+1,1))-AVERAGE(OFFSET($H$3,0,0,'Données projet'!$E$16+1,1))</f>
        <v>383.47399633251354</v>
      </c>
      <c r="FK110" s="59">
        <f t="shared" si="102"/>
        <v>370.49129421395628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>
        <f>EXP(-LN(2)/35)*FQ109+(1-EXP(-LN(2)/35))/(LN(2)/35)*FM110*FN110*VLOOKUP('Données projet'!$B$16,Paramètres!$A$1:$I$89,3,0)*0.475*44/12</f>
        <v>31.758669013538928</v>
      </c>
      <c r="FR110" s="21">
        <f>EXP(-LN(2)/25)*FR109+(1-EXP(-LN(2)/25))/(LN(2)/25)*Calculateur!FM110*Calculateur!FO110*VLOOKUP('Données projet'!$B$16,Paramètres!$A$1:$I$89,3,0)*0.475*44/12</f>
        <v>0</v>
      </c>
      <c r="FS110" s="21">
        <f>EXP(-LN(2)/2)*FS109+(1-EXP(-LN(2)/2))/(LN(2)/2)*FM110*FP110*VLOOKUP('Données projet'!$B$16,Paramètres!$A$1:$I$89,3,0)*0.475*44/12</f>
        <v>0</v>
      </c>
      <c r="FT110" s="22">
        <f t="shared" si="78"/>
        <v>31.758669013538928</v>
      </c>
      <c r="FU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9.7110000000000021</v>
      </c>
      <c r="FZ110" s="12">
        <f>IF('Données projet'!$A$244&gt;35,FZ109+FY110-GH109,IF(A110&lt;'Données projet'!$A$244,$FW$205^A110,IF(A110='Données projet'!$A$244,'Données projet'!$B$244,FZ109+FY110-GH109)))</f>
        <v>479.54800000000023</v>
      </c>
      <c r="GA110" s="17">
        <f>FZ110*VLOOKUP('Données projet'!$B$17,Paramètres!$A$1:$I$89,3,0)*VLOOKUP('Données projet'!$B$17,Paramètres!$A$1:$I$89,5,0)</f>
        <v>456.33787680000023</v>
      </c>
      <c r="GB110" s="13">
        <f t="shared" si="103"/>
        <v>103.10925089992845</v>
      </c>
      <c r="GC110" s="20">
        <f t="shared" si="79"/>
        <v>974.37041407737581</v>
      </c>
      <c r="GD110" s="59">
        <f t="shared" si="80"/>
        <v>1253.6110209702495</v>
      </c>
      <c r="GE110" s="59">
        <f ca="1">AVERAGE(OFFSET($GD$3,0,0,'Données projet'!$E$17+1,1))-AVERAGE(OFFSET($H$3,0,0,'Données projet'!$E$17+1,1))</f>
        <v>592.58528889137358</v>
      </c>
      <c r="GF110" s="59">
        <f t="shared" si="104"/>
        <v>311.31528020403709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>
        <f>EXP(-LN(2)/35)*GL109+(1-EXP(-LN(2)/35))/(LN(2)/35)*GH110*GI110*VLOOKUP('Données projet'!$B$17,Paramètres!$A$1:$I$89,3,0)*0.475*44/12</f>
        <v>113.68509475532925</v>
      </c>
      <c r="GM110" s="21">
        <f>EXP(-LN(2)/25)*GM109+(1-EXP(-LN(2)/25))/(LN(2)/25)*Calculateur!GH110*Calculateur!GJ110*VLOOKUP('Données projet'!$B$17,Paramètres!$A$1:$I$89,3,0)*0.475*44/12</f>
        <v>0</v>
      </c>
      <c r="GN110" s="21">
        <f>EXP(-LN(2)/2)*GN109+(1-EXP(-LN(2)/2))/(LN(2)/2)*GH110*GK110*VLOOKUP('Données projet'!$B$17,Paramètres!$A$1:$I$89,3,0)*0.475*44/12</f>
        <v>0</v>
      </c>
      <c r="GO110" s="21">
        <f t="shared" si="81"/>
        <v>113.68509475532925</v>
      </c>
      <c r="GP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328.00000000000006</v>
      </c>
      <c r="GV110" s="17">
        <f>GU110*VLOOKUP('Données projet'!$B$18,Paramètres!$A$1:$I$89,3,0)*VLOOKUP('Données projet'!$B$18,Paramètres!$A$1:$I$89,5,0)</f>
        <v>255.84000000000006</v>
      </c>
      <c r="GW110" s="13">
        <f t="shared" si="105"/>
        <v>61.834803371075836</v>
      </c>
      <c r="GX110" s="20">
        <f t="shared" si="82"/>
        <v>553.28361587129041</v>
      </c>
      <c r="GY110" s="59">
        <f t="shared" si="83"/>
        <v>832.52422276416405</v>
      </c>
      <c r="GZ110" s="59">
        <f ca="1">AVERAGE(OFFSET($GY$3,0,0,'Données projet'!$E$18+1,1))-AVERAGE(OFFSET($H$3,0,0,'Données projet'!$E$18+1,1))</f>
        <v>308.85018589589453</v>
      </c>
      <c r="HA110" s="59">
        <f t="shared" si="106"/>
        <v>302.59481222418219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>
        <f>EXP(-LN(2)/35)*HG109+(1-EXP(-LN(2)/35))/(LN(2)/35)*HC110*HD110*VLOOKUP('Données projet'!$B$18,Paramètres!$A$1:$I$89,3,0)*0.475*44/12</f>
        <v>23.737080262091606</v>
      </c>
      <c r="HH110" s="21">
        <f>EXP(-LN(2)/25)*HH109+(1-EXP(-LN(2)/25))/(LN(2)/25)*Calculateur!HC110*Calculateur!HE110*VLOOKUP('Données projet'!$B$18,Paramètres!$A$1:$I$89,3,0)*0.475*44/12</f>
        <v>0</v>
      </c>
      <c r="HI110" s="21">
        <f>EXP(-LN(2)/2)*HI109+(1-EXP(-LN(2)/2))/(LN(2)/2)*HC110*HF110*VLOOKUP('Données projet'!$B$18,Paramètres!$A$1:$I$89,3,0)*0.475*44/12</f>
        <v>0</v>
      </c>
      <c r="HJ110" s="22">
        <f t="shared" si="84"/>
        <v>23.737080262091606</v>
      </c>
    </row>
    <row r="111" spans="1:218" x14ac:dyDescent="0.35">
      <c r="A111" s="10">
        <f t="shared" si="85"/>
        <v>108</v>
      </c>
      <c r="B111" s="72">
        <f>'Scénario référence'!$B$16*5+'Scénario référence'!$B$17*0+'Scénario référence'!$B$18*5</f>
        <v>5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66">
        <f t="shared" si="56"/>
        <v>183.33333333333334</v>
      </c>
      <c r="I111" s="6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9.7110000000000021</v>
      </c>
      <c r="N111" s="13">
        <f>IF('Données projet'!$A$36&gt;35,N110+M111-V110,IF(A111&lt;'Données projet'!$A$36,$K$205^A111,IF(A111='Données projet'!$A$36,'Données projet'!$B$36,N110+M111-V110)))</f>
        <v>489.25900000000024</v>
      </c>
      <c r="O111" s="13">
        <f>N111*VLOOKUP('Données projet'!$B$9,Paramètres!$A$1:$I$89,3,0)*VLOOKUP('Données projet'!$B$9,Paramètres!$A$1:$I$89,5,0)</f>
        <v>442.68154320000019</v>
      </c>
      <c r="P111" s="13">
        <f t="shared" si="87"/>
        <v>100.37797714680627</v>
      </c>
      <c r="Q111" s="20">
        <f t="shared" si="107"/>
        <v>945.82866460402113</v>
      </c>
      <c r="R111" s="59">
        <f t="shared" si="55"/>
        <v>1225.3137487940205</v>
      </c>
      <c r="S111" s="59">
        <f ca="1">AVERAGE(OFFSET($R$3,0,0,'Données projet'!$E$9+1,1))-AVERAGE(OFFSET($H$3,0,0,'Données projet'!$E$9+1,1))</f>
        <v>567.42635821507474</v>
      </c>
      <c r="T111" s="59">
        <f t="shared" si="88"/>
        <v>299.04735309930152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105.97436663143955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105.97436663143955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9.7110000000000021</v>
      </c>
      <c r="AI111" s="13">
        <f>IF('Données projet'!$A$62&gt;35,AI110+AH111-AQ110,IF(A111&lt;'Données projet'!$A$62,$AF$205^A111,IF(A111='Données projet'!$A$62,'Données projet'!$B$62,AI110+AH111-AQ110)))</f>
        <v>489.25900000000024</v>
      </c>
      <c r="AJ111" s="13">
        <f>AI111*VLOOKUP('Données projet'!$B$10,Paramètres!$A$1:$I$89,3,0)*VLOOKUP('Données projet'!$B$10,Paramètres!$A$1:$I$89,5,0)</f>
        <v>496.1086260000003</v>
      </c>
      <c r="AK111" s="13">
        <f t="shared" si="89"/>
        <v>111.01040988138524</v>
      </c>
      <c r="AL111" s="20">
        <f t="shared" si="58"/>
        <v>1057.3989874934132</v>
      </c>
      <c r="AM111" s="59">
        <f t="shared" si="59"/>
        <v>1336.8840716834125</v>
      </c>
      <c r="AN111" s="59">
        <f ca="1">AVERAGE(OFFSET($AM$3,0,0,'Données projet'!$E$10+1,1))-AVERAGE(OFFSET($H$3,0,0,'Données projet'!$E$10+1,1))</f>
        <v>626.09203985591455</v>
      </c>
      <c r="AO111" s="59">
        <f t="shared" si="90"/>
        <v>327.65191296575199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118.76437639730298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118.76437639730298</v>
      </c>
      <c r="AY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6.8</v>
      </c>
      <c r="BD111" s="12">
        <f>IF('Données projet'!$A$88&gt;35,BD110+BC111-BL110,IF(A111&lt;'Données projet'!$A$88,$BA$205^A111,IF(A111='Données projet'!$A$88,'Données projet'!$B$88,BD110+BC111-BL110)))</f>
        <v>406.40000000000003</v>
      </c>
      <c r="BE111" s="13">
        <f>BD111*VLOOKUP('Données projet'!$B$11,Paramètres!$A$1:$I$89,3,0)*VLOOKUP('Données projet'!$B$11,Paramètres!$A$1:$I$89,5,0)</f>
        <v>348.69120000000009</v>
      </c>
      <c r="BF111" s="13">
        <f t="shared" si="91"/>
        <v>81.292956992128126</v>
      </c>
      <c r="BG111" s="20">
        <f t="shared" si="61"/>
        <v>748.88907342795665</v>
      </c>
      <c r="BH111" s="59">
        <f t="shared" si="62"/>
        <v>1028.3741576179559</v>
      </c>
      <c r="BI111" s="59">
        <f ca="1">AVERAGE(OFFSET($BH$3,0,0,'Données projet'!$E$11+1,1))-AVERAGE(OFFSET($H$3,0,0,'Données projet'!$E$11+1,1))</f>
        <v>481.23392184981651</v>
      </c>
      <c r="BJ111" s="59">
        <f t="shared" si="92"/>
        <v>275.88160405468193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102.56018732451665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102.56018732451665</v>
      </c>
      <c r="BT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5.2499999999990337</v>
      </c>
      <c r="BZ111" s="13">
        <f>BY111*VLOOKUP('Données projet'!$B$12,Paramètres!$A$1:$I$89,3,0)*VLOOKUP('Données projet'!$B$12,Paramètres!$A$1:$I$89,5,0)</f>
        <v>2.4569999999995478</v>
      </c>
      <c r="CA111" s="13">
        <f t="shared" si="93"/>
        <v>1.0197977774625564</v>
      </c>
      <c r="CB111" s="20">
        <f t="shared" si="64"/>
        <v>6.0554227957464972</v>
      </c>
      <c r="CC111" s="59">
        <f t="shared" si="65"/>
        <v>285.54050698574582</v>
      </c>
      <c r="CD111" s="59">
        <f ca="1">AVERAGE(OFFSET($CC$3,0,0,'Données projet'!$E$12+1,1))-AVERAGE(OFFSET($H$3,0,0,'Données projet'!$E$12+1,1))</f>
        <v>331.86732359395467</v>
      </c>
      <c r="CE111" s="59">
        <f t="shared" si="94"/>
        <v>208.64489375183106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247.7473011436426</v>
      </c>
      <c r="CL111" s="21">
        <f>EXP(-LN(2)/25)*CL110+(1-EXP(-LN(2)/25))/(LN(2)/25)*Calculateur!CG111*Calculateur!CI111*VLOOKUP('Données projet'!$B$12,Paramètres!$A$1:$I$89,3,0)*0.475*44/12</f>
        <v>0</v>
      </c>
      <c r="CM111" s="21">
        <f>EXP(-LN(2)/2)*CM110+(1-EXP(-LN(2)/2))/(LN(2)/2)*CG111*CJ111*VLOOKUP('Données projet'!$B$12,Paramètres!$A$1:$I$89,3,0)*0.475*44/12</f>
        <v>0</v>
      </c>
      <c r="CN111" s="22">
        <f t="shared" si="66"/>
        <v>247.7473011436426</v>
      </c>
      <c r="CO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319</v>
      </c>
      <c r="CU111" s="17">
        <f>CT111*VLOOKUP('Données projet'!$B$13,Paramètres!$A$1:$I$89,3,0)*VLOOKUP('Données projet'!$B$13,Paramètres!$A$1:$I$89,5,0)</f>
        <v>233.89079999999998</v>
      </c>
      <c r="CV111" s="13">
        <f t="shared" si="95"/>
        <v>57.123140349023068</v>
      </c>
      <c r="CW111" s="20">
        <f t="shared" si="67"/>
        <v>506.84927944121517</v>
      </c>
      <c r="CX111" s="59">
        <f t="shared" si="68"/>
        <v>786.3343636312145</v>
      </c>
      <c r="CY111" s="59">
        <f ca="1">AVERAGE(OFFSET($CX$3,0,0,'Données projet'!$E$13+1,1))-AVERAGE(OFFSET($H$3,0,0,'Données projet'!$E$13+1,1))</f>
        <v>352.45777291109863</v>
      </c>
      <c r="CZ111" s="59">
        <f t="shared" si="96"/>
        <v>340.92165104349181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22.832240815930266</v>
      </c>
      <c r="DG111" s="21">
        <f>EXP(-LN(2)/25)*DG110+(1-EXP(-LN(2)/25))/(LN(2)/25)*Calculateur!DB111*Calculateur!DD111*VLOOKUP('Données projet'!$B$13,Paramètres!$A$1:$I$89,3,0)*0.475*44/12</f>
        <v>0</v>
      </c>
      <c r="DH111" s="21">
        <f>EXP(-LN(2)/2)*DH110+(1-EXP(-LN(2)/2))/(LN(2)/2)*DB111*DE111*VLOOKUP('Données projet'!$B$13,Paramètres!$A$1:$I$89,3,0)*0.475*44/12</f>
        <v>0</v>
      </c>
      <c r="DI111" s="22">
        <f t="shared" si="69"/>
        <v>22.832240815930266</v>
      </c>
      <c r="DJ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9.7110000000000021</v>
      </c>
      <c r="DO111" s="12">
        <f>IF('Données projet'!$A$166&gt;35,DO110+DN111-DW110,IF(A111&lt;'Données projet'!$A$166,$DL$205^A111,IF(A111='Données projet'!$A$166,'Données projet'!$B$166,DO110+DN111-DW110)))</f>
        <v>489.25900000000024</v>
      </c>
      <c r="DP111" s="17">
        <f>DO111*VLOOKUP('Données projet'!$B$14,Paramètres!$A$1:$I$89,3,0)*VLOOKUP('Données projet'!$B$14,Paramètres!$A$1:$I$89,5,0)</f>
        <v>328.19493720000014</v>
      </c>
      <c r="DQ111" s="13">
        <f t="shared" si="97"/>
        <v>77.055952219973165</v>
      </c>
      <c r="DR111" s="20">
        <f t="shared" si="70"/>
        <v>705.81196573978684</v>
      </c>
      <c r="DS111" s="59">
        <f t="shared" si="71"/>
        <v>985.29704992978623</v>
      </c>
      <c r="DT111" s="59">
        <f ca="1">AVERAGE(OFFSET($DS$3,0,0,'Données projet'!$E$14+1,1))-AVERAGE(OFFSET($H$3,0,0,'Données projet'!$E$14+1,1))</f>
        <v>441.20130048888439</v>
      </c>
      <c r="DU111" s="59">
        <f t="shared" si="98"/>
        <v>237.47732532183946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96.838645370108566</v>
      </c>
      <c r="EB111" s="21">
        <f>EXP(-LN(2)/25)*EB110+(1-EXP(-LN(2)/25))/(LN(2)/25)*Calculateur!DW111*Calculateur!DY111*VLOOKUP('Données projet'!$B$14,Paramètres!$A$1:$I$89,3,0)*0.475*44/12</f>
        <v>0</v>
      </c>
      <c r="EC111" s="21">
        <f>EXP(-LN(2)/2)*EC110+(1-EXP(-LN(2)/2))/(LN(2)/2)*DW111*DZ111*VLOOKUP('Données projet'!$B$14,Paramètres!$A$1:$I$89,3,0)*0.475*44/12</f>
        <v>0</v>
      </c>
      <c r="ED111" s="22">
        <f t="shared" si="72"/>
        <v>96.838645370108566</v>
      </c>
      <c r="EE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319</v>
      </c>
      <c r="EK111" s="17">
        <f>EJ111*VLOOKUP('Données projet'!$B$15,Paramètres!$A$1:$I$89,3,0)*VLOOKUP('Données projet'!$B$15,Paramètres!$A$1:$I$89,5,0)</f>
        <v>253.79640000000001</v>
      </c>
      <c r="EL111" s="13">
        <f t="shared" si="99"/>
        <v>61.39816832228076</v>
      </c>
      <c r="EM111" s="20">
        <f t="shared" si="73"/>
        <v>548.96387316130563</v>
      </c>
      <c r="EN111" s="59">
        <f t="shared" si="74"/>
        <v>828.4489573513049</v>
      </c>
      <c r="EO111" s="59">
        <f ca="1">AVERAGE(OFFSET($EN$3,0,0,'Données projet'!$E$15+1,1))-AVERAGE(OFFSET($H$3,0,0,'Données projet'!$E$15+1,1))</f>
        <v>377.27600411578322</v>
      </c>
      <c r="EP111" s="59">
        <f t="shared" si="100"/>
        <v>364.58250627635425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>
        <f>EXP(-LN(2)/35)*EV110+(1-EXP(-LN(2)/35))/(LN(2)/35)*ER111*ES111*VLOOKUP('Données projet'!$B$15,Paramètres!$A$1:$I$89,3,0)*0.475*44/12</f>
        <v>30.537133560346124</v>
      </c>
      <c r="EW111" s="21">
        <f>EXP(-LN(2)/25)*EW110+(1-EXP(-LN(2)/25))/(LN(2)/25)*Calculateur!ER111*Calculateur!ET111*VLOOKUP('Données projet'!$B$15,Paramètres!$A$1:$I$89,3,0)*0.475*44/12</f>
        <v>0</v>
      </c>
      <c r="EX111" s="21">
        <f>EXP(-LN(2)/2)*EX110+(1-EXP(-LN(2)/2))/(LN(2)/2)*ER111*EU111*VLOOKUP('Données projet'!$B$15,Paramètres!$A$1:$I$89,3,0)*0.475*44/12</f>
        <v>0</v>
      </c>
      <c r="EY111" s="22">
        <f t="shared" si="75"/>
        <v>30.537133560346124</v>
      </c>
      <c r="EZ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319</v>
      </c>
      <c r="FF111" s="17">
        <f>FE111*VLOOKUP('Données projet'!$B$16,Paramètres!$A$1:$I$89,3,0)*VLOOKUP('Données projet'!$B$16,Paramètres!$A$1:$I$89,5,0)</f>
        <v>258.77280000000002</v>
      </c>
      <c r="FG111" s="13">
        <f t="shared" si="101"/>
        <v>62.460716522234691</v>
      </c>
      <c r="FH111" s="20">
        <f t="shared" si="76"/>
        <v>559.48170794289206</v>
      </c>
      <c r="FI111" s="59">
        <f t="shared" si="77"/>
        <v>838.96679213289144</v>
      </c>
      <c r="FJ111" s="59">
        <f ca="1">AVERAGE(OFFSET($FI$3,0,0,'Données projet'!$E$16+1,1))-AVERAGE(OFFSET($H$3,0,0,'Données projet'!$E$16+1,1))</f>
        <v>383.47399633251354</v>
      </c>
      <c r="FK111" s="59">
        <f t="shared" si="102"/>
        <v>370.49129421395628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>
        <f>EXP(-LN(2)/35)*FQ110+(1-EXP(-LN(2)/35))/(LN(2)/35)*FM111*FN111*VLOOKUP('Données projet'!$B$16,Paramètres!$A$1:$I$89,3,0)*0.475*44/12</f>
        <v>31.135900885058813</v>
      </c>
      <c r="FR111" s="21">
        <f>EXP(-LN(2)/25)*FR110+(1-EXP(-LN(2)/25))/(LN(2)/25)*Calculateur!FM111*Calculateur!FO111*VLOOKUP('Données projet'!$B$16,Paramètres!$A$1:$I$89,3,0)*0.475*44/12</f>
        <v>0</v>
      </c>
      <c r="FS111" s="21">
        <f>EXP(-LN(2)/2)*FS110+(1-EXP(-LN(2)/2))/(LN(2)/2)*FM111*FP111*VLOOKUP('Données projet'!$B$16,Paramètres!$A$1:$I$89,3,0)*0.475*44/12</f>
        <v>0</v>
      </c>
      <c r="FT111" s="22">
        <f t="shared" si="78"/>
        <v>31.135900885058813</v>
      </c>
      <c r="FU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9.7110000000000021</v>
      </c>
      <c r="FZ111" s="12">
        <f>IF('Données projet'!$A$244&gt;35,FZ110+FY111-GH110,IF(A111&lt;'Données projet'!$A$244,$FW$205^A111,IF(A111='Données projet'!$A$244,'Données projet'!$B$244,FZ110+FY111-GH110)))</f>
        <v>489.25900000000024</v>
      </c>
      <c r="GA111" s="17">
        <f>FZ111*VLOOKUP('Données projet'!$B$17,Paramètres!$A$1:$I$89,3,0)*VLOOKUP('Données projet'!$B$17,Paramètres!$A$1:$I$89,5,0)</f>
        <v>465.57886440000021</v>
      </c>
      <c r="GB111" s="13">
        <f t="shared" si="103"/>
        <v>104.95204529259286</v>
      </c>
      <c r="GC111" s="20">
        <f t="shared" si="79"/>
        <v>993.67466771459942</v>
      </c>
      <c r="GD111" s="59">
        <f t="shared" si="80"/>
        <v>1273.1597519045988</v>
      </c>
      <c r="GE111" s="59">
        <f ca="1">AVERAGE(OFFSET($GD$3,0,0,'Données projet'!$E$17+1,1))-AVERAGE(OFFSET($H$3,0,0,'Données projet'!$E$17+1,1))</f>
        <v>592.58528889137358</v>
      </c>
      <c r="GF111" s="59">
        <f t="shared" si="104"/>
        <v>311.31528020403709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>
        <f>EXP(-LN(2)/35)*GL110+(1-EXP(-LN(2)/35))/(LN(2)/35)*GH111*GI111*VLOOKUP('Données projet'!$B$17,Paramètres!$A$1:$I$89,3,0)*0.475*44/12</f>
        <v>111.45579938823818</v>
      </c>
      <c r="GM111" s="21">
        <f>EXP(-LN(2)/25)*GM110+(1-EXP(-LN(2)/25))/(LN(2)/25)*Calculateur!GH111*Calculateur!GJ111*VLOOKUP('Données projet'!$B$17,Paramètres!$A$1:$I$89,3,0)*0.475*44/12</f>
        <v>0</v>
      </c>
      <c r="GN111" s="21">
        <f>EXP(-LN(2)/2)*GN110+(1-EXP(-LN(2)/2))/(LN(2)/2)*GH111*GK111*VLOOKUP('Données projet'!$B$17,Paramètres!$A$1:$I$89,3,0)*0.475*44/12</f>
        <v>0</v>
      </c>
      <c r="GO111" s="21">
        <f t="shared" si="81"/>
        <v>111.45579938823818</v>
      </c>
      <c r="GP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328.00000000000006</v>
      </c>
      <c r="GV111" s="17">
        <f>GU111*VLOOKUP('Données projet'!$B$18,Paramètres!$A$1:$I$89,3,0)*VLOOKUP('Données projet'!$B$18,Paramètres!$A$1:$I$89,5,0)</f>
        <v>255.84000000000006</v>
      </c>
      <c r="GW111" s="13">
        <f t="shared" si="105"/>
        <v>61.834803371075836</v>
      </c>
      <c r="GX111" s="20">
        <f t="shared" si="82"/>
        <v>553.28361587129041</v>
      </c>
      <c r="GY111" s="59">
        <f t="shared" si="83"/>
        <v>832.76870006128979</v>
      </c>
      <c r="GZ111" s="59">
        <f ca="1">AVERAGE(OFFSET($GY$3,0,0,'Données projet'!$E$18+1,1))-AVERAGE(OFFSET($H$3,0,0,'Données projet'!$E$18+1,1))</f>
        <v>308.85018589589453</v>
      </c>
      <c r="HA111" s="59">
        <f t="shared" si="106"/>
        <v>302.59481222418219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>
        <f>EXP(-LN(2)/35)*HG110+(1-EXP(-LN(2)/35))/(LN(2)/35)*HC111*HD111*VLOOKUP('Données projet'!$B$18,Paramètres!$A$1:$I$89,3,0)*0.475*44/12</f>
        <v>23.271610596341347</v>
      </c>
      <c r="HH111" s="21">
        <f>EXP(-LN(2)/25)*HH110+(1-EXP(-LN(2)/25))/(LN(2)/25)*Calculateur!HC111*Calculateur!HE111*VLOOKUP('Données projet'!$B$18,Paramètres!$A$1:$I$89,3,0)*0.475*44/12</f>
        <v>0</v>
      </c>
      <c r="HI111" s="21">
        <f>EXP(-LN(2)/2)*HI110+(1-EXP(-LN(2)/2))/(LN(2)/2)*HC111*HF111*VLOOKUP('Données projet'!$B$18,Paramètres!$A$1:$I$89,3,0)*0.475*44/12</f>
        <v>0</v>
      </c>
      <c r="HJ111" s="22">
        <f t="shared" si="84"/>
        <v>23.271610596341347</v>
      </c>
    </row>
    <row r="112" spans="1:218" x14ac:dyDescent="0.35">
      <c r="A112" s="10">
        <f t="shared" si="85"/>
        <v>109</v>
      </c>
      <c r="B112" s="72">
        <f>'Scénario référence'!$B$16*5+'Scénario référence'!$B$17*0+'Scénario référence'!$B$18*5</f>
        <v>5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66">
        <f t="shared" si="56"/>
        <v>183.33333333333334</v>
      </c>
      <c r="I112" s="6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>
        <f>VLOOKUP(A112,'Données projet'!$A$35:$I$55,2,0)</f>
        <v>498.97</v>
      </c>
      <c r="L112" s="12">
        <f>VLOOKUP(A112,'Données projet'!$A$35:$I$55,9,0)</f>
        <v>9.7110000000000021</v>
      </c>
      <c r="M112" s="12">
        <f t="array" ref="M112">INDEX(L:L,MIN(IF(ISNUMBER(L112:L308),ROW(L112:L308),"")))</f>
        <v>9.7110000000000021</v>
      </c>
      <c r="N112" s="13">
        <f>IF('Données projet'!$A$36&gt;35,N111+M112-V111,IF(A112&lt;'Données projet'!$A$36,$K$205^A112,IF(A112='Données projet'!$A$36,'Données projet'!$B$36,N111+M112-V111)))</f>
        <v>498.97000000000025</v>
      </c>
      <c r="O112" s="13">
        <f>N112*VLOOKUP('Données projet'!$B$9,Paramètres!$A$1:$I$89,3,0)*VLOOKUP('Données projet'!$B$9,Paramètres!$A$1:$I$89,5,0)</f>
        <v>451.46805600000022</v>
      </c>
      <c r="P112" s="13">
        <f t="shared" si="87"/>
        <v>102.13639049659324</v>
      </c>
      <c r="Q112" s="20">
        <f t="shared" si="107"/>
        <v>964.19441098156688</v>
      </c>
      <c r="R112" s="59">
        <f t="shared" si="55"/>
        <v>1243.919731334156</v>
      </c>
      <c r="S112" s="59">
        <f ca="1">AVERAGE(OFFSET($R$3,0,0,'Données projet'!$E$9+1,1))-AVERAGE(OFFSET($H$3,0,0,'Données projet'!$E$9+1,1))</f>
        <v>567.42635821507474</v>
      </c>
      <c r="T112" s="59">
        <f t="shared" si="88"/>
        <v>299.04735309930152</v>
      </c>
      <c r="U112" s="15">
        <f>IF(ISNA(VLOOKUP(A112,'Données projet'!$A$35:$I$55,3,0)),0,VLOOKUP(A112,'Données projet'!$A$35:$I$55,3,0))</f>
        <v>10</v>
      </c>
      <c r="V112" s="15">
        <f>IF(ISNA(VLOOKUP(A112,'Données projet'!$A$35:$I$55,4,0)),0,VLOOKUP(A112,'Données projet'!$A$35:$I$55,4,0))</f>
        <v>66.959999999999994</v>
      </c>
      <c r="W112" s="16">
        <f>IF(ISNA(VLOOKUP(A112,'Données projet'!$A$35:$I$55,5,0)),0%,VLOOKUP(A112,'Données projet'!$A$35:$I$55,5,0)*VLOOKUP('Données projet'!$B$9,Paramètres!$A$1:$I$89,7,0))</f>
        <v>0.43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132.69568474942321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132.69568474942321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>
        <f>VLOOKUP(A112,'Données projet'!$A$61:$I$81,2,0)</f>
        <v>498.97</v>
      </c>
      <c r="AG112" s="12">
        <f>VLOOKUP(A112,'Données projet'!$A$61:$I$81,9,0)</f>
        <v>9.7110000000000021</v>
      </c>
      <c r="AH112" s="12">
        <f t="array" ref="AH112">INDEX(AG:AG,MIN(IF(ISNUMBER(AG112:AG308),ROW(AG112:AG308),"")))</f>
        <v>9.7110000000000021</v>
      </c>
      <c r="AI112" s="13">
        <f>IF('Données projet'!$A$62&gt;35,AI111+AH112-AQ111,IF(A112&lt;'Données projet'!$A$62,$AF$205^A112,IF(A112='Données projet'!$A$62,'Données projet'!$B$62,AI111+AH112-AQ111)))</f>
        <v>498.97000000000025</v>
      </c>
      <c r="AJ112" s="13">
        <f>AI112*VLOOKUP('Données projet'!$B$10,Paramètres!$A$1:$I$89,3,0)*VLOOKUP('Données projet'!$B$10,Paramètres!$A$1:$I$89,5,0)</f>
        <v>505.95558000000034</v>
      </c>
      <c r="AK112" s="13">
        <f t="shared" si="89"/>
        <v>112.9550813347188</v>
      </c>
      <c r="AL112" s="20">
        <f t="shared" si="58"/>
        <v>1077.9360684913026</v>
      </c>
      <c r="AM112" s="59">
        <f t="shared" si="59"/>
        <v>1357.6613888438919</v>
      </c>
      <c r="AN112" s="59">
        <f ca="1">AVERAGE(OFFSET($AM$3,0,0,'Données projet'!$E$10+1,1))-AVERAGE(OFFSET($H$3,0,0,'Données projet'!$E$10+1,1))</f>
        <v>626.09203985591455</v>
      </c>
      <c r="AO112" s="59">
        <f t="shared" si="90"/>
        <v>327.65191296575199</v>
      </c>
      <c r="AP112" s="15">
        <f>IF(ISNA(VLOOKUP(A112,'Données projet'!$A$61:$I$81,3,0)),0,VLOOKUP(A112,'Données projet'!$A$61:$I$81,3,0))</f>
        <v>10</v>
      </c>
      <c r="AQ112" s="15">
        <f>IF(ISNA(VLOOKUP(A112,'Données projet'!$A$61:$I$81,4,0)),0,VLOOKUP(A112,'Données projet'!$A$61:$I$81,4,0))</f>
        <v>66.959999999999994</v>
      </c>
      <c r="AR112" s="16">
        <f>IF(ISNA(VLOOKUP(A112,'Données projet'!$A$61:$I$81,5,0)),0%,VLOOKUP(A112,'Données projet'!$A$61:$I$81,5,0)*VLOOKUP('Données projet'!$B$10,Paramètres!$A$1:$I$89,7,0))</f>
        <v>0.43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148.71068118469847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148.71068118469847</v>
      </c>
      <c r="AY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6.8</v>
      </c>
      <c r="BD112" s="12">
        <f>IF('Données projet'!$A$88&gt;35,BD111+BC112-BL111,IF(A112&lt;'Données projet'!$A$88,$BA$205^A112,IF(A112='Données projet'!$A$88,'Données projet'!$B$88,BD111+BC112-BL111)))</f>
        <v>413.20000000000005</v>
      </c>
      <c r="BE112" s="13">
        <f>BD112*VLOOKUP('Données projet'!$B$11,Paramètres!$A$1:$I$89,3,0)*VLOOKUP('Données projet'!$B$11,Paramètres!$A$1:$I$89,5,0)</f>
        <v>354.52560000000011</v>
      </c>
      <c r="BF112" s="13">
        <f t="shared" si="91"/>
        <v>82.493681359778094</v>
      </c>
      <c r="BG112" s="20">
        <f t="shared" si="61"/>
        <v>761.14191503494703</v>
      </c>
      <c r="BH112" s="59">
        <f t="shared" si="62"/>
        <v>1040.8672353875363</v>
      </c>
      <c r="BI112" s="59">
        <f ca="1">AVERAGE(OFFSET($BH$3,0,0,'Données projet'!$E$11+1,1))-AVERAGE(OFFSET($H$3,0,0,'Données projet'!$E$11+1,1))</f>
        <v>481.23392184981651</v>
      </c>
      <c r="BJ112" s="59">
        <f t="shared" si="92"/>
        <v>275.88160405468193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100.5490446066203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100.5490446066203</v>
      </c>
      <c r="BT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5.2499999999990337</v>
      </c>
      <c r="BZ112" s="13">
        <f>BY112*VLOOKUP('Données projet'!$B$12,Paramètres!$A$1:$I$89,3,0)*VLOOKUP('Données projet'!$B$12,Paramètres!$A$1:$I$89,5,0)</f>
        <v>2.4569999999995478</v>
      </c>
      <c r="CA112" s="13">
        <f t="shared" si="93"/>
        <v>1.0197977774625564</v>
      </c>
      <c r="CB112" s="20">
        <f t="shared" si="64"/>
        <v>6.0554227957464972</v>
      </c>
      <c r="CC112" s="59">
        <f t="shared" si="65"/>
        <v>285.78074314833577</v>
      </c>
      <c r="CD112" s="59">
        <f ca="1">AVERAGE(OFFSET($CC$3,0,0,'Données projet'!$E$12+1,1))-AVERAGE(OFFSET($H$3,0,0,'Données projet'!$E$12+1,1))</f>
        <v>331.86732359395467</v>
      </c>
      <c r="CE112" s="59">
        <f t="shared" si="94"/>
        <v>208.64489375183106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242.88912767914852</v>
      </c>
      <c r="CL112" s="21">
        <f>EXP(-LN(2)/25)*CL111+(1-EXP(-LN(2)/25))/(LN(2)/25)*Calculateur!CG112*Calculateur!CI112*VLOOKUP('Données projet'!$B$12,Paramètres!$A$1:$I$89,3,0)*0.475*44/12</f>
        <v>0</v>
      </c>
      <c r="CM112" s="21">
        <f>EXP(-LN(2)/2)*CM111+(1-EXP(-LN(2)/2))/(LN(2)/2)*CG112*CJ112*VLOOKUP('Données projet'!$B$12,Paramètres!$A$1:$I$89,3,0)*0.475*44/12</f>
        <v>0</v>
      </c>
      <c r="CN112" s="22">
        <f t="shared" si="66"/>
        <v>242.88912767914852</v>
      </c>
      <c r="CO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319</v>
      </c>
      <c r="CU112" s="17">
        <f>CT112*VLOOKUP('Données projet'!$B$13,Paramètres!$A$1:$I$89,3,0)*VLOOKUP('Données projet'!$B$13,Paramètres!$A$1:$I$89,5,0)</f>
        <v>233.89079999999998</v>
      </c>
      <c r="CV112" s="13">
        <f t="shared" si="95"/>
        <v>57.123140349023068</v>
      </c>
      <c r="CW112" s="20">
        <f t="shared" si="67"/>
        <v>506.84927944121517</v>
      </c>
      <c r="CX112" s="59">
        <f t="shared" si="68"/>
        <v>786.57459979380451</v>
      </c>
      <c r="CY112" s="59">
        <f ca="1">AVERAGE(OFFSET($CX$3,0,0,'Données projet'!$E$13+1,1))-AVERAGE(OFFSET($H$3,0,0,'Données projet'!$E$13+1,1))</f>
        <v>352.45777291109863</v>
      </c>
      <c r="CZ112" s="59">
        <f t="shared" si="96"/>
        <v>340.92165104349181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22.384514499821663</v>
      </c>
      <c r="DG112" s="21">
        <f>EXP(-LN(2)/25)*DG111+(1-EXP(-LN(2)/25))/(LN(2)/25)*Calculateur!DB112*Calculateur!DD112*VLOOKUP('Données projet'!$B$13,Paramètres!$A$1:$I$89,3,0)*0.475*44/12</f>
        <v>0</v>
      </c>
      <c r="DH112" s="21">
        <f>EXP(-LN(2)/2)*DH111+(1-EXP(-LN(2)/2))/(LN(2)/2)*DB112*DE112*VLOOKUP('Données projet'!$B$13,Paramètres!$A$1:$I$89,3,0)*0.475*44/12</f>
        <v>0</v>
      </c>
      <c r="DI112" s="22">
        <f t="shared" si="69"/>
        <v>22.384514499821663</v>
      </c>
      <c r="DJ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>
        <f>VLOOKUP(A112,'Données projet'!$A$165:$I$185,2,0)</f>
        <v>498.97</v>
      </c>
      <c r="DM112" s="12">
        <f>VLOOKUP(A112,'Données projet'!$A$165:$I$185,9,0)</f>
        <v>9.7110000000000021</v>
      </c>
      <c r="DN112" s="12">
        <f t="array" ref="DN112">INDEX(DM:DM,MIN(IF(ISNUMBER(DM112:DM308),ROW(DM112:DM308),"")))</f>
        <v>9.7110000000000021</v>
      </c>
      <c r="DO112" s="12">
        <f>IF('Données projet'!$A$166&gt;35,DO111+DN112-DW111,IF(A112&lt;'Données projet'!$A$166,$DL$205^A112,IF(A112='Données projet'!$A$166,'Données projet'!$B$166,DO111+DN112-DW111)))</f>
        <v>498.97000000000025</v>
      </c>
      <c r="DP112" s="17">
        <f>DO112*VLOOKUP('Données projet'!$B$14,Paramètres!$A$1:$I$89,3,0)*VLOOKUP('Données projet'!$B$14,Paramètres!$A$1:$I$89,5,0)</f>
        <v>334.70907600000015</v>
      </c>
      <c r="DQ112" s="13">
        <f t="shared" si="97"/>
        <v>78.405812208344784</v>
      </c>
      <c r="DR112" s="20">
        <f t="shared" si="70"/>
        <v>719.5084302962008</v>
      </c>
      <c r="DS112" s="59">
        <f t="shared" si="71"/>
        <v>999.23375064879008</v>
      </c>
      <c r="DT112" s="59">
        <f ca="1">AVERAGE(OFFSET($DS$3,0,0,'Données projet'!$E$14+1,1))-AVERAGE(OFFSET($H$3,0,0,'Données projet'!$E$14+1,1))</f>
        <v>441.20130048888439</v>
      </c>
      <c r="DU112" s="59">
        <f t="shared" si="98"/>
        <v>237.47732532183946</v>
      </c>
      <c r="DV112" s="15">
        <f>IF(ISNA(VLOOKUP(A112,'Données projet'!$A$165:$I$185,3,0)),0,VLOOKUP(A112,'Données projet'!$A$165:$I$185,3,0))</f>
        <v>10</v>
      </c>
      <c r="DW112" s="15">
        <f>IF(ISNA(VLOOKUP(A112,'Données projet'!$A$165:$I$185,4,0)),0,VLOOKUP(A112,'Données projet'!$A$165:$I$185,4,0))</f>
        <v>66.959999999999994</v>
      </c>
      <c r="DX112" s="16">
        <f>IF(ISNA(VLOOKUP(A112,'Données projet'!$A$165:$I$185,5,0)),0%,VLOOKUP(A112,'Données projet'!$A$165:$I$185,5,0)*VLOOKUP('Données projet'!$B$14,Paramètres!$A$1:$I$89,7,0))</f>
        <v>0.53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121.25640158136949</v>
      </c>
      <c r="EB112" s="21">
        <f>EXP(-LN(2)/25)*EB111+(1-EXP(-LN(2)/25))/(LN(2)/25)*Calculateur!DW112*Calculateur!DY112*VLOOKUP('Données projet'!$B$14,Paramètres!$A$1:$I$89,3,0)*0.475*44/12</f>
        <v>0</v>
      </c>
      <c r="EC112" s="21">
        <f>EXP(-LN(2)/2)*EC111+(1-EXP(-LN(2)/2))/(LN(2)/2)*DW112*DZ112*VLOOKUP('Données projet'!$B$14,Paramètres!$A$1:$I$89,3,0)*0.475*44/12</f>
        <v>0</v>
      </c>
      <c r="ED112" s="22">
        <f t="shared" si="72"/>
        <v>121.25640158136949</v>
      </c>
      <c r="EE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319</v>
      </c>
      <c r="EK112" s="17">
        <f>EJ112*VLOOKUP('Données projet'!$B$15,Paramètres!$A$1:$I$89,3,0)*VLOOKUP('Données projet'!$B$15,Paramètres!$A$1:$I$89,5,0)</f>
        <v>253.79640000000001</v>
      </c>
      <c r="EL112" s="13">
        <f t="shared" si="99"/>
        <v>61.39816832228076</v>
      </c>
      <c r="EM112" s="20">
        <f t="shared" si="73"/>
        <v>548.96387316130563</v>
      </c>
      <c r="EN112" s="59">
        <f t="shared" si="74"/>
        <v>828.68919351389491</v>
      </c>
      <c r="EO112" s="59">
        <f ca="1">AVERAGE(OFFSET($EN$3,0,0,'Données projet'!$E$15+1,1))-AVERAGE(OFFSET($H$3,0,0,'Données projet'!$E$15+1,1))</f>
        <v>377.27600411578322</v>
      </c>
      <c r="EP112" s="59">
        <f t="shared" si="100"/>
        <v>364.58250627635425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>
        <f>EXP(-LN(2)/35)*EV111+(1-EXP(-LN(2)/35))/(LN(2)/35)*ER112*ES112*VLOOKUP('Données projet'!$B$15,Paramètres!$A$1:$I$89,3,0)*0.475*44/12</f>
        <v>29.938318997040064</v>
      </c>
      <c r="EW112" s="21">
        <f>EXP(-LN(2)/25)*EW111+(1-EXP(-LN(2)/25))/(LN(2)/25)*Calculateur!ER112*Calculateur!ET112*VLOOKUP('Données projet'!$B$15,Paramètres!$A$1:$I$89,3,0)*0.475*44/12</f>
        <v>0</v>
      </c>
      <c r="EX112" s="21">
        <f>EXP(-LN(2)/2)*EX111+(1-EXP(-LN(2)/2))/(LN(2)/2)*ER112*EU112*VLOOKUP('Données projet'!$B$15,Paramètres!$A$1:$I$89,3,0)*0.475*44/12</f>
        <v>0</v>
      </c>
      <c r="EY112" s="22">
        <f t="shared" si="75"/>
        <v>29.938318997040064</v>
      </c>
      <c r="EZ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319</v>
      </c>
      <c r="FF112" s="17">
        <f>FE112*VLOOKUP('Données projet'!$B$16,Paramètres!$A$1:$I$89,3,0)*VLOOKUP('Données projet'!$B$16,Paramètres!$A$1:$I$89,5,0)</f>
        <v>258.77280000000002</v>
      </c>
      <c r="FG112" s="13">
        <f t="shared" si="101"/>
        <v>62.460716522234691</v>
      </c>
      <c r="FH112" s="20">
        <f t="shared" si="76"/>
        <v>559.48170794289206</v>
      </c>
      <c r="FI112" s="59">
        <f t="shared" si="77"/>
        <v>839.20702829548134</v>
      </c>
      <c r="FJ112" s="59">
        <f ca="1">AVERAGE(OFFSET($FI$3,0,0,'Données projet'!$E$16+1,1))-AVERAGE(OFFSET($H$3,0,0,'Données projet'!$E$16+1,1))</f>
        <v>383.47399633251354</v>
      </c>
      <c r="FK112" s="59">
        <f t="shared" si="102"/>
        <v>370.49129421395628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>
        <f>EXP(-LN(2)/35)*FQ111+(1-EXP(-LN(2)/35))/(LN(2)/35)*FM112*FN112*VLOOKUP('Données projet'!$B$16,Paramètres!$A$1:$I$89,3,0)*0.475*44/12</f>
        <v>30.525344859727142</v>
      </c>
      <c r="FR112" s="21">
        <f>EXP(-LN(2)/25)*FR111+(1-EXP(-LN(2)/25))/(LN(2)/25)*Calculateur!FM112*Calculateur!FO112*VLOOKUP('Données projet'!$B$16,Paramètres!$A$1:$I$89,3,0)*0.475*44/12</f>
        <v>0</v>
      </c>
      <c r="FS112" s="21">
        <f>EXP(-LN(2)/2)*FS111+(1-EXP(-LN(2)/2))/(LN(2)/2)*FM112*FP112*VLOOKUP('Données projet'!$B$16,Paramètres!$A$1:$I$89,3,0)*0.475*44/12</f>
        <v>0</v>
      </c>
      <c r="FT112" s="22">
        <f t="shared" si="78"/>
        <v>30.525344859727142</v>
      </c>
      <c r="FU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>
        <f>VLOOKUP(A112,'Données projet'!$A$243:$I$263,2,0)</f>
        <v>498.97</v>
      </c>
      <c r="FX112" s="12">
        <f>VLOOKUP(A112,'Données projet'!$A$243:$I$263,9,0)</f>
        <v>9.7110000000000021</v>
      </c>
      <c r="FY112" s="12">
        <f t="array" ref="FY112">INDEX(FX:FX,MIN(IF(ISNUMBER(FX112:FX308),ROW(FX112:FX308),"")))</f>
        <v>9.7110000000000021</v>
      </c>
      <c r="FZ112" s="12">
        <f>IF('Données projet'!$A$244&gt;35,FZ111+FY112-GH111,IF(A112&lt;'Données projet'!$A$244,$FW$205^A112,IF(A112='Données projet'!$A$244,'Données projet'!$B$244,FZ111+FY112-GH111)))</f>
        <v>498.97000000000025</v>
      </c>
      <c r="GA112" s="17">
        <f>FZ112*VLOOKUP('Données projet'!$B$17,Paramètres!$A$1:$I$89,3,0)*VLOOKUP('Données projet'!$B$17,Paramètres!$A$1:$I$89,5,0)</f>
        <v>474.81985200000025</v>
      </c>
      <c r="GB112" s="13">
        <f t="shared" si="103"/>
        <v>106.79058680115537</v>
      </c>
      <c r="GC112" s="20">
        <f t="shared" si="79"/>
        <v>1012.971514245346</v>
      </c>
      <c r="GD112" s="59">
        <f t="shared" si="80"/>
        <v>1292.6968345979353</v>
      </c>
      <c r="GE112" s="59">
        <f ca="1">AVERAGE(OFFSET($GD$3,0,0,'Données projet'!$E$17+1,1))-AVERAGE(OFFSET($H$3,0,0,'Données projet'!$E$17+1,1))</f>
        <v>592.58528889137358</v>
      </c>
      <c r="GF112" s="59">
        <f t="shared" si="104"/>
        <v>311.31528020403709</v>
      </c>
      <c r="GG112" s="15">
        <f>IF(ISNA(VLOOKUP(A112,'Données projet'!$A$243:$I$263,3,0)),0,VLOOKUP(A112,'Données projet'!$A$243:$I$263,3,0))</f>
        <v>10</v>
      </c>
      <c r="GH112" s="15">
        <f>IF(ISNA(VLOOKUP(A112,'Données projet'!$A$243:$I$263,4,0)),0,VLOOKUP(A112,'Données projet'!$A$243:$I$263,4,0))</f>
        <v>66.959999999999994</v>
      </c>
      <c r="GI112" s="16">
        <f>IF(ISNA(VLOOKUP(A112,'Données projet'!$A$243:$I$263,5,0)),0%,VLOOKUP(A112,'Données projet'!$A$243:$I$263,5,0)*VLOOKUP('Données projet'!$B$17,Paramètres!$A$1:$I$89,7,0))</f>
        <v>0.43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>
        <f>EXP(-LN(2)/35)*GL111+(1-EXP(-LN(2)/35))/(LN(2)/35)*GH112*GI112*VLOOKUP('Données projet'!$B$17,Paramètres!$A$1:$I$89,3,0)*0.475*44/12</f>
        <v>139.55925465025547</v>
      </c>
      <c r="GM112" s="21">
        <f>EXP(-LN(2)/25)*GM111+(1-EXP(-LN(2)/25))/(LN(2)/25)*Calculateur!GH112*Calculateur!GJ112*VLOOKUP('Données projet'!$B$17,Paramètres!$A$1:$I$89,3,0)*0.475*44/12</f>
        <v>0</v>
      </c>
      <c r="GN112" s="21">
        <f>EXP(-LN(2)/2)*GN111+(1-EXP(-LN(2)/2))/(LN(2)/2)*GH112*GK112*VLOOKUP('Données projet'!$B$17,Paramètres!$A$1:$I$89,3,0)*0.475*44/12</f>
        <v>0</v>
      </c>
      <c r="GO112" s="21">
        <f t="shared" si="81"/>
        <v>139.55925465025547</v>
      </c>
      <c r="GP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328.00000000000006</v>
      </c>
      <c r="GV112" s="17">
        <f>GU112*VLOOKUP('Données projet'!$B$18,Paramètres!$A$1:$I$89,3,0)*VLOOKUP('Données projet'!$B$18,Paramètres!$A$1:$I$89,5,0)</f>
        <v>255.84000000000006</v>
      </c>
      <c r="GW112" s="13">
        <f t="shared" si="105"/>
        <v>61.834803371075836</v>
      </c>
      <c r="GX112" s="20">
        <f t="shared" si="82"/>
        <v>553.28361587129041</v>
      </c>
      <c r="GY112" s="59">
        <f t="shared" si="83"/>
        <v>833.00893622387969</v>
      </c>
      <c r="GZ112" s="59">
        <f ca="1">AVERAGE(OFFSET($GY$3,0,0,'Données projet'!$E$18+1,1))-AVERAGE(OFFSET($H$3,0,0,'Données projet'!$E$18+1,1))</f>
        <v>308.85018589589453</v>
      </c>
      <c r="HA112" s="59">
        <f t="shared" si="106"/>
        <v>302.59481222418219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>
        <f>EXP(-LN(2)/35)*HG111+(1-EXP(-LN(2)/35))/(LN(2)/35)*HC112*HD112*VLOOKUP('Données projet'!$B$18,Paramètres!$A$1:$I$89,3,0)*0.475*44/12</f>
        <v>22.815268506827987</v>
      </c>
      <c r="HH112" s="21">
        <f>EXP(-LN(2)/25)*HH111+(1-EXP(-LN(2)/25))/(LN(2)/25)*Calculateur!HC112*Calculateur!HE112*VLOOKUP('Données projet'!$B$18,Paramètres!$A$1:$I$89,3,0)*0.475*44/12</f>
        <v>0</v>
      </c>
      <c r="HI112" s="21">
        <f>EXP(-LN(2)/2)*HI111+(1-EXP(-LN(2)/2))/(LN(2)/2)*HC112*HF112*VLOOKUP('Données projet'!$B$18,Paramètres!$A$1:$I$89,3,0)*0.475*44/12</f>
        <v>0</v>
      </c>
      <c r="HJ112" s="22">
        <f t="shared" si="84"/>
        <v>22.815268506827987</v>
      </c>
    </row>
    <row r="113" spans="1:218" x14ac:dyDescent="0.35">
      <c r="A113" s="10">
        <f t="shared" si="85"/>
        <v>110</v>
      </c>
      <c r="B113" s="72">
        <f>'Scénario référence'!$B$16*5+'Scénario référence'!$B$17*0+'Scénario référence'!$B$18*5</f>
        <v>5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66">
        <f t="shared" si="56"/>
        <v>183.33333333333334</v>
      </c>
      <c r="I113" s="6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9.4029999999999916</v>
      </c>
      <c r="N113" s="13">
        <f>IF('Données projet'!$A$36&gt;35,N112+M113-V112,IF(A113&lt;'Données projet'!$A$36,$K$205^A113,IF(A113='Données projet'!$A$36,'Données projet'!$B$36,N112+M113-V112)))</f>
        <v>441.4130000000003</v>
      </c>
      <c r="O113" s="13">
        <f>N113*VLOOKUP('Données projet'!$B$9,Paramètres!$A$1:$I$89,3,0)*VLOOKUP('Données projet'!$B$9,Paramètres!$A$1:$I$89,5,0)</f>
        <v>399.39048240000028</v>
      </c>
      <c r="P113" s="13">
        <f t="shared" si="87"/>
        <v>91.653083916792113</v>
      </c>
      <c r="Q113" s="20">
        <f t="shared" si="107"/>
        <v>855.23421133508009</v>
      </c>
      <c r="R113" s="59">
        <f t="shared" si="55"/>
        <v>1135.195600289926</v>
      </c>
      <c r="S113" s="59">
        <f ca="1">AVERAGE(OFFSET($R$3,0,0,'Données projet'!$E$9+1,1))-AVERAGE(OFFSET($H$3,0,0,'Données projet'!$E$9+1,1))</f>
        <v>567.42635821507474</v>
      </c>
      <c r="T113" s="59">
        <f t="shared" si="88"/>
        <v>299.04735309930152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130.09360330786291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130.09360330786291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9.4029999999999916</v>
      </c>
      <c r="AI113" s="13">
        <f>IF('Données projet'!$A$62&gt;35,AI112+AH113-AQ112,IF(A113&lt;'Données projet'!$A$62,$AF$205^A113,IF(A113='Données projet'!$A$62,'Données projet'!$B$62,AI112+AH113-AQ112)))</f>
        <v>441.4130000000003</v>
      </c>
      <c r="AJ113" s="13">
        <f>AI113*VLOOKUP('Données projet'!$B$10,Paramètres!$A$1:$I$89,3,0)*VLOOKUP('Données projet'!$B$10,Paramètres!$A$1:$I$89,5,0)</f>
        <v>447.59278200000028</v>
      </c>
      <c r="AK113" s="13">
        <f t="shared" si="89"/>
        <v>101.36134141870193</v>
      </c>
      <c r="AL113" s="20">
        <f t="shared" si="58"/>
        <v>956.09509828757302</v>
      </c>
      <c r="AM113" s="59">
        <f t="shared" si="59"/>
        <v>1236.0564872424188</v>
      </c>
      <c r="AN113" s="59">
        <f ca="1">AVERAGE(OFFSET($AM$3,0,0,'Données projet'!$E$10+1,1))-AVERAGE(OFFSET($H$3,0,0,'Données projet'!$E$10+1,1))</f>
        <v>626.09203985591455</v>
      </c>
      <c r="AO113" s="59">
        <f t="shared" si="90"/>
        <v>327.65191296575199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145.79455543122572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145.79455543122572</v>
      </c>
      <c r="AY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>
        <f>VLOOKUP(A113,'Données projet'!$A$87:$I$107,2,0)</f>
        <v>420</v>
      </c>
      <c r="BB113" s="12">
        <f>VLOOKUP(A113,'Données projet'!$A$87:$I$107,9,0)</f>
        <v>6.8</v>
      </c>
      <c r="BC113" s="12">
        <f t="array" ref="BC113">INDEX(BB:BB,MIN(IF(ISNUMBER(BB113:BB309),ROW(BB113:BB309),"")))</f>
        <v>6.8</v>
      </c>
      <c r="BD113" s="12">
        <f>IF('Données projet'!$A$88&gt;35,BD112+BC113-BL112,IF(A113&lt;'Données projet'!$A$88,$BA$205^A113,IF(A113='Données projet'!$A$88,'Données projet'!$B$88,BD112+BC113-BL112)))</f>
        <v>420.00000000000006</v>
      </c>
      <c r="BE113" s="13">
        <f>BD113*VLOOKUP('Données projet'!$B$11,Paramètres!$A$1:$I$89,3,0)*VLOOKUP('Données projet'!$B$11,Paramètres!$A$1:$I$89,5,0)</f>
        <v>360.36000000000013</v>
      </c>
      <c r="BF113" s="13">
        <f t="shared" si="91"/>
        <v>83.692107728969603</v>
      </c>
      <c r="BG113" s="20">
        <f t="shared" si="61"/>
        <v>773.3907542946223</v>
      </c>
      <c r="BH113" s="59">
        <f t="shared" si="62"/>
        <v>1053.3521432494681</v>
      </c>
      <c r="BI113" s="59">
        <f ca="1">AVERAGE(OFFSET($BH$3,0,0,'Données projet'!$E$11+1,1))-AVERAGE(OFFSET($H$3,0,0,'Données projet'!$E$11+1,1))</f>
        <v>481.23392184981651</v>
      </c>
      <c r="BJ113" s="59">
        <f t="shared" si="92"/>
        <v>275.88160405468193</v>
      </c>
      <c r="BK113" s="15">
        <f>IF(ISNA(VLOOKUP(A113,'Données projet'!$A$87:$I$107,3,0)),0,VLOOKUP(A113,'Données projet'!$A$87:$I$107,3,0))</f>
        <v>18</v>
      </c>
      <c r="BL113" s="15">
        <f>IF(ISNA(VLOOKUP(A113,'Données projet'!$A$87:$I$107,4,0)),0,VLOOKUP(A113,'Données projet'!$A$87:$I$107,4,0))</f>
        <v>22</v>
      </c>
      <c r="BM113" s="16">
        <f>IF(ISNA(VLOOKUP(A113,'Données projet'!$A$87:$I$107,5,0)),0%,VLOOKUP(A113,'Données projet'!$A$87:$I$107,5,0)*VLOOKUP('Données projet'!$B$11,Paramètres!$A$1:$I$89,7,0))</f>
        <v>0.53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109.63677437929987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109.63677437929987</v>
      </c>
      <c r="BT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5.2499999999990337</v>
      </c>
      <c r="BZ113" s="13">
        <f>BY113*VLOOKUP('Données projet'!$B$12,Paramètres!$A$1:$I$89,3,0)*VLOOKUP('Données projet'!$B$12,Paramètres!$A$1:$I$89,5,0)</f>
        <v>2.4569999999995478</v>
      </c>
      <c r="CA113" s="13">
        <f t="shared" si="93"/>
        <v>1.0197977774625564</v>
      </c>
      <c r="CB113" s="20">
        <f t="shared" si="64"/>
        <v>6.0554227957464972</v>
      </c>
      <c r="CC113" s="59">
        <f t="shared" si="65"/>
        <v>286.01681175059235</v>
      </c>
      <c r="CD113" s="59">
        <f ca="1">AVERAGE(OFFSET($CC$3,0,0,'Données projet'!$E$12+1,1))-AVERAGE(OFFSET($H$3,0,0,'Données projet'!$E$12+1,1))</f>
        <v>331.86732359395467</v>
      </c>
      <c r="CE113" s="59">
        <f t="shared" si="94"/>
        <v>208.64489375183106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238.12622003309991</v>
      </c>
      <c r="CL113" s="21">
        <f>EXP(-LN(2)/25)*CL112+(1-EXP(-LN(2)/25))/(LN(2)/25)*Calculateur!CG113*Calculateur!CI113*VLOOKUP('Données projet'!$B$12,Paramètres!$A$1:$I$89,3,0)*0.475*44/12</f>
        <v>0</v>
      </c>
      <c r="CM113" s="21">
        <f>EXP(-LN(2)/2)*CM112+(1-EXP(-LN(2)/2))/(LN(2)/2)*CG113*CJ113*VLOOKUP('Données projet'!$B$12,Paramètres!$A$1:$I$89,3,0)*0.475*44/12</f>
        <v>0</v>
      </c>
      <c r="CN113" s="22">
        <f t="shared" si="66"/>
        <v>238.12622003309991</v>
      </c>
      <c r="CO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319</v>
      </c>
      <c r="CU113" s="17">
        <f>CT113*VLOOKUP('Données projet'!$B$13,Paramètres!$A$1:$I$89,3,0)*VLOOKUP('Données projet'!$B$13,Paramètres!$A$1:$I$89,5,0)</f>
        <v>233.89079999999998</v>
      </c>
      <c r="CV113" s="13">
        <f t="shared" si="95"/>
        <v>57.123140349023068</v>
      </c>
      <c r="CW113" s="20">
        <f t="shared" si="67"/>
        <v>506.84927944121517</v>
      </c>
      <c r="CX113" s="59">
        <f t="shared" si="68"/>
        <v>786.81066839606103</v>
      </c>
      <c r="CY113" s="59">
        <f ca="1">AVERAGE(OFFSET($CX$3,0,0,'Données projet'!$E$13+1,1))-AVERAGE(OFFSET($H$3,0,0,'Données projet'!$E$13+1,1))</f>
        <v>352.45777291109863</v>
      </c>
      <c r="CZ113" s="59">
        <f t="shared" si="96"/>
        <v>340.92165104349181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21.945567823685863</v>
      </c>
      <c r="DG113" s="21">
        <f>EXP(-LN(2)/25)*DG112+(1-EXP(-LN(2)/25))/(LN(2)/25)*Calculateur!DB113*Calculateur!DD113*VLOOKUP('Données projet'!$B$13,Paramètres!$A$1:$I$89,3,0)*0.475*44/12</f>
        <v>0</v>
      </c>
      <c r="DH113" s="21">
        <f>EXP(-LN(2)/2)*DH112+(1-EXP(-LN(2)/2))/(LN(2)/2)*DB113*DE113*VLOOKUP('Données projet'!$B$13,Paramètres!$A$1:$I$89,3,0)*0.475*44/12</f>
        <v>0</v>
      </c>
      <c r="DI113" s="22">
        <f t="shared" si="69"/>
        <v>21.945567823685863</v>
      </c>
      <c r="DJ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9.4029999999999916</v>
      </c>
      <c r="DO113" s="12">
        <f>IF('Données projet'!$A$166&gt;35,DO112+DN113-DW112,IF(A113&lt;'Données projet'!$A$166,$DL$205^A113,IF(A113='Données projet'!$A$166,'Données projet'!$B$166,DO112+DN113-DW112)))</f>
        <v>441.4130000000003</v>
      </c>
      <c r="DP113" s="17">
        <f>DO113*VLOOKUP('Données projet'!$B$14,Paramètres!$A$1:$I$89,3,0)*VLOOKUP('Données projet'!$B$14,Paramètres!$A$1:$I$89,5,0)</f>
        <v>296.09984040000018</v>
      </c>
      <c r="DQ113" s="13">
        <f t="shared" si="97"/>
        <v>70.358218563983428</v>
      </c>
      <c r="DR113" s="20">
        <f t="shared" si="70"/>
        <v>638.24778602893809</v>
      </c>
      <c r="DS113" s="59">
        <f t="shared" si="71"/>
        <v>918.2091749837839</v>
      </c>
      <c r="DT113" s="59">
        <f ca="1">AVERAGE(OFFSET($DS$3,0,0,'Données projet'!$E$14+1,1))-AVERAGE(OFFSET($H$3,0,0,'Données projet'!$E$14+1,1))</f>
        <v>441.20130048888439</v>
      </c>
      <c r="DU113" s="59">
        <f t="shared" si="98"/>
        <v>237.47732532183946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118.87863750546094</v>
      </c>
      <c r="EB113" s="21">
        <f>EXP(-LN(2)/25)*EB112+(1-EXP(-LN(2)/25))/(LN(2)/25)*Calculateur!DW113*Calculateur!DY113*VLOOKUP('Données projet'!$B$14,Paramètres!$A$1:$I$89,3,0)*0.475*44/12</f>
        <v>0</v>
      </c>
      <c r="EC113" s="21">
        <f>EXP(-LN(2)/2)*EC112+(1-EXP(-LN(2)/2))/(LN(2)/2)*DW113*DZ113*VLOOKUP('Données projet'!$B$14,Paramètres!$A$1:$I$89,3,0)*0.475*44/12</f>
        <v>0</v>
      </c>
      <c r="ED113" s="22">
        <f t="shared" si="72"/>
        <v>118.87863750546094</v>
      </c>
      <c r="EE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319</v>
      </c>
      <c r="EK113" s="17">
        <f>EJ113*VLOOKUP('Données projet'!$B$15,Paramètres!$A$1:$I$89,3,0)*VLOOKUP('Données projet'!$B$15,Paramètres!$A$1:$I$89,5,0)</f>
        <v>253.79640000000001</v>
      </c>
      <c r="EL113" s="13">
        <f t="shared" si="99"/>
        <v>61.39816832228076</v>
      </c>
      <c r="EM113" s="20">
        <f t="shared" si="73"/>
        <v>548.96387316130563</v>
      </c>
      <c r="EN113" s="59">
        <f t="shared" si="74"/>
        <v>828.92526211615154</v>
      </c>
      <c r="EO113" s="59">
        <f ca="1">AVERAGE(OFFSET($EN$3,0,0,'Données projet'!$E$15+1,1))-AVERAGE(OFFSET($H$3,0,0,'Données projet'!$E$15+1,1))</f>
        <v>377.27600411578322</v>
      </c>
      <c r="EP113" s="59">
        <f t="shared" si="100"/>
        <v>364.58250627635425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>
        <f>EXP(-LN(2)/35)*EV112+(1-EXP(-LN(2)/35))/(LN(2)/35)*ER113*ES113*VLOOKUP('Données projet'!$B$15,Paramètres!$A$1:$I$89,3,0)*0.475*44/12</f>
        <v>29.351246822079613</v>
      </c>
      <c r="EW113" s="21">
        <f>EXP(-LN(2)/25)*EW112+(1-EXP(-LN(2)/25))/(LN(2)/25)*Calculateur!ER113*Calculateur!ET113*VLOOKUP('Données projet'!$B$15,Paramètres!$A$1:$I$89,3,0)*0.475*44/12</f>
        <v>0</v>
      </c>
      <c r="EX113" s="21">
        <f>EXP(-LN(2)/2)*EX112+(1-EXP(-LN(2)/2))/(LN(2)/2)*ER113*EU113*VLOOKUP('Données projet'!$B$15,Paramètres!$A$1:$I$89,3,0)*0.475*44/12</f>
        <v>0</v>
      </c>
      <c r="EY113" s="22">
        <f t="shared" si="75"/>
        <v>29.351246822079613</v>
      </c>
      <c r="EZ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319</v>
      </c>
      <c r="FF113" s="17">
        <f>FE113*VLOOKUP('Données projet'!$B$16,Paramètres!$A$1:$I$89,3,0)*VLOOKUP('Données projet'!$B$16,Paramètres!$A$1:$I$89,5,0)</f>
        <v>258.77280000000002</v>
      </c>
      <c r="FG113" s="13">
        <f t="shared" si="101"/>
        <v>62.460716522234691</v>
      </c>
      <c r="FH113" s="20">
        <f t="shared" si="76"/>
        <v>559.48170794289206</v>
      </c>
      <c r="FI113" s="59">
        <f t="shared" si="77"/>
        <v>839.44309689773786</v>
      </c>
      <c r="FJ113" s="59">
        <f ca="1">AVERAGE(OFFSET($FI$3,0,0,'Données projet'!$E$16+1,1))-AVERAGE(OFFSET($H$3,0,0,'Données projet'!$E$16+1,1))</f>
        <v>383.47399633251354</v>
      </c>
      <c r="FK113" s="59">
        <f t="shared" si="102"/>
        <v>370.49129421395628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>
        <f>EXP(-LN(2)/35)*FQ112+(1-EXP(-LN(2)/35))/(LN(2)/35)*FM113*FN113*VLOOKUP('Données projet'!$B$16,Paramètres!$A$1:$I$89,3,0)*0.475*44/12</f>
        <v>29.926761465649822</v>
      </c>
      <c r="FR113" s="21">
        <f>EXP(-LN(2)/25)*FR112+(1-EXP(-LN(2)/25))/(LN(2)/25)*Calculateur!FM113*Calculateur!FO113*VLOOKUP('Données projet'!$B$16,Paramètres!$A$1:$I$89,3,0)*0.475*44/12</f>
        <v>0</v>
      </c>
      <c r="FS113" s="21">
        <f>EXP(-LN(2)/2)*FS112+(1-EXP(-LN(2)/2))/(LN(2)/2)*FM113*FP113*VLOOKUP('Données projet'!$B$16,Paramètres!$A$1:$I$89,3,0)*0.475*44/12</f>
        <v>0</v>
      </c>
      <c r="FT113" s="22">
        <f t="shared" si="78"/>
        <v>29.926761465649822</v>
      </c>
      <c r="FU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9.4029999999999916</v>
      </c>
      <c r="FZ113" s="12">
        <f>IF('Données projet'!$A$244&gt;35,FZ112+FY113-GH112,IF(A113&lt;'Données projet'!$A$244,$FW$205^A113,IF(A113='Données projet'!$A$244,'Données projet'!$B$244,FZ112+FY113-GH112)))</f>
        <v>441.4130000000003</v>
      </c>
      <c r="GA113" s="17">
        <f>FZ113*VLOOKUP('Données projet'!$B$17,Paramètres!$A$1:$I$89,3,0)*VLOOKUP('Données projet'!$B$17,Paramètres!$A$1:$I$89,5,0)</f>
        <v>420.04861080000029</v>
      </c>
      <c r="GB113" s="13">
        <f t="shared" si="103"/>
        <v>95.829572261379582</v>
      </c>
      <c r="GC113" s="20">
        <f t="shared" si="79"/>
        <v>898.48783549856989</v>
      </c>
      <c r="GD113" s="59">
        <f t="shared" si="80"/>
        <v>1178.4492244534158</v>
      </c>
      <c r="GE113" s="59">
        <f ca="1">AVERAGE(OFFSET($GD$3,0,0,'Données projet'!$E$17+1,1))-AVERAGE(OFFSET($H$3,0,0,'Données projet'!$E$17+1,1))</f>
        <v>592.58528889137358</v>
      </c>
      <c r="GF113" s="59">
        <f t="shared" si="104"/>
        <v>311.31528020403709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>
        <f>EXP(-LN(2)/35)*GL112+(1-EXP(-LN(2)/35))/(LN(2)/35)*GH113*GI113*VLOOKUP('Données projet'!$B$17,Paramètres!$A$1:$I$89,3,0)*0.475*44/12</f>
        <v>136.82258278930414</v>
      </c>
      <c r="GM113" s="21">
        <f>EXP(-LN(2)/25)*GM112+(1-EXP(-LN(2)/25))/(LN(2)/25)*Calculateur!GH113*Calculateur!GJ113*VLOOKUP('Données projet'!$B$17,Paramètres!$A$1:$I$89,3,0)*0.475*44/12</f>
        <v>0</v>
      </c>
      <c r="GN113" s="21">
        <f>EXP(-LN(2)/2)*GN112+(1-EXP(-LN(2)/2))/(LN(2)/2)*GH113*GK113*VLOOKUP('Données projet'!$B$17,Paramètres!$A$1:$I$89,3,0)*0.475*44/12</f>
        <v>0</v>
      </c>
      <c r="GO113" s="21">
        <f t="shared" si="81"/>
        <v>136.82258278930414</v>
      </c>
      <c r="GP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328.00000000000006</v>
      </c>
      <c r="GV113" s="17">
        <f>GU113*VLOOKUP('Données projet'!$B$18,Paramètres!$A$1:$I$89,3,0)*VLOOKUP('Données projet'!$B$18,Paramètres!$A$1:$I$89,5,0)</f>
        <v>255.84000000000006</v>
      </c>
      <c r="GW113" s="13">
        <f t="shared" si="105"/>
        <v>61.834803371075836</v>
      </c>
      <c r="GX113" s="20">
        <f t="shared" si="82"/>
        <v>553.28361587129041</v>
      </c>
      <c r="GY113" s="59">
        <f t="shared" si="83"/>
        <v>833.24500482613621</v>
      </c>
      <c r="GZ113" s="59">
        <f ca="1">AVERAGE(OFFSET($GY$3,0,0,'Données projet'!$E$18+1,1))-AVERAGE(OFFSET($H$3,0,0,'Données projet'!$E$18+1,1))</f>
        <v>308.85018589589453</v>
      </c>
      <c r="HA113" s="59">
        <f t="shared" si="106"/>
        <v>302.59481222418219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>
        <f>EXP(-LN(2)/35)*HG112+(1-EXP(-LN(2)/35))/(LN(2)/35)*HC113*HD113*VLOOKUP('Données projet'!$B$18,Paramètres!$A$1:$I$89,3,0)*0.475*44/12</f>
        <v>22.367875007348793</v>
      </c>
      <c r="HH113" s="21">
        <f>EXP(-LN(2)/25)*HH112+(1-EXP(-LN(2)/25))/(LN(2)/25)*Calculateur!HC113*Calculateur!HE113*VLOOKUP('Données projet'!$B$18,Paramètres!$A$1:$I$89,3,0)*0.475*44/12</f>
        <v>0</v>
      </c>
      <c r="HI113" s="21">
        <f>EXP(-LN(2)/2)*HI112+(1-EXP(-LN(2)/2))/(LN(2)/2)*HC113*HF113*VLOOKUP('Données projet'!$B$18,Paramètres!$A$1:$I$89,3,0)*0.475*44/12</f>
        <v>0</v>
      </c>
      <c r="HJ113" s="22">
        <f t="shared" si="84"/>
        <v>22.367875007348793</v>
      </c>
    </row>
    <row r="114" spans="1:218" x14ac:dyDescent="0.35">
      <c r="A114" s="10">
        <f t="shared" si="85"/>
        <v>111</v>
      </c>
      <c r="B114" s="72">
        <f>'Scénario référence'!$B$16*5+'Scénario référence'!$B$17*0+'Scénario référence'!$B$18*5</f>
        <v>5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66">
        <f t="shared" si="56"/>
        <v>183.33333333333334</v>
      </c>
      <c r="I114" s="6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9.4029999999999916</v>
      </c>
      <c r="N114" s="13">
        <f>IF('Données projet'!$A$36&gt;35,N113+M114-V113,IF(A114&lt;'Données projet'!$A$36,$K$205^A114,IF(A114='Données projet'!$A$36,'Données projet'!$B$36,N113+M114-V113)))</f>
        <v>450.81600000000026</v>
      </c>
      <c r="O114" s="13">
        <f>N114*VLOOKUP('Données projet'!$B$9,Paramètres!$A$1:$I$89,3,0)*VLOOKUP('Données projet'!$B$9,Paramètres!$A$1:$I$89,5,0)</f>
        <v>407.89831680000026</v>
      </c>
      <c r="P114" s="13">
        <f t="shared" si="87"/>
        <v>93.376100943881056</v>
      </c>
      <c r="Q114" s="20">
        <f t="shared" si="107"/>
        <v>873.05294423725991</v>
      </c>
      <c r="R114" s="59">
        <f t="shared" si="55"/>
        <v>1153.2463065318834</v>
      </c>
      <c r="S114" s="59">
        <f ca="1">AVERAGE(OFFSET($R$3,0,0,'Données projet'!$E$9+1,1))-AVERAGE(OFFSET($H$3,0,0,'Données projet'!$E$9+1,1))</f>
        <v>567.42635821507474</v>
      </c>
      <c r="T114" s="59">
        <f t="shared" si="88"/>
        <v>299.04735309930152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127.54254709625864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127.54254709625864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9.4029999999999916</v>
      </c>
      <c r="AI114" s="13">
        <f>IF('Données projet'!$A$62&gt;35,AI113+AH114-AQ113,IF(A114&lt;'Données projet'!$A$62,$AF$205^A114,IF(A114='Données projet'!$A$62,'Données projet'!$B$62,AI113+AH114-AQ113)))</f>
        <v>450.81600000000026</v>
      </c>
      <c r="AJ114" s="13">
        <f>AI114*VLOOKUP('Données projet'!$B$10,Paramètres!$A$1:$I$89,3,0)*VLOOKUP('Données projet'!$B$10,Paramètres!$A$1:$I$89,5,0)</f>
        <v>457.12742400000025</v>
      </c>
      <c r="AK114" s="13">
        <f t="shared" si="89"/>
        <v>103.26686723070357</v>
      </c>
      <c r="AL114" s="20">
        <f t="shared" si="58"/>
        <v>976.02005722680917</v>
      </c>
      <c r="AM114" s="59">
        <f t="shared" si="59"/>
        <v>1256.2134195214328</v>
      </c>
      <c r="AN114" s="59">
        <f ca="1">AVERAGE(OFFSET($AM$3,0,0,'Données projet'!$E$10+1,1))-AVERAGE(OFFSET($H$3,0,0,'Données projet'!$E$10+1,1))</f>
        <v>626.09203985591455</v>
      </c>
      <c r="AO114" s="59">
        <f t="shared" si="90"/>
        <v>327.65191296575199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142.9356131251175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142.9356131251175</v>
      </c>
      <c r="AY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5.6</v>
      </c>
      <c r="BD114" s="12">
        <f>IF('Données projet'!$A$88&gt;35,BD113+BC114-BL113,IF(A114&lt;'Données projet'!$A$88,$BA$205^A114,IF(A114='Données projet'!$A$88,'Données projet'!$B$88,BD113+BC114-BL113)))</f>
        <v>403.60000000000008</v>
      </c>
      <c r="BE114" s="13">
        <f>BD114*VLOOKUP('Données projet'!$B$11,Paramètres!$A$1:$I$89,3,0)*VLOOKUP('Données projet'!$B$11,Paramètres!$A$1:$I$89,5,0)</f>
        <v>346.28880000000015</v>
      </c>
      <c r="BF114" s="13">
        <f t="shared" si="91"/>
        <v>80.797863156901414</v>
      </c>
      <c r="BG114" s="20">
        <f t="shared" si="61"/>
        <v>743.8426049982703</v>
      </c>
      <c r="BH114" s="59">
        <f t="shared" si="62"/>
        <v>1024.0359672928939</v>
      </c>
      <c r="BI114" s="59">
        <f ca="1">AVERAGE(OFFSET($BH$3,0,0,'Données projet'!$E$11+1,1))-AVERAGE(OFFSET($H$3,0,0,'Données projet'!$E$11+1,1))</f>
        <v>481.23392184981651</v>
      </c>
      <c r="BJ114" s="59">
        <f t="shared" si="92"/>
        <v>275.88160405468193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107.48686410555112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107.48686410555112</v>
      </c>
      <c r="BT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5.2499999999990337</v>
      </c>
      <c r="BZ114" s="13">
        <f>BY114*VLOOKUP('Données projet'!$B$12,Paramètres!$A$1:$I$89,3,0)*VLOOKUP('Données projet'!$B$12,Paramètres!$A$1:$I$89,5,0)</f>
        <v>2.4569999999995478</v>
      </c>
      <c r="CA114" s="13">
        <f t="shared" si="93"/>
        <v>1.0197977774625564</v>
      </c>
      <c r="CB114" s="20">
        <f t="shared" si="64"/>
        <v>6.0554227957464972</v>
      </c>
      <c r="CC114" s="59">
        <f t="shared" si="65"/>
        <v>286.24878509037006</v>
      </c>
      <c r="CD114" s="59">
        <f ca="1">AVERAGE(OFFSET($CC$3,0,0,'Données projet'!$E$12+1,1))-AVERAGE(OFFSET($H$3,0,0,'Données projet'!$E$12+1,1))</f>
        <v>331.86732359395467</v>
      </c>
      <c r="CE114" s="59">
        <f t="shared" si="94"/>
        <v>208.64489375183106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233.45671010090354</v>
      </c>
      <c r="CL114" s="21">
        <f>EXP(-LN(2)/25)*CL113+(1-EXP(-LN(2)/25))/(LN(2)/25)*Calculateur!CG114*Calculateur!CI114*VLOOKUP('Données projet'!$B$12,Paramètres!$A$1:$I$89,3,0)*0.475*44/12</f>
        <v>0</v>
      </c>
      <c r="CM114" s="21">
        <f>EXP(-LN(2)/2)*CM113+(1-EXP(-LN(2)/2))/(LN(2)/2)*CG114*CJ114*VLOOKUP('Données projet'!$B$12,Paramètres!$A$1:$I$89,3,0)*0.475*44/12</f>
        <v>0</v>
      </c>
      <c r="CN114" s="22">
        <f t="shared" si="66"/>
        <v>233.45671010090354</v>
      </c>
      <c r="CO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319</v>
      </c>
      <c r="CU114" s="17">
        <f>CT114*VLOOKUP('Données projet'!$B$13,Paramètres!$A$1:$I$89,3,0)*VLOOKUP('Données projet'!$B$13,Paramètres!$A$1:$I$89,5,0)</f>
        <v>233.89079999999998</v>
      </c>
      <c r="CV114" s="13">
        <f t="shared" si="95"/>
        <v>57.123140349023068</v>
      </c>
      <c r="CW114" s="20">
        <f t="shared" si="67"/>
        <v>506.84927944121517</v>
      </c>
      <c r="CX114" s="59">
        <f t="shared" si="68"/>
        <v>787.04264173583874</v>
      </c>
      <c r="CY114" s="59">
        <f ca="1">AVERAGE(OFFSET($CX$3,0,0,'Données projet'!$E$13+1,1))-AVERAGE(OFFSET($H$3,0,0,'Données projet'!$E$13+1,1))</f>
        <v>352.45777291109863</v>
      </c>
      <c r="CZ114" s="59">
        <f t="shared" si="96"/>
        <v>340.92165104349181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21.51522862413805</v>
      </c>
      <c r="DG114" s="21">
        <f>EXP(-LN(2)/25)*DG113+(1-EXP(-LN(2)/25))/(LN(2)/25)*Calculateur!DB114*Calculateur!DD114*VLOOKUP('Données projet'!$B$13,Paramètres!$A$1:$I$89,3,0)*0.475*44/12</f>
        <v>0</v>
      </c>
      <c r="DH114" s="21">
        <f>EXP(-LN(2)/2)*DH113+(1-EXP(-LN(2)/2))/(LN(2)/2)*DB114*DE114*VLOOKUP('Données projet'!$B$13,Paramètres!$A$1:$I$89,3,0)*0.475*44/12</f>
        <v>0</v>
      </c>
      <c r="DI114" s="22">
        <f t="shared" si="69"/>
        <v>21.51522862413805</v>
      </c>
      <c r="DJ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9.4029999999999916</v>
      </c>
      <c r="DO114" s="12">
        <f>IF('Données projet'!$A$166&gt;35,DO113+DN114-DW113,IF(A114&lt;'Données projet'!$A$166,$DL$205^A114,IF(A114='Données projet'!$A$166,'Données projet'!$B$166,DO113+DN114-DW113)))</f>
        <v>450.81600000000026</v>
      </c>
      <c r="DP114" s="17">
        <f>DO114*VLOOKUP('Données projet'!$B$14,Paramètres!$A$1:$I$89,3,0)*VLOOKUP('Données projet'!$B$14,Paramètres!$A$1:$I$89,5,0)</f>
        <v>302.40737280000019</v>
      </c>
      <c r="DQ114" s="13">
        <f t="shared" si="97"/>
        <v>71.680906283814451</v>
      </c>
      <c r="DR114" s="20">
        <f t="shared" si="70"/>
        <v>651.53708607097724</v>
      </c>
      <c r="DS114" s="59">
        <f t="shared" si="71"/>
        <v>931.73044836560075</v>
      </c>
      <c r="DT114" s="59">
        <f ca="1">AVERAGE(OFFSET($DS$3,0,0,'Données projet'!$E$14+1,1))-AVERAGE(OFFSET($H$3,0,0,'Données projet'!$E$14+1,1))</f>
        <v>441.20130048888439</v>
      </c>
      <c r="DU114" s="59">
        <f t="shared" si="98"/>
        <v>237.47732532183946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116.54749993278809</v>
      </c>
      <c r="EB114" s="21">
        <f>EXP(-LN(2)/25)*EB113+(1-EXP(-LN(2)/25))/(LN(2)/25)*Calculateur!DW114*Calculateur!DY114*VLOOKUP('Données projet'!$B$14,Paramètres!$A$1:$I$89,3,0)*0.475*44/12</f>
        <v>0</v>
      </c>
      <c r="EC114" s="21">
        <f>EXP(-LN(2)/2)*EC113+(1-EXP(-LN(2)/2))/(LN(2)/2)*DW114*DZ114*VLOOKUP('Données projet'!$B$14,Paramètres!$A$1:$I$89,3,0)*0.475*44/12</f>
        <v>0</v>
      </c>
      <c r="ED114" s="22">
        <f t="shared" si="72"/>
        <v>116.54749993278809</v>
      </c>
      <c r="EE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319</v>
      </c>
      <c r="EK114" s="17">
        <f>EJ114*VLOOKUP('Données projet'!$B$15,Paramètres!$A$1:$I$89,3,0)*VLOOKUP('Données projet'!$B$15,Paramètres!$A$1:$I$89,5,0)</f>
        <v>253.79640000000001</v>
      </c>
      <c r="EL114" s="13">
        <f t="shared" si="99"/>
        <v>61.39816832228076</v>
      </c>
      <c r="EM114" s="20">
        <f t="shared" si="73"/>
        <v>548.96387316130563</v>
      </c>
      <c r="EN114" s="59">
        <f t="shared" si="74"/>
        <v>829.15723545592914</v>
      </c>
      <c r="EO114" s="59">
        <f ca="1">AVERAGE(OFFSET($EN$3,0,0,'Données projet'!$E$15+1,1))-AVERAGE(OFFSET($H$3,0,0,'Données projet'!$E$15+1,1))</f>
        <v>377.27600411578322</v>
      </c>
      <c r="EP114" s="59">
        <f t="shared" si="100"/>
        <v>364.58250627635425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>
        <f>EXP(-LN(2)/35)*EV113+(1-EXP(-LN(2)/35))/(LN(2)/35)*ER114*ES114*VLOOKUP('Données projet'!$B$15,Paramètres!$A$1:$I$89,3,0)*0.475*44/12</f>
        <v>28.77568677439147</v>
      </c>
      <c r="EW114" s="21">
        <f>EXP(-LN(2)/25)*EW113+(1-EXP(-LN(2)/25))/(LN(2)/25)*Calculateur!ER114*Calculateur!ET114*VLOOKUP('Données projet'!$B$15,Paramètres!$A$1:$I$89,3,0)*0.475*44/12</f>
        <v>0</v>
      </c>
      <c r="EX114" s="21">
        <f>EXP(-LN(2)/2)*EX113+(1-EXP(-LN(2)/2))/(LN(2)/2)*ER114*EU114*VLOOKUP('Données projet'!$B$15,Paramètres!$A$1:$I$89,3,0)*0.475*44/12</f>
        <v>0</v>
      </c>
      <c r="EY114" s="22">
        <f t="shared" si="75"/>
        <v>28.77568677439147</v>
      </c>
      <c r="EZ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319</v>
      </c>
      <c r="FF114" s="17">
        <f>FE114*VLOOKUP('Données projet'!$B$16,Paramètres!$A$1:$I$89,3,0)*VLOOKUP('Données projet'!$B$16,Paramètres!$A$1:$I$89,5,0)</f>
        <v>258.77280000000002</v>
      </c>
      <c r="FG114" s="13">
        <f t="shared" si="101"/>
        <v>62.460716522234691</v>
      </c>
      <c r="FH114" s="20">
        <f t="shared" si="76"/>
        <v>559.48170794289206</v>
      </c>
      <c r="FI114" s="59">
        <f t="shared" si="77"/>
        <v>839.67507023751568</v>
      </c>
      <c r="FJ114" s="59">
        <f ca="1">AVERAGE(OFFSET($FI$3,0,0,'Données projet'!$E$16+1,1))-AVERAGE(OFFSET($H$3,0,0,'Données projet'!$E$16+1,1))</f>
        <v>383.47399633251354</v>
      </c>
      <c r="FK114" s="59">
        <f t="shared" si="102"/>
        <v>370.49129421395628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>
        <f>EXP(-LN(2)/35)*FQ113+(1-EXP(-LN(2)/35))/(LN(2)/35)*FM114*FN114*VLOOKUP('Données projet'!$B$16,Paramètres!$A$1:$I$89,3,0)*0.475*44/12</f>
        <v>29.339915926830539</v>
      </c>
      <c r="FR114" s="21">
        <f>EXP(-LN(2)/25)*FR113+(1-EXP(-LN(2)/25))/(LN(2)/25)*Calculateur!FM114*Calculateur!FO114*VLOOKUP('Données projet'!$B$16,Paramètres!$A$1:$I$89,3,0)*0.475*44/12</f>
        <v>0</v>
      </c>
      <c r="FS114" s="21">
        <f>EXP(-LN(2)/2)*FS113+(1-EXP(-LN(2)/2))/(LN(2)/2)*FM114*FP114*VLOOKUP('Données projet'!$B$16,Paramètres!$A$1:$I$89,3,0)*0.475*44/12</f>
        <v>0</v>
      </c>
      <c r="FT114" s="22">
        <f t="shared" si="78"/>
        <v>29.339915926830539</v>
      </c>
      <c r="FU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9.4029999999999916</v>
      </c>
      <c r="FZ114" s="12">
        <f>IF('Données projet'!$A$244&gt;35,FZ113+FY114-GH113,IF(A114&lt;'Données projet'!$A$244,$FW$205^A114,IF(A114='Données projet'!$A$244,'Données projet'!$B$244,FZ113+FY114-GH113)))</f>
        <v>450.81600000000026</v>
      </c>
      <c r="GA114" s="17">
        <f>FZ114*VLOOKUP('Données projet'!$B$17,Paramètres!$A$1:$I$89,3,0)*VLOOKUP('Données projet'!$B$17,Paramètres!$A$1:$I$89,5,0)</f>
        <v>428.99650560000026</v>
      </c>
      <c r="GB114" s="13">
        <f t="shared" si="103"/>
        <v>97.631104491925242</v>
      </c>
      <c r="GC114" s="20">
        <f t="shared" si="79"/>
        <v>917.20975424343681</v>
      </c>
      <c r="GD114" s="59">
        <f t="shared" si="80"/>
        <v>1197.4031165380604</v>
      </c>
      <c r="GE114" s="59">
        <f ca="1">AVERAGE(OFFSET($GD$3,0,0,'Données projet'!$E$17+1,1))-AVERAGE(OFFSET($H$3,0,0,'Données projet'!$E$17+1,1))</f>
        <v>592.58528889137358</v>
      </c>
      <c r="GF114" s="59">
        <f t="shared" si="104"/>
        <v>311.31528020403709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>
        <f>EXP(-LN(2)/35)*GL113+(1-EXP(-LN(2)/35))/(LN(2)/35)*GH114*GI114*VLOOKUP('Données projet'!$B$17,Paramètres!$A$1:$I$89,3,0)*0.475*44/12</f>
        <v>134.13957539434102</v>
      </c>
      <c r="GM114" s="21">
        <f>EXP(-LN(2)/25)*GM113+(1-EXP(-LN(2)/25))/(LN(2)/25)*Calculateur!GH114*Calculateur!GJ114*VLOOKUP('Données projet'!$B$17,Paramètres!$A$1:$I$89,3,0)*0.475*44/12</f>
        <v>0</v>
      </c>
      <c r="GN114" s="21">
        <f>EXP(-LN(2)/2)*GN113+(1-EXP(-LN(2)/2))/(LN(2)/2)*GH114*GK114*VLOOKUP('Données projet'!$B$17,Paramètres!$A$1:$I$89,3,0)*0.475*44/12</f>
        <v>0</v>
      </c>
      <c r="GO114" s="21">
        <f t="shared" si="81"/>
        <v>134.13957539434102</v>
      </c>
      <c r="GP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328.00000000000006</v>
      </c>
      <c r="GV114" s="17">
        <f>GU114*VLOOKUP('Données projet'!$B$18,Paramètres!$A$1:$I$89,3,0)*VLOOKUP('Données projet'!$B$18,Paramètres!$A$1:$I$89,5,0)</f>
        <v>255.84000000000006</v>
      </c>
      <c r="GW114" s="13">
        <f t="shared" si="105"/>
        <v>61.834803371075836</v>
      </c>
      <c r="GX114" s="20">
        <f t="shared" si="82"/>
        <v>553.28361587129041</v>
      </c>
      <c r="GY114" s="59">
        <f t="shared" si="83"/>
        <v>833.47697816591403</v>
      </c>
      <c r="GZ114" s="59">
        <f ca="1">AVERAGE(OFFSET($GY$3,0,0,'Données projet'!$E$18+1,1))-AVERAGE(OFFSET($H$3,0,0,'Données projet'!$E$18+1,1))</f>
        <v>308.85018589589453</v>
      </c>
      <c r="HA114" s="59">
        <f t="shared" si="106"/>
        <v>302.59481222418219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>
        <f>EXP(-LN(2)/35)*HG113+(1-EXP(-LN(2)/35))/(LN(2)/35)*HC114*HD114*VLOOKUP('Données projet'!$B$18,Paramètres!$A$1:$I$89,3,0)*0.475*44/12</f>
        <v>21.929254621511298</v>
      </c>
      <c r="HH114" s="21">
        <f>EXP(-LN(2)/25)*HH113+(1-EXP(-LN(2)/25))/(LN(2)/25)*Calculateur!HC114*Calculateur!HE114*VLOOKUP('Données projet'!$B$18,Paramètres!$A$1:$I$89,3,0)*0.475*44/12</f>
        <v>0</v>
      </c>
      <c r="HI114" s="21">
        <f>EXP(-LN(2)/2)*HI113+(1-EXP(-LN(2)/2))/(LN(2)/2)*HC114*HF114*VLOOKUP('Données projet'!$B$18,Paramètres!$A$1:$I$89,3,0)*0.475*44/12</f>
        <v>0</v>
      </c>
      <c r="HJ114" s="22">
        <f t="shared" si="84"/>
        <v>21.929254621511298</v>
      </c>
    </row>
    <row r="115" spans="1:218" x14ac:dyDescent="0.35">
      <c r="A115" s="10">
        <f t="shared" si="85"/>
        <v>112</v>
      </c>
      <c r="B115" s="72">
        <f>'Scénario référence'!$B$16*5+'Scénario référence'!$B$17*0+'Scénario référence'!$B$18*5</f>
        <v>5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66">
        <f t="shared" si="56"/>
        <v>183.33333333333334</v>
      </c>
      <c r="I115" s="6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9.4029999999999916</v>
      </c>
      <c r="N115" s="13">
        <f>IF('Données projet'!$A$36&gt;35,N114+M115-V114,IF(A115&lt;'Données projet'!$A$36,$K$205^A115,IF(A115='Données projet'!$A$36,'Données projet'!$B$36,N114+M115-V114)))</f>
        <v>460.21900000000028</v>
      </c>
      <c r="O115" s="13">
        <f>N115*VLOOKUP('Données projet'!$B$9,Paramètres!$A$1:$I$89,3,0)*VLOOKUP('Données projet'!$B$9,Paramètres!$A$1:$I$89,5,0)</f>
        <v>416.40615120000024</v>
      </c>
      <c r="P115" s="13">
        <f t="shared" si="87"/>
        <v>95.094939514723933</v>
      </c>
      <c r="Q115" s="20">
        <f t="shared" si="107"/>
        <v>890.86439966147793</v>
      </c>
      <c r="R115" s="59">
        <f t="shared" si="55"/>
        <v>1171.2857110770487</v>
      </c>
      <c r="S115" s="59">
        <f ca="1">AVERAGE(OFFSET($R$3,0,0,'Données projet'!$E$9+1,1))-AVERAGE(OFFSET($H$3,0,0,'Données projet'!$E$9+1,1))</f>
        <v>567.42635821507474</v>
      </c>
      <c r="T115" s="59">
        <f t="shared" si="88"/>
        <v>299.04735309930152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125.04151554097329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125.04151554097329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9.4029999999999916</v>
      </c>
      <c r="AI115" s="13">
        <f>IF('Données projet'!$A$62&gt;35,AI114+AH115-AQ114,IF(A115&lt;'Données projet'!$A$62,$AF$205^A115,IF(A115='Données projet'!$A$62,'Données projet'!$B$62,AI114+AH115-AQ114)))</f>
        <v>460.21900000000028</v>
      </c>
      <c r="AJ115" s="13">
        <f>AI115*VLOOKUP('Données projet'!$B$10,Paramètres!$A$1:$I$89,3,0)*VLOOKUP('Données projet'!$B$10,Paramètres!$A$1:$I$89,5,0)</f>
        <v>466.66206600000032</v>
      </c>
      <c r="AK115" s="13">
        <f t="shared" si="89"/>
        <v>105.1677719878311</v>
      </c>
      <c r="AL115" s="20">
        <f t="shared" si="58"/>
        <v>995.93696782880636</v>
      </c>
      <c r="AM115" s="59">
        <f t="shared" si="59"/>
        <v>1276.3582792443772</v>
      </c>
      <c r="AN115" s="59">
        <f ca="1">AVERAGE(OFFSET($AM$3,0,0,'Données projet'!$E$10+1,1))-AVERAGE(OFFSET($H$3,0,0,'Données projet'!$E$10+1,1))</f>
        <v>626.09203985591455</v>
      </c>
      <c r="AO115" s="59">
        <f t="shared" si="90"/>
        <v>327.65191296575199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140.13273293384944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140.13273293384944</v>
      </c>
      <c r="AY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5.6</v>
      </c>
      <c r="BD115" s="12">
        <f>IF('Données projet'!$A$88&gt;35,BD114+BC115-BL114,IF(A115&lt;'Données projet'!$A$88,$BA$205^A115,IF(A115='Données projet'!$A$88,'Données projet'!$B$88,BD114+BC115-BL114)))</f>
        <v>409.2000000000001</v>
      </c>
      <c r="BE115" s="13">
        <f>BD115*VLOOKUP('Données projet'!$B$11,Paramètres!$A$1:$I$89,3,0)*VLOOKUP('Données projet'!$B$11,Paramètres!$A$1:$I$89,5,0)</f>
        <v>351.09360000000015</v>
      </c>
      <c r="BF115" s="13">
        <f t="shared" si="91"/>
        <v>81.787653933539119</v>
      </c>
      <c r="BG115" s="20">
        <f t="shared" si="61"/>
        <v>753.93485060091416</v>
      </c>
      <c r="BH115" s="59">
        <f t="shared" si="62"/>
        <v>1034.3561620164851</v>
      </c>
      <c r="BI115" s="59">
        <f ca="1">AVERAGE(OFFSET($BH$3,0,0,'Données projet'!$E$11+1,1))-AVERAGE(OFFSET($H$3,0,0,'Données projet'!$E$11+1,1))</f>
        <v>481.23392184981651</v>
      </c>
      <c r="BJ115" s="59">
        <f t="shared" si="92"/>
        <v>275.88160405468193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105.3791122609548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105.3791122609548</v>
      </c>
      <c r="BT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5.2499999999990337</v>
      </c>
      <c r="BZ115" s="13">
        <f>BY115*VLOOKUP('Données projet'!$B$12,Paramètres!$A$1:$I$89,3,0)*VLOOKUP('Données projet'!$B$12,Paramètres!$A$1:$I$89,5,0)</f>
        <v>2.4569999999995478</v>
      </c>
      <c r="CA115" s="13">
        <f t="shared" si="93"/>
        <v>1.0197977774625564</v>
      </c>
      <c r="CB115" s="20">
        <f t="shared" si="64"/>
        <v>6.0554227957464972</v>
      </c>
      <c r="CC115" s="59">
        <f t="shared" si="65"/>
        <v>286.47673421131736</v>
      </c>
      <c r="CD115" s="59">
        <f ca="1">AVERAGE(OFFSET($CC$3,0,0,'Données projet'!$E$12+1,1))-AVERAGE(OFFSET($H$3,0,0,'Données projet'!$E$12+1,1))</f>
        <v>331.86732359395467</v>
      </c>
      <c r="CE115" s="59">
        <f t="shared" si="94"/>
        <v>208.64489375183106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228.87876641035768</v>
      </c>
      <c r="CL115" s="21">
        <f>EXP(-LN(2)/25)*CL114+(1-EXP(-LN(2)/25))/(LN(2)/25)*Calculateur!CG115*Calculateur!CI115*VLOOKUP('Données projet'!$B$12,Paramètres!$A$1:$I$89,3,0)*0.475*44/12</f>
        <v>0</v>
      </c>
      <c r="CM115" s="21">
        <f>EXP(-LN(2)/2)*CM114+(1-EXP(-LN(2)/2))/(LN(2)/2)*CG115*CJ115*VLOOKUP('Données projet'!$B$12,Paramètres!$A$1:$I$89,3,0)*0.475*44/12</f>
        <v>0</v>
      </c>
      <c r="CN115" s="22">
        <f t="shared" si="66"/>
        <v>228.87876641035768</v>
      </c>
      <c r="CO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319</v>
      </c>
      <c r="CU115" s="17">
        <f>CT115*VLOOKUP('Données projet'!$B$13,Paramètres!$A$1:$I$89,3,0)*VLOOKUP('Données projet'!$B$13,Paramètres!$A$1:$I$89,5,0)</f>
        <v>233.89079999999998</v>
      </c>
      <c r="CV115" s="13">
        <f t="shared" si="95"/>
        <v>57.123140349023068</v>
      </c>
      <c r="CW115" s="20">
        <f t="shared" si="67"/>
        <v>506.84927944121517</v>
      </c>
      <c r="CX115" s="59">
        <f t="shared" si="68"/>
        <v>787.27059085678604</v>
      </c>
      <c r="CY115" s="59">
        <f ca="1">AVERAGE(OFFSET($CX$3,0,0,'Données projet'!$E$13+1,1))-AVERAGE(OFFSET($H$3,0,0,'Données projet'!$E$13+1,1))</f>
        <v>352.45777291109863</v>
      </c>
      <c r="CZ115" s="59">
        <f t="shared" si="96"/>
        <v>340.92165104349181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21.093328113812376</v>
      </c>
      <c r="DG115" s="21">
        <f>EXP(-LN(2)/25)*DG114+(1-EXP(-LN(2)/25))/(LN(2)/25)*Calculateur!DB115*Calculateur!DD115*VLOOKUP('Données projet'!$B$13,Paramètres!$A$1:$I$89,3,0)*0.475*44/12</f>
        <v>0</v>
      </c>
      <c r="DH115" s="21">
        <f>EXP(-LN(2)/2)*DH114+(1-EXP(-LN(2)/2))/(LN(2)/2)*DB115*DE115*VLOOKUP('Données projet'!$B$13,Paramètres!$A$1:$I$89,3,0)*0.475*44/12</f>
        <v>0</v>
      </c>
      <c r="DI115" s="22">
        <f t="shared" si="69"/>
        <v>21.093328113812376</v>
      </c>
      <c r="DJ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9.4029999999999916</v>
      </c>
      <c r="DO115" s="12">
        <f>IF('Données projet'!$A$166&gt;35,DO114+DN115-DW114,IF(A115&lt;'Données projet'!$A$166,$DL$205^A115,IF(A115='Données projet'!$A$166,'Données projet'!$B$166,DO114+DN115-DW114)))</f>
        <v>460.21900000000028</v>
      </c>
      <c r="DP115" s="17">
        <f>DO115*VLOOKUP('Données projet'!$B$14,Paramètres!$A$1:$I$89,3,0)*VLOOKUP('Données projet'!$B$14,Paramètres!$A$1:$I$89,5,0)</f>
        <v>308.7149052000002</v>
      </c>
      <c r="DQ115" s="13">
        <f t="shared" si="97"/>
        <v>73.000386378487093</v>
      </c>
      <c r="DR115" s="20">
        <f t="shared" si="70"/>
        <v>664.82079949919864</v>
      </c>
      <c r="DS115" s="59">
        <f t="shared" si="71"/>
        <v>945.24211091476946</v>
      </c>
      <c r="DT115" s="59">
        <f ca="1">AVERAGE(OFFSET($DS$3,0,0,'Données projet'!$E$14+1,1))-AVERAGE(OFFSET($H$3,0,0,'Données projet'!$E$14+1,1))</f>
        <v>441.20130048888439</v>
      </c>
      <c r="DU115" s="59">
        <f t="shared" si="98"/>
        <v>237.47732532183946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114.26207454606181</v>
      </c>
      <c r="EB115" s="21">
        <f>EXP(-LN(2)/25)*EB114+(1-EXP(-LN(2)/25))/(LN(2)/25)*Calculateur!DW115*Calculateur!DY115*VLOOKUP('Données projet'!$B$14,Paramètres!$A$1:$I$89,3,0)*0.475*44/12</f>
        <v>0</v>
      </c>
      <c r="EC115" s="21">
        <f>EXP(-LN(2)/2)*EC114+(1-EXP(-LN(2)/2))/(LN(2)/2)*DW115*DZ115*VLOOKUP('Données projet'!$B$14,Paramètres!$A$1:$I$89,3,0)*0.475*44/12</f>
        <v>0</v>
      </c>
      <c r="ED115" s="22">
        <f t="shared" si="72"/>
        <v>114.26207454606181</v>
      </c>
      <c r="EE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319</v>
      </c>
      <c r="EK115" s="17">
        <f>EJ115*VLOOKUP('Données projet'!$B$15,Paramètres!$A$1:$I$89,3,0)*VLOOKUP('Données projet'!$B$15,Paramètres!$A$1:$I$89,5,0)</f>
        <v>253.79640000000001</v>
      </c>
      <c r="EL115" s="13">
        <f t="shared" si="99"/>
        <v>61.39816832228076</v>
      </c>
      <c r="EM115" s="20">
        <f t="shared" si="73"/>
        <v>548.96387316130563</v>
      </c>
      <c r="EN115" s="59">
        <f t="shared" si="74"/>
        <v>829.38518457687655</v>
      </c>
      <c r="EO115" s="59">
        <f ca="1">AVERAGE(OFFSET($EN$3,0,0,'Données projet'!$E$15+1,1))-AVERAGE(OFFSET($H$3,0,0,'Données projet'!$E$15+1,1))</f>
        <v>377.27600411578322</v>
      </c>
      <c r="EP115" s="59">
        <f t="shared" si="100"/>
        <v>364.58250627635425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>
        <f>EXP(-LN(2)/35)*EV114+(1-EXP(-LN(2)/35))/(LN(2)/35)*ER115*ES115*VLOOKUP('Données projet'!$B$15,Paramètres!$A$1:$I$89,3,0)*0.475*44/12</f>
        <v>28.211413108181524</v>
      </c>
      <c r="EW115" s="21">
        <f>EXP(-LN(2)/25)*EW114+(1-EXP(-LN(2)/25))/(LN(2)/25)*Calculateur!ER115*Calculateur!ET115*VLOOKUP('Données projet'!$B$15,Paramètres!$A$1:$I$89,3,0)*0.475*44/12</f>
        <v>0</v>
      </c>
      <c r="EX115" s="21">
        <f>EXP(-LN(2)/2)*EX114+(1-EXP(-LN(2)/2))/(LN(2)/2)*ER115*EU115*VLOOKUP('Données projet'!$B$15,Paramètres!$A$1:$I$89,3,0)*0.475*44/12</f>
        <v>0</v>
      </c>
      <c r="EY115" s="22">
        <f t="shared" si="75"/>
        <v>28.211413108181524</v>
      </c>
      <c r="EZ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319</v>
      </c>
      <c r="FF115" s="17">
        <f>FE115*VLOOKUP('Données projet'!$B$16,Paramètres!$A$1:$I$89,3,0)*VLOOKUP('Données projet'!$B$16,Paramètres!$A$1:$I$89,5,0)</f>
        <v>258.77280000000002</v>
      </c>
      <c r="FG115" s="13">
        <f t="shared" si="101"/>
        <v>62.460716522234691</v>
      </c>
      <c r="FH115" s="20">
        <f t="shared" si="76"/>
        <v>559.48170794289206</v>
      </c>
      <c r="FI115" s="59">
        <f t="shared" si="77"/>
        <v>839.90301935846287</v>
      </c>
      <c r="FJ115" s="59">
        <f ca="1">AVERAGE(OFFSET($FI$3,0,0,'Données projet'!$E$16+1,1))-AVERAGE(OFFSET($H$3,0,0,'Données projet'!$E$16+1,1))</f>
        <v>383.47399633251354</v>
      </c>
      <c r="FK115" s="59">
        <f t="shared" si="102"/>
        <v>370.49129421395628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>
        <f>EXP(-LN(2)/35)*FQ114+(1-EXP(-LN(2)/35))/(LN(2)/35)*FM115*FN115*VLOOKUP('Données projet'!$B$16,Paramètres!$A$1:$I$89,3,0)*0.475*44/12</f>
        <v>28.764578071087065</v>
      </c>
      <c r="FR115" s="21">
        <f>EXP(-LN(2)/25)*FR114+(1-EXP(-LN(2)/25))/(LN(2)/25)*Calculateur!FM115*Calculateur!FO115*VLOOKUP('Données projet'!$B$16,Paramètres!$A$1:$I$89,3,0)*0.475*44/12</f>
        <v>0</v>
      </c>
      <c r="FS115" s="21">
        <f>EXP(-LN(2)/2)*FS114+(1-EXP(-LN(2)/2))/(LN(2)/2)*FM115*FP115*VLOOKUP('Données projet'!$B$16,Paramètres!$A$1:$I$89,3,0)*0.475*44/12</f>
        <v>0</v>
      </c>
      <c r="FT115" s="22">
        <f t="shared" si="78"/>
        <v>28.764578071087065</v>
      </c>
      <c r="FU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9.4029999999999916</v>
      </c>
      <c r="FZ115" s="12">
        <f>IF('Données projet'!$A$244&gt;35,FZ114+FY115-GH114,IF(A115&lt;'Données projet'!$A$244,$FW$205^A115,IF(A115='Données projet'!$A$244,'Données projet'!$B$244,FZ114+FY115-GH114)))</f>
        <v>460.21900000000028</v>
      </c>
      <c r="GA115" s="17">
        <f>FZ115*VLOOKUP('Données projet'!$B$17,Paramètres!$A$1:$I$89,3,0)*VLOOKUP('Données projet'!$B$17,Paramètres!$A$1:$I$89,5,0)</f>
        <v>437.94440040000029</v>
      </c>
      <c r="GB115" s="13">
        <f t="shared" si="103"/>
        <v>99.428267860478925</v>
      </c>
      <c r="GC115" s="20">
        <f t="shared" si="79"/>
        <v>935.92406388700135</v>
      </c>
      <c r="GD115" s="59">
        <f t="shared" si="80"/>
        <v>1216.3453753025722</v>
      </c>
      <c r="GE115" s="59">
        <f ca="1">AVERAGE(OFFSET($GD$3,0,0,'Données projet'!$E$17+1,1))-AVERAGE(OFFSET($H$3,0,0,'Données projet'!$E$17+1,1))</f>
        <v>592.58528889137358</v>
      </c>
      <c r="GF115" s="59">
        <f t="shared" si="104"/>
        <v>311.31528020403709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>
        <f>EXP(-LN(2)/35)*GL114+(1-EXP(-LN(2)/35))/(LN(2)/35)*GH115*GI115*VLOOKUP('Données projet'!$B$17,Paramètres!$A$1:$I$89,3,0)*0.475*44/12</f>
        <v>131.50918013792023</v>
      </c>
      <c r="GM115" s="21">
        <f>EXP(-LN(2)/25)*GM114+(1-EXP(-LN(2)/25))/(LN(2)/25)*Calculateur!GH115*Calculateur!GJ115*VLOOKUP('Données projet'!$B$17,Paramètres!$A$1:$I$89,3,0)*0.475*44/12</f>
        <v>0</v>
      </c>
      <c r="GN115" s="21">
        <f>EXP(-LN(2)/2)*GN114+(1-EXP(-LN(2)/2))/(LN(2)/2)*GH115*GK115*VLOOKUP('Données projet'!$B$17,Paramètres!$A$1:$I$89,3,0)*0.475*44/12</f>
        <v>0</v>
      </c>
      <c r="GO115" s="21">
        <f t="shared" si="81"/>
        <v>131.50918013792023</v>
      </c>
      <c r="GP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328.00000000000006</v>
      </c>
      <c r="GV115" s="17">
        <f>GU115*VLOOKUP('Données projet'!$B$18,Paramètres!$A$1:$I$89,3,0)*VLOOKUP('Données projet'!$B$18,Paramètres!$A$1:$I$89,5,0)</f>
        <v>255.84000000000006</v>
      </c>
      <c r="GW115" s="13">
        <f t="shared" si="105"/>
        <v>61.834803371075836</v>
      </c>
      <c r="GX115" s="20">
        <f t="shared" si="82"/>
        <v>553.28361587129041</v>
      </c>
      <c r="GY115" s="59">
        <f t="shared" si="83"/>
        <v>833.70492728686122</v>
      </c>
      <c r="GZ115" s="59">
        <f ca="1">AVERAGE(OFFSET($GY$3,0,0,'Données projet'!$E$18+1,1))-AVERAGE(OFFSET($H$3,0,0,'Données projet'!$E$18+1,1))</f>
        <v>308.85018589589453</v>
      </c>
      <c r="HA115" s="59">
        <f t="shared" si="106"/>
        <v>302.59481222418219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>
        <f>EXP(-LN(2)/35)*HG114+(1-EXP(-LN(2)/35))/(LN(2)/35)*HC115*HD115*VLOOKUP('Données projet'!$B$18,Paramètres!$A$1:$I$89,3,0)*0.475*44/12</f>
        <v>21.499235313908056</v>
      </c>
      <c r="HH115" s="21">
        <f>EXP(-LN(2)/25)*HH114+(1-EXP(-LN(2)/25))/(LN(2)/25)*Calculateur!HC115*Calculateur!HE115*VLOOKUP('Données projet'!$B$18,Paramètres!$A$1:$I$89,3,0)*0.475*44/12</f>
        <v>0</v>
      </c>
      <c r="HI115" s="21">
        <f>EXP(-LN(2)/2)*HI114+(1-EXP(-LN(2)/2))/(LN(2)/2)*HC115*HF115*VLOOKUP('Données projet'!$B$18,Paramètres!$A$1:$I$89,3,0)*0.475*44/12</f>
        <v>0</v>
      </c>
      <c r="HJ115" s="22">
        <f t="shared" si="84"/>
        <v>21.499235313908056</v>
      </c>
    </row>
    <row r="116" spans="1:218" x14ac:dyDescent="0.35">
      <c r="A116" s="10">
        <f t="shared" si="85"/>
        <v>113</v>
      </c>
      <c r="B116" s="72">
        <f>'Scénario référence'!$B$16*5+'Scénario référence'!$B$17*0+'Scénario référence'!$B$18*5</f>
        <v>5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66">
        <f t="shared" si="56"/>
        <v>183.33333333333334</v>
      </c>
      <c r="I116" s="6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9.4029999999999916</v>
      </c>
      <c r="N116" s="13">
        <f>IF('Données projet'!$A$36&gt;35,N115+M116-V115,IF(A116&lt;'Données projet'!$A$36,$K$205^A116,IF(A116='Données projet'!$A$36,'Données projet'!$B$36,N115+M116-V115)))</f>
        <v>469.6220000000003</v>
      </c>
      <c r="O116" s="13">
        <f>N116*VLOOKUP('Données projet'!$B$9,Paramètres!$A$1:$I$89,3,0)*VLOOKUP('Données projet'!$B$9,Paramètres!$A$1:$I$89,5,0)</f>
        <v>424.91398560000027</v>
      </c>
      <c r="P116" s="13">
        <f t="shared" si="87"/>
        <v>96.809694839252401</v>
      </c>
      <c r="Q116" s="20">
        <f t="shared" si="107"/>
        <v>908.66874343169832</v>
      </c>
      <c r="R116" s="59">
        <f t="shared" si="55"/>
        <v>1189.314049560586</v>
      </c>
      <c r="S116" s="59">
        <f ca="1">AVERAGE(OFFSET($R$3,0,0,'Données projet'!$E$9+1,1))-AVERAGE(OFFSET($H$3,0,0,'Données projet'!$E$9+1,1))</f>
        <v>567.42635821507474</v>
      </c>
      <c r="T116" s="59">
        <f t="shared" si="88"/>
        <v>299.04735309930152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122.58952768900846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122.58952768900846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9.4029999999999916</v>
      </c>
      <c r="AI116" s="13">
        <f>IF('Données projet'!$A$62&gt;35,AI115+AH116-AQ115,IF(A116&lt;'Données projet'!$A$62,$AF$205^A116,IF(A116='Données projet'!$A$62,'Données projet'!$B$62,AI115+AH116-AQ115)))</f>
        <v>469.6220000000003</v>
      </c>
      <c r="AJ116" s="13">
        <f>AI116*VLOOKUP('Données projet'!$B$10,Paramètres!$A$1:$I$89,3,0)*VLOOKUP('Données projet'!$B$10,Paramètres!$A$1:$I$89,5,0)</f>
        <v>476.1967080000004</v>
      </c>
      <c r="AK116" s="13">
        <f t="shared" si="89"/>
        <v>107.06416098502906</v>
      </c>
      <c r="AL116" s="20">
        <f t="shared" si="58"/>
        <v>1015.8460134822595</v>
      </c>
      <c r="AM116" s="59">
        <f t="shared" si="59"/>
        <v>1296.4913196111472</v>
      </c>
      <c r="AN116" s="59">
        <f ca="1">AVERAGE(OFFSET($AM$3,0,0,'Données projet'!$E$10+1,1))-AVERAGE(OFFSET($H$3,0,0,'Données projet'!$E$10+1,1))</f>
        <v>626.09203985591455</v>
      </c>
      <c r="AO116" s="59">
        <f t="shared" si="90"/>
        <v>327.65191296575199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137.38481551354403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137.38481551354403</v>
      </c>
      <c r="AY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5.6</v>
      </c>
      <c r="BD116" s="12">
        <f>IF('Données projet'!$A$88&gt;35,BD115+BC116-BL115,IF(A116&lt;'Données projet'!$A$88,$BA$205^A116,IF(A116='Données projet'!$A$88,'Données projet'!$B$88,BD115+BC116-BL115)))</f>
        <v>414.80000000000013</v>
      </c>
      <c r="BE116" s="13">
        <f>BD116*VLOOKUP('Données projet'!$B$11,Paramètres!$A$1:$I$89,3,0)*VLOOKUP('Données projet'!$B$11,Paramètres!$A$1:$I$89,5,0)</f>
        <v>355.89840000000015</v>
      </c>
      <c r="BF116" s="13">
        <f t="shared" si="91"/>
        <v>82.775869214346599</v>
      </c>
      <c r="BG116" s="20">
        <f t="shared" si="61"/>
        <v>764.02435221498718</v>
      </c>
      <c r="BH116" s="59">
        <f t="shared" si="62"/>
        <v>1044.6696583438747</v>
      </c>
      <c r="BI116" s="59">
        <f ca="1">AVERAGE(OFFSET($BH$3,0,0,'Données projet'!$E$11+1,1))-AVERAGE(OFFSET($H$3,0,0,'Données projet'!$E$11+1,1))</f>
        <v>481.23392184981651</v>
      </c>
      <c r="BJ116" s="59">
        <f t="shared" si="92"/>
        <v>275.88160405468193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103.31269214442933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103.31269214442933</v>
      </c>
      <c r="BT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5.2499999999990337</v>
      </c>
      <c r="BZ116" s="13">
        <f>BY116*VLOOKUP('Données projet'!$B$12,Paramètres!$A$1:$I$89,3,0)*VLOOKUP('Données projet'!$B$12,Paramètres!$A$1:$I$89,5,0)</f>
        <v>2.4569999999995478</v>
      </c>
      <c r="CA116" s="13">
        <f t="shared" si="93"/>
        <v>1.0197977774625564</v>
      </c>
      <c r="CB116" s="20">
        <f t="shared" si="64"/>
        <v>6.0554227957464972</v>
      </c>
      <c r="CC116" s="59">
        <f t="shared" si="65"/>
        <v>286.70072892463412</v>
      </c>
      <c r="CD116" s="59">
        <f ca="1">AVERAGE(OFFSET($CC$3,0,0,'Données projet'!$E$12+1,1))-AVERAGE(OFFSET($H$3,0,0,'Données projet'!$E$12+1,1))</f>
        <v>331.86732359395467</v>
      </c>
      <c r="CE116" s="59">
        <f t="shared" si="94"/>
        <v>208.64489375183106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224.39059340331349</v>
      </c>
      <c r="CL116" s="21">
        <f>EXP(-LN(2)/25)*CL115+(1-EXP(-LN(2)/25))/(LN(2)/25)*Calculateur!CG116*Calculateur!CI116*VLOOKUP('Données projet'!$B$12,Paramètres!$A$1:$I$89,3,0)*0.475*44/12</f>
        <v>0</v>
      </c>
      <c r="CM116" s="21">
        <f>EXP(-LN(2)/2)*CM115+(1-EXP(-LN(2)/2))/(LN(2)/2)*CG116*CJ116*VLOOKUP('Données projet'!$B$12,Paramètres!$A$1:$I$89,3,0)*0.475*44/12</f>
        <v>0</v>
      </c>
      <c r="CN116" s="22">
        <f t="shared" si="66"/>
        <v>224.39059340331349</v>
      </c>
      <c r="CO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319</v>
      </c>
      <c r="CU116" s="17">
        <f>CT116*VLOOKUP('Données projet'!$B$13,Paramètres!$A$1:$I$89,3,0)*VLOOKUP('Données projet'!$B$13,Paramètres!$A$1:$I$89,5,0)</f>
        <v>233.89079999999998</v>
      </c>
      <c r="CV116" s="13">
        <f t="shared" si="95"/>
        <v>57.123140349023068</v>
      </c>
      <c r="CW116" s="20">
        <f t="shared" si="67"/>
        <v>506.84927944121517</v>
      </c>
      <c r="CX116" s="59">
        <f t="shared" si="68"/>
        <v>787.4945855701028</v>
      </c>
      <c r="CY116" s="59">
        <f ca="1">AVERAGE(OFFSET($CX$3,0,0,'Données projet'!$E$13+1,1))-AVERAGE(OFFSET($H$3,0,0,'Données projet'!$E$13+1,1))</f>
        <v>352.45777291109863</v>
      </c>
      <c r="CZ116" s="59">
        <f t="shared" si="96"/>
        <v>340.92165104349181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20.679700815160288</v>
      </c>
      <c r="DG116" s="21">
        <f>EXP(-LN(2)/25)*DG115+(1-EXP(-LN(2)/25))/(LN(2)/25)*Calculateur!DB116*Calculateur!DD116*VLOOKUP('Données projet'!$B$13,Paramètres!$A$1:$I$89,3,0)*0.475*44/12</f>
        <v>0</v>
      </c>
      <c r="DH116" s="21">
        <f>EXP(-LN(2)/2)*DH115+(1-EXP(-LN(2)/2))/(LN(2)/2)*DB116*DE116*VLOOKUP('Données projet'!$B$13,Paramètres!$A$1:$I$89,3,0)*0.475*44/12</f>
        <v>0</v>
      </c>
      <c r="DI116" s="22">
        <f t="shared" si="69"/>
        <v>20.679700815160288</v>
      </c>
      <c r="DJ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9.4029999999999916</v>
      </c>
      <c r="DO116" s="12">
        <f>IF('Données projet'!$A$166&gt;35,DO115+DN116-DW115,IF(A116&lt;'Données projet'!$A$166,$DL$205^A116,IF(A116='Données projet'!$A$166,'Données projet'!$B$166,DO115+DN116-DW115)))</f>
        <v>469.6220000000003</v>
      </c>
      <c r="DP116" s="17">
        <f>DO116*VLOOKUP('Données projet'!$B$14,Paramètres!$A$1:$I$89,3,0)*VLOOKUP('Données projet'!$B$14,Paramètres!$A$1:$I$89,5,0)</f>
        <v>315.02243760000022</v>
      </c>
      <c r="DQ116" s="13">
        <f t="shared" si="97"/>
        <v>74.31673193666235</v>
      </c>
      <c r="DR116" s="20">
        <f t="shared" si="70"/>
        <v>678.0990536096873</v>
      </c>
      <c r="DS116" s="59">
        <f t="shared" si="71"/>
        <v>958.74435973857499</v>
      </c>
      <c r="DT116" s="59">
        <f ca="1">AVERAGE(OFFSET($DS$3,0,0,'Données projet'!$E$14+1,1))-AVERAGE(OFFSET($H$3,0,0,'Données projet'!$E$14+1,1))</f>
        <v>441.20130048888439</v>
      </c>
      <c r="DU116" s="59">
        <f t="shared" si="98"/>
        <v>237.47732532183946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112.0214649571974</v>
      </c>
      <c r="EB116" s="21">
        <f>EXP(-LN(2)/25)*EB115+(1-EXP(-LN(2)/25))/(LN(2)/25)*Calculateur!DW116*Calculateur!DY116*VLOOKUP('Données projet'!$B$14,Paramètres!$A$1:$I$89,3,0)*0.475*44/12</f>
        <v>0</v>
      </c>
      <c r="EC116" s="21">
        <f>EXP(-LN(2)/2)*EC115+(1-EXP(-LN(2)/2))/(LN(2)/2)*DW116*DZ116*VLOOKUP('Données projet'!$B$14,Paramètres!$A$1:$I$89,3,0)*0.475*44/12</f>
        <v>0</v>
      </c>
      <c r="ED116" s="22">
        <f t="shared" si="72"/>
        <v>112.0214649571974</v>
      </c>
      <c r="EE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319</v>
      </c>
      <c r="EK116" s="17">
        <f>EJ116*VLOOKUP('Données projet'!$B$15,Paramètres!$A$1:$I$89,3,0)*VLOOKUP('Données projet'!$B$15,Paramètres!$A$1:$I$89,5,0)</f>
        <v>253.79640000000001</v>
      </c>
      <c r="EL116" s="13">
        <f t="shared" si="99"/>
        <v>61.39816832228076</v>
      </c>
      <c r="EM116" s="20">
        <f t="shared" si="73"/>
        <v>548.96387316130563</v>
      </c>
      <c r="EN116" s="59">
        <f t="shared" si="74"/>
        <v>829.6091792901932</v>
      </c>
      <c r="EO116" s="59">
        <f ca="1">AVERAGE(OFFSET($EN$3,0,0,'Données projet'!$E$15+1,1))-AVERAGE(OFFSET($H$3,0,0,'Données projet'!$E$15+1,1))</f>
        <v>377.27600411578322</v>
      </c>
      <c r="EP116" s="59">
        <f t="shared" si="100"/>
        <v>364.58250627635425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>
        <f>EXP(-LN(2)/35)*EV115+(1-EXP(-LN(2)/35))/(LN(2)/35)*ER116*ES116*VLOOKUP('Données projet'!$B$15,Paramètres!$A$1:$I$89,3,0)*0.475*44/12</f>
        <v>27.658204504393005</v>
      </c>
      <c r="EW116" s="21">
        <f>EXP(-LN(2)/25)*EW115+(1-EXP(-LN(2)/25))/(LN(2)/25)*Calculateur!ER116*Calculateur!ET116*VLOOKUP('Données projet'!$B$15,Paramètres!$A$1:$I$89,3,0)*0.475*44/12</f>
        <v>0</v>
      </c>
      <c r="EX116" s="21">
        <f>EXP(-LN(2)/2)*EX115+(1-EXP(-LN(2)/2))/(LN(2)/2)*ER116*EU116*VLOOKUP('Données projet'!$B$15,Paramètres!$A$1:$I$89,3,0)*0.475*44/12</f>
        <v>0</v>
      </c>
      <c r="EY116" s="22">
        <f t="shared" si="75"/>
        <v>27.658204504393005</v>
      </c>
      <c r="EZ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319</v>
      </c>
      <c r="FF116" s="17">
        <f>FE116*VLOOKUP('Données projet'!$B$16,Paramètres!$A$1:$I$89,3,0)*VLOOKUP('Données projet'!$B$16,Paramètres!$A$1:$I$89,5,0)</f>
        <v>258.77280000000002</v>
      </c>
      <c r="FG116" s="13">
        <f t="shared" si="101"/>
        <v>62.460716522234691</v>
      </c>
      <c r="FH116" s="20">
        <f t="shared" si="76"/>
        <v>559.48170794289206</v>
      </c>
      <c r="FI116" s="59">
        <f t="shared" si="77"/>
        <v>840.12701407177974</v>
      </c>
      <c r="FJ116" s="59">
        <f ca="1">AVERAGE(OFFSET($FI$3,0,0,'Données projet'!$E$16+1,1))-AVERAGE(OFFSET($H$3,0,0,'Données projet'!$E$16+1,1))</f>
        <v>383.47399633251354</v>
      </c>
      <c r="FK116" s="59">
        <f t="shared" si="102"/>
        <v>370.49129421395628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>
        <f>EXP(-LN(2)/35)*FQ115+(1-EXP(-LN(2)/35))/(LN(2)/35)*FM116*FN116*VLOOKUP('Données projet'!$B$16,Paramètres!$A$1:$I$89,3,0)*0.475*44/12</f>
        <v>28.200522239773282</v>
      </c>
      <c r="FR116" s="21">
        <f>EXP(-LN(2)/25)*FR115+(1-EXP(-LN(2)/25))/(LN(2)/25)*Calculateur!FM116*Calculateur!FO116*VLOOKUP('Données projet'!$B$16,Paramètres!$A$1:$I$89,3,0)*0.475*44/12</f>
        <v>0</v>
      </c>
      <c r="FS116" s="21">
        <f>EXP(-LN(2)/2)*FS115+(1-EXP(-LN(2)/2))/(LN(2)/2)*FM116*FP116*VLOOKUP('Données projet'!$B$16,Paramètres!$A$1:$I$89,3,0)*0.475*44/12</f>
        <v>0</v>
      </c>
      <c r="FT116" s="22">
        <f t="shared" si="78"/>
        <v>28.200522239773282</v>
      </c>
      <c r="FU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9.4029999999999916</v>
      </c>
      <c r="FZ116" s="12">
        <f>IF('Données projet'!$A$244&gt;35,FZ115+FY116-GH115,IF(A116&lt;'Données projet'!$A$244,$FW$205^A116,IF(A116='Données projet'!$A$244,'Données projet'!$B$244,FZ115+FY116-GH115)))</f>
        <v>469.6220000000003</v>
      </c>
      <c r="GA116" s="17">
        <f>FZ116*VLOOKUP('Données projet'!$B$17,Paramètres!$A$1:$I$89,3,0)*VLOOKUP('Données projet'!$B$17,Paramètres!$A$1:$I$89,5,0)</f>
        <v>446.89229520000032</v>
      </c>
      <c r="GB116" s="13">
        <f t="shared" si="103"/>
        <v>101.22116191554059</v>
      </c>
      <c r="GC116" s="20">
        <f t="shared" si="79"/>
        <v>954.63093780956694</v>
      </c>
      <c r="GD116" s="59">
        <f t="shared" si="80"/>
        <v>1235.2762439384546</v>
      </c>
      <c r="GE116" s="59">
        <f ca="1">AVERAGE(OFFSET($GD$3,0,0,'Données projet'!$E$17+1,1))-AVERAGE(OFFSET($H$3,0,0,'Données projet'!$E$17+1,1))</f>
        <v>592.58528889137358</v>
      </c>
      <c r="GF116" s="59">
        <f t="shared" si="104"/>
        <v>311.31528020403709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>
        <f>EXP(-LN(2)/35)*GL115+(1-EXP(-LN(2)/35))/(LN(2)/35)*GH116*GI116*VLOOKUP('Données projet'!$B$17,Paramètres!$A$1:$I$89,3,0)*0.475*44/12</f>
        <v>128.93036532809515</v>
      </c>
      <c r="GM116" s="21">
        <f>EXP(-LN(2)/25)*GM115+(1-EXP(-LN(2)/25))/(LN(2)/25)*Calculateur!GH116*Calculateur!GJ116*VLOOKUP('Données projet'!$B$17,Paramètres!$A$1:$I$89,3,0)*0.475*44/12</f>
        <v>0</v>
      </c>
      <c r="GN116" s="21">
        <f>EXP(-LN(2)/2)*GN115+(1-EXP(-LN(2)/2))/(LN(2)/2)*GH116*GK116*VLOOKUP('Données projet'!$B$17,Paramètres!$A$1:$I$89,3,0)*0.475*44/12</f>
        <v>0</v>
      </c>
      <c r="GO116" s="21">
        <f t="shared" si="81"/>
        <v>128.93036532809515</v>
      </c>
      <c r="GP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328.00000000000006</v>
      </c>
      <c r="GV116" s="17">
        <f>GU116*VLOOKUP('Données projet'!$B$18,Paramètres!$A$1:$I$89,3,0)*VLOOKUP('Données projet'!$B$18,Paramètres!$A$1:$I$89,5,0)</f>
        <v>255.84000000000006</v>
      </c>
      <c r="GW116" s="13">
        <f t="shared" si="105"/>
        <v>61.834803371075836</v>
      </c>
      <c r="GX116" s="20">
        <f t="shared" si="82"/>
        <v>553.28361587129041</v>
      </c>
      <c r="GY116" s="59">
        <f t="shared" si="83"/>
        <v>833.92892200017809</v>
      </c>
      <c r="GZ116" s="59">
        <f ca="1">AVERAGE(OFFSET($GY$3,0,0,'Données projet'!$E$18+1,1))-AVERAGE(OFFSET($H$3,0,0,'Données projet'!$E$18+1,1))</f>
        <v>308.85018589589453</v>
      </c>
      <c r="HA116" s="59">
        <f t="shared" si="106"/>
        <v>302.59481222418219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>
        <f>EXP(-LN(2)/35)*HG115+(1-EXP(-LN(2)/35))/(LN(2)/35)*HC116*HD116*VLOOKUP('Données projet'!$B$18,Paramètres!$A$1:$I$89,3,0)*0.475*44/12</f>
        <v>21.077648422641037</v>
      </c>
      <c r="HH116" s="21">
        <f>EXP(-LN(2)/25)*HH115+(1-EXP(-LN(2)/25))/(LN(2)/25)*Calculateur!HC116*Calculateur!HE116*VLOOKUP('Données projet'!$B$18,Paramètres!$A$1:$I$89,3,0)*0.475*44/12</f>
        <v>0</v>
      </c>
      <c r="HI116" s="21">
        <f>EXP(-LN(2)/2)*HI115+(1-EXP(-LN(2)/2))/(LN(2)/2)*HC116*HF116*VLOOKUP('Données projet'!$B$18,Paramètres!$A$1:$I$89,3,0)*0.475*44/12</f>
        <v>0</v>
      </c>
      <c r="HJ116" s="22">
        <f t="shared" si="84"/>
        <v>21.077648422641037</v>
      </c>
    </row>
    <row r="117" spans="1:218" x14ac:dyDescent="0.35">
      <c r="A117" s="10">
        <f t="shared" si="85"/>
        <v>114</v>
      </c>
      <c r="B117" s="72">
        <f>'Scénario référence'!$B$16*5+'Scénario référence'!$B$17*0+'Scénario référence'!$B$18*5</f>
        <v>5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66">
        <f t="shared" si="56"/>
        <v>183.33333333333334</v>
      </c>
      <c r="I117" s="6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9.4029999999999916</v>
      </c>
      <c r="N117" s="13">
        <f>IF('Données projet'!$A$36&gt;35,N116+M117-V116,IF(A117&lt;'Données projet'!$A$36,$K$205^A117,IF(A117='Données projet'!$A$36,'Données projet'!$B$36,N116+M117-V116)))</f>
        <v>479.02500000000032</v>
      </c>
      <c r="O117" s="13">
        <f>N117*VLOOKUP('Données projet'!$B$9,Paramètres!$A$1:$I$89,3,0)*VLOOKUP('Données projet'!$B$9,Paramètres!$A$1:$I$89,5,0)</f>
        <v>433.42182000000025</v>
      </c>
      <c r="P117" s="13">
        <f t="shared" si="87"/>
        <v>98.520458096711138</v>
      </c>
      <c r="Q117" s="20">
        <f t="shared" si="107"/>
        <v>926.46613435177221</v>
      </c>
      <c r="R117" s="59">
        <f t="shared" si="55"/>
        <v>1207.3315493864777</v>
      </c>
      <c r="S117" s="59">
        <f ca="1">AVERAGE(OFFSET($R$3,0,0,'Données projet'!$E$9+1,1))-AVERAGE(OFFSET($H$3,0,0,'Données projet'!$E$9+1,1))</f>
        <v>567.42635821507474</v>
      </c>
      <c r="T117" s="59">
        <f t="shared" si="88"/>
        <v>299.04735309930152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120.18562182325576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120.18562182325576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9.4029999999999916</v>
      </c>
      <c r="AI117" s="13">
        <f>IF('Données projet'!$A$62&gt;35,AI116+AH117-AQ116,IF(A117&lt;'Données projet'!$A$62,$AF$205^A117,IF(A117='Données projet'!$A$62,'Données projet'!$B$62,AI116+AH117-AQ116)))</f>
        <v>479.02500000000032</v>
      </c>
      <c r="AJ117" s="13">
        <f>AI117*VLOOKUP('Données projet'!$B$10,Paramètres!$A$1:$I$89,3,0)*VLOOKUP('Données projet'!$B$10,Paramètres!$A$1:$I$89,5,0)</f>
        <v>485.73135000000036</v>
      </c>
      <c r="AK117" s="13">
        <f t="shared" si="89"/>
        <v>108.95613505960884</v>
      </c>
      <c r="AL117" s="20">
        <f t="shared" si="58"/>
        <v>1035.7473698121528</v>
      </c>
      <c r="AM117" s="59">
        <f t="shared" si="59"/>
        <v>1316.6127848468582</v>
      </c>
      <c r="AN117" s="59">
        <f ca="1">AVERAGE(OFFSET($AM$3,0,0,'Données projet'!$E$10+1,1))-AVERAGE(OFFSET($H$3,0,0,'Données projet'!$E$10+1,1))</f>
        <v>626.09203985591455</v>
      </c>
      <c r="AO117" s="59">
        <f t="shared" si="90"/>
        <v>327.65191296575199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134.69078307778668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134.69078307778668</v>
      </c>
      <c r="AY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5.6</v>
      </c>
      <c r="BD117" s="12">
        <f>IF('Données projet'!$A$88&gt;35,BD116+BC117-BL116,IF(A117&lt;'Données projet'!$A$88,$BA$205^A117,IF(A117='Données projet'!$A$88,'Données projet'!$B$88,BD116+BC117-BL116)))</f>
        <v>420.40000000000015</v>
      </c>
      <c r="BE117" s="13">
        <f>BD117*VLOOKUP('Données projet'!$B$11,Paramètres!$A$1:$I$89,3,0)*VLOOKUP('Données projet'!$B$11,Paramètres!$A$1:$I$89,5,0)</f>
        <v>360.70320000000021</v>
      </c>
      <c r="BF117" s="13">
        <f t="shared" si="91"/>
        <v>83.762532727902268</v>
      </c>
      <c r="BG117" s="20">
        <f t="shared" si="61"/>
        <v>774.11115116776352</v>
      </c>
      <c r="BH117" s="59">
        <f t="shared" si="62"/>
        <v>1054.976566202469</v>
      </c>
      <c r="BI117" s="59">
        <f ca="1">AVERAGE(OFFSET($BH$3,0,0,'Données projet'!$E$11+1,1))-AVERAGE(OFFSET($H$3,0,0,'Données projet'!$E$11+1,1))</f>
        <v>481.23392184981651</v>
      </c>
      <c r="BJ117" s="59">
        <f t="shared" si="92"/>
        <v>275.88160405468193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101.28679326599712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101.28679326599712</v>
      </c>
      <c r="BT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5.2499999999990337</v>
      </c>
      <c r="BZ117" s="13">
        <f>BY117*VLOOKUP('Données projet'!$B$12,Paramètres!$A$1:$I$89,3,0)*VLOOKUP('Données projet'!$B$12,Paramètres!$A$1:$I$89,5,0)</f>
        <v>2.4569999999995478</v>
      </c>
      <c r="CA117" s="13">
        <f t="shared" si="93"/>
        <v>1.0197977774625564</v>
      </c>
      <c r="CB117" s="20">
        <f t="shared" si="64"/>
        <v>6.0554227957464972</v>
      </c>
      <c r="CC117" s="59">
        <f t="shared" si="65"/>
        <v>286.92083783045194</v>
      </c>
      <c r="CD117" s="59">
        <f ca="1">AVERAGE(OFFSET($CC$3,0,0,'Données projet'!$E$12+1,1))-AVERAGE(OFFSET($H$3,0,0,'Données projet'!$E$12+1,1))</f>
        <v>331.86732359395467</v>
      </c>
      <c r="CE117" s="59">
        <f t="shared" si="94"/>
        <v>208.64489375183106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219.99043073142221</v>
      </c>
      <c r="CL117" s="21">
        <f>EXP(-LN(2)/25)*CL116+(1-EXP(-LN(2)/25))/(LN(2)/25)*Calculateur!CG117*Calculateur!CI117*VLOOKUP('Données projet'!$B$12,Paramètres!$A$1:$I$89,3,0)*0.475*44/12</f>
        <v>0</v>
      </c>
      <c r="CM117" s="21">
        <f>EXP(-LN(2)/2)*CM116+(1-EXP(-LN(2)/2))/(LN(2)/2)*CG117*CJ117*VLOOKUP('Données projet'!$B$12,Paramètres!$A$1:$I$89,3,0)*0.475*44/12</f>
        <v>0</v>
      </c>
      <c r="CN117" s="22">
        <f t="shared" si="66"/>
        <v>219.99043073142221</v>
      </c>
      <c r="CO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319</v>
      </c>
      <c r="CU117" s="17">
        <f>CT117*VLOOKUP('Données projet'!$B$13,Paramètres!$A$1:$I$89,3,0)*VLOOKUP('Données projet'!$B$13,Paramètres!$A$1:$I$89,5,0)</f>
        <v>233.89079999999998</v>
      </c>
      <c r="CV117" s="13">
        <f t="shared" si="95"/>
        <v>57.123140349023068</v>
      </c>
      <c r="CW117" s="20">
        <f t="shared" si="67"/>
        <v>506.84927944121517</v>
      </c>
      <c r="CX117" s="59">
        <f t="shared" si="68"/>
        <v>787.71469447592062</v>
      </c>
      <c r="CY117" s="59">
        <f ca="1">AVERAGE(OFFSET($CX$3,0,0,'Données projet'!$E$13+1,1))-AVERAGE(OFFSET($H$3,0,0,'Données projet'!$E$13+1,1))</f>
        <v>352.45777291109863</v>
      </c>
      <c r="CZ117" s="59">
        <f t="shared" si="96"/>
        <v>340.92165104349181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20.274184495547026</v>
      </c>
      <c r="DG117" s="21">
        <f>EXP(-LN(2)/25)*DG116+(1-EXP(-LN(2)/25))/(LN(2)/25)*Calculateur!DB117*Calculateur!DD117*VLOOKUP('Données projet'!$B$13,Paramètres!$A$1:$I$89,3,0)*0.475*44/12</f>
        <v>0</v>
      </c>
      <c r="DH117" s="21">
        <f>EXP(-LN(2)/2)*DH116+(1-EXP(-LN(2)/2))/(LN(2)/2)*DB117*DE117*VLOOKUP('Données projet'!$B$13,Paramètres!$A$1:$I$89,3,0)*0.475*44/12</f>
        <v>0</v>
      </c>
      <c r="DI117" s="22">
        <f t="shared" si="69"/>
        <v>20.274184495547026</v>
      </c>
      <c r="DJ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9.4029999999999916</v>
      </c>
      <c r="DO117" s="12">
        <f>IF('Données projet'!$A$166&gt;35,DO116+DN117-DW116,IF(A117&lt;'Données projet'!$A$166,$DL$205^A117,IF(A117='Données projet'!$A$166,'Données projet'!$B$166,DO116+DN117-DW116)))</f>
        <v>479.02500000000032</v>
      </c>
      <c r="DP117" s="17">
        <f>DO117*VLOOKUP('Données projet'!$B$14,Paramètres!$A$1:$I$89,3,0)*VLOOKUP('Données projet'!$B$14,Paramètres!$A$1:$I$89,5,0)</f>
        <v>321.32997000000023</v>
      </c>
      <c r="DQ117" s="13">
        <f t="shared" si="97"/>
        <v>75.630012952812223</v>
      </c>
      <c r="DR117" s="20">
        <f t="shared" si="70"/>
        <v>691.37197030948164</v>
      </c>
      <c r="DS117" s="59">
        <f t="shared" si="71"/>
        <v>972.23738534418703</v>
      </c>
      <c r="DT117" s="59">
        <f ca="1">AVERAGE(OFFSET($DS$3,0,0,'Données projet'!$E$14+1,1))-AVERAGE(OFFSET($H$3,0,0,'Données projet'!$E$14+1,1))</f>
        <v>441.20130048888439</v>
      </c>
      <c r="DU117" s="59">
        <f t="shared" si="98"/>
        <v>237.47732532183946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109.82479235573371</v>
      </c>
      <c r="EB117" s="21">
        <f>EXP(-LN(2)/25)*EB116+(1-EXP(-LN(2)/25))/(LN(2)/25)*Calculateur!DW117*Calculateur!DY117*VLOOKUP('Données projet'!$B$14,Paramètres!$A$1:$I$89,3,0)*0.475*44/12</f>
        <v>0</v>
      </c>
      <c r="EC117" s="21">
        <f>EXP(-LN(2)/2)*EC116+(1-EXP(-LN(2)/2))/(LN(2)/2)*DW117*DZ117*VLOOKUP('Données projet'!$B$14,Paramètres!$A$1:$I$89,3,0)*0.475*44/12</f>
        <v>0</v>
      </c>
      <c r="ED117" s="22">
        <f t="shared" si="72"/>
        <v>109.82479235573371</v>
      </c>
      <c r="EE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319</v>
      </c>
      <c r="EK117" s="17">
        <f>EJ117*VLOOKUP('Données projet'!$B$15,Paramètres!$A$1:$I$89,3,0)*VLOOKUP('Données projet'!$B$15,Paramètres!$A$1:$I$89,5,0)</f>
        <v>253.79640000000001</v>
      </c>
      <c r="EL117" s="13">
        <f t="shared" si="99"/>
        <v>61.39816832228076</v>
      </c>
      <c r="EM117" s="20">
        <f t="shared" si="73"/>
        <v>548.96387316130563</v>
      </c>
      <c r="EN117" s="59">
        <f t="shared" si="74"/>
        <v>829.82928819601102</v>
      </c>
      <c r="EO117" s="59">
        <f ca="1">AVERAGE(OFFSET($EN$3,0,0,'Données projet'!$E$15+1,1))-AVERAGE(OFFSET($H$3,0,0,'Données projet'!$E$15+1,1))</f>
        <v>377.27600411578322</v>
      </c>
      <c r="EP117" s="59">
        <f t="shared" si="100"/>
        <v>364.58250627635425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>
        <f>EXP(-LN(2)/35)*EV116+(1-EXP(-LN(2)/35))/(LN(2)/35)*ER117*ES117*VLOOKUP('Données projet'!$B$15,Paramètres!$A$1:$I$89,3,0)*0.475*44/12</f>
        <v>27.115843983900849</v>
      </c>
      <c r="EW117" s="21">
        <f>EXP(-LN(2)/25)*EW116+(1-EXP(-LN(2)/25))/(LN(2)/25)*Calculateur!ER117*Calculateur!ET117*VLOOKUP('Données projet'!$B$15,Paramètres!$A$1:$I$89,3,0)*0.475*44/12</f>
        <v>0</v>
      </c>
      <c r="EX117" s="21">
        <f>EXP(-LN(2)/2)*EX116+(1-EXP(-LN(2)/2))/(LN(2)/2)*ER117*EU117*VLOOKUP('Données projet'!$B$15,Paramètres!$A$1:$I$89,3,0)*0.475*44/12</f>
        <v>0</v>
      </c>
      <c r="EY117" s="22">
        <f t="shared" si="75"/>
        <v>27.115843983900849</v>
      </c>
      <c r="EZ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319</v>
      </c>
      <c r="FF117" s="17">
        <f>FE117*VLOOKUP('Données projet'!$B$16,Paramètres!$A$1:$I$89,3,0)*VLOOKUP('Données projet'!$B$16,Paramètres!$A$1:$I$89,5,0)</f>
        <v>258.77280000000002</v>
      </c>
      <c r="FG117" s="13">
        <f t="shared" si="101"/>
        <v>62.460716522234691</v>
      </c>
      <c r="FH117" s="20">
        <f t="shared" si="76"/>
        <v>559.48170794289206</v>
      </c>
      <c r="FI117" s="59">
        <f t="shared" si="77"/>
        <v>840.34712297759756</v>
      </c>
      <c r="FJ117" s="59">
        <f ca="1">AVERAGE(OFFSET($FI$3,0,0,'Données projet'!$E$16+1,1))-AVERAGE(OFFSET($H$3,0,0,'Données projet'!$E$16+1,1))</f>
        <v>383.47399633251354</v>
      </c>
      <c r="FK117" s="59">
        <f t="shared" si="102"/>
        <v>370.49129421395628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>
        <f>EXP(-LN(2)/35)*FQ116+(1-EXP(-LN(2)/35))/(LN(2)/35)*FM117*FN117*VLOOKUP('Données projet'!$B$16,Paramètres!$A$1:$I$89,3,0)*0.475*44/12</f>
        <v>27.647527199271472</v>
      </c>
      <c r="FR117" s="21">
        <f>EXP(-LN(2)/25)*FR116+(1-EXP(-LN(2)/25))/(LN(2)/25)*Calculateur!FM117*Calculateur!FO117*VLOOKUP('Données projet'!$B$16,Paramètres!$A$1:$I$89,3,0)*0.475*44/12</f>
        <v>0</v>
      </c>
      <c r="FS117" s="21">
        <f>EXP(-LN(2)/2)*FS116+(1-EXP(-LN(2)/2))/(LN(2)/2)*FM117*FP117*VLOOKUP('Données projet'!$B$16,Paramètres!$A$1:$I$89,3,0)*0.475*44/12</f>
        <v>0</v>
      </c>
      <c r="FT117" s="22">
        <f t="shared" si="78"/>
        <v>27.647527199271472</v>
      </c>
      <c r="FU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9.4029999999999916</v>
      </c>
      <c r="FZ117" s="12">
        <f>IF('Données projet'!$A$244&gt;35,FZ116+FY117-GH116,IF(A117&lt;'Données projet'!$A$244,$FW$205^A117,IF(A117='Données projet'!$A$244,'Données projet'!$B$244,FZ116+FY117-GH116)))</f>
        <v>479.02500000000032</v>
      </c>
      <c r="GA117" s="17">
        <f>FZ117*VLOOKUP('Données projet'!$B$17,Paramètres!$A$1:$I$89,3,0)*VLOOKUP('Données projet'!$B$17,Paramètres!$A$1:$I$89,5,0)</f>
        <v>455.84019000000035</v>
      </c>
      <c r="GB117" s="13">
        <f t="shared" si="103"/>
        <v>103.00988199125129</v>
      </c>
      <c r="GC117" s="20">
        <f t="shared" si="79"/>
        <v>973.3305420514298</v>
      </c>
      <c r="GD117" s="59">
        <f t="shared" si="80"/>
        <v>1254.1959570861352</v>
      </c>
      <c r="GE117" s="59">
        <f ca="1">AVERAGE(OFFSET($GD$3,0,0,'Données projet'!$E$17+1,1))-AVERAGE(OFFSET($H$3,0,0,'Données projet'!$E$17+1,1))</f>
        <v>592.58528889137358</v>
      </c>
      <c r="GF117" s="59">
        <f t="shared" si="104"/>
        <v>311.31528020403709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>
        <f>EXP(-LN(2)/35)*GL116+(1-EXP(-LN(2)/35))/(LN(2)/35)*GH117*GI117*VLOOKUP('Données projet'!$B$17,Paramètres!$A$1:$I$89,3,0)*0.475*44/12</f>
        <v>126.40211950376903</v>
      </c>
      <c r="GM117" s="21">
        <f>EXP(-LN(2)/25)*GM116+(1-EXP(-LN(2)/25))/(LN(2)/25)*Calculateur!GH117*Calculateur!GJ117*VLOOKUP('Données projet'!$B$17,Paramètres!$A$1:$I$89,3,0)*0.475*44/12</f>
        <v>0</v>
      </c>
      <c r="GN117" s="21">
        <f>EXP(-LN(2)/2)*GN116+(1-EXP(-LN(2)/2))/(LN(2)/2)*GH117*GK117*VLOOKUP('Données projet'!$B$17,Paramètres!$A$1:$I$89,3,0)*0.475*44/12</f>
        <v>0</v>
      </c>
      <c r="GO117" s="21">
        <f t="shared" si="81"/>
        <v>126.40211950376903</v>
      </c>
      <c r="GP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328.00000000000006</v>
      </c>
      <c r="GV117" s="17">
        <f>GU117*VLOOKUP('Données projet'!$B$18,Paramètres!$A$1:$I$89,3,0)*VLOOKUP('Données projet'!$B$18,Paramètres!$A$1:$I$89,5,0)</f>
        <v>255.84000000000006</v>
      </c>
      <c r="GW117" s="13">
        <f t="shared" si="105"/>
        <v>61.834803371075836</v>
      </c>
      <c r="GX117" s="20">
        <f t="shared" si="82"/>
        <v>553.28361587129041</v>
      </c>
      <c r="GY117" s="59">
        <f t="shared" si="83"/>
        <v>834.14903090599591</v>
      </c>
      <c r="GZ117" s="59">
        <f ca="1">AVERAGE(OFFSET($GY$3,0,0,'Données projet'!$E$18+1,1))-AVERAGE(OFFSET($H$3,0,0,'Données projet'!$E$18+1,1))</f>
        <v>308.85018589589453</v>
      </c>
      <c r="HA117" s="59">
        <f t="shared" si="106"/>
        <v>302.59481222418219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>
        <f>EXP(-LN(2)/35)*HG116+(1-EXP(-LN(2)/35))/(LN(2)/35)*HC117*HD117*VLOOKUP('Données projet'!$B$18,Paramètres!$A$1:$I$89,3,0)*0.475*44/12</f>
        <v>20.664328593169149</v>
      </c>
      <c r="HH117" s="21">
        <f>EXP(-LN(2)/25)*HH116+(1-EXP(-LN(2)/25))/(LN(2)/25)*Calculateur!HC117*Calculateur!HE117*VLOOKUP('Données projet'!$B$18,Paramètres!$A$1:$I$89,3,0)*0.475*44/12</f>
        <v>0</v>
      </c>
      <c r="HI117" s="21">
        <f>EXP(-LN(2)/2)*HI116+(1-EXP(-LN(2)/2))/(LN(2)/2)*HC117*HF117*VLOOKUP('Données projet'!$B$18,Paramètres!$A$1:$I$89,3,0)*0.475*44/12</f>
        <v>0</v>
      </c>
      <c r="HJ117" s="22">
        <f t="shared" si="84"/>
        <v>20.664328593169149</v>
      </c>
    </row>
    <row r="118" spans="1:218" x14ac:dyDescent="0.35">
      <c r="A118" s="10">
        <f t="shared" si="85"/>
        <v>115</v>
      </c>
      <c r="B118" s="72">
        <f>'Scénario référence'!$B$16*5+'Scénario référence'!$B$17*0+'Scénario référence'!$B$18*5</f>
        <v>5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66">
        <f t="shared" si="56"/>
        <v>183.33333333333334</v>
      </c>
      <c r="I118" s="6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9.4029999999999916</v>
      </c>
      <c r="N118" s="13">
        <f>IF('Données projet'!$A$36&gt;35,N117+M118-V117,IF(A118&lt;'Données projet'!$A$36,$K$205^A118,IF(A118='Données projet'!$A$36,'Données projet'!$B$36,N117+M118-V117)))</f>
        <v>488.42800000000034</v>
      </c>
      <c r="O118" s="13">
        <f>N118*VLOOKUP('Données projet'!$B$9,Paramètres!$A$1:$I$89,3,0)*VLOOKUP('Données projet'!$B$9,Paramètres!$A$1:$I$89,5,0)</f>
        <v>441.92965440000035</v>
      </c>
      <c r="P118" s="13">
        <f t="shared" si="87"/>
        <v>100.22731668201004</v>
      </c>
      <c r="Q118" s="20">
        <f t="shared" si="107"/>
        <v>944.25672463450144</v>
      </c>
      <c r="R118" s="59">
        <f t="shared" si="55"/>
        <v>1225.3384301775986</v>
      </c>
      <c r="S118" s="59">
        <f ca="1">AVERAGE(OFFSET($R$3,0,0,'Données projet'!$E$9+1,1))-AVERAGE(OFFSET($H$3,0,0,'Données projet'!$E$9+1,1))</f>
        <v>567.42635821507474</v>
      </c>
      <c r="T118" s="59">
        <f t="shared" si="88"/>
        <v>299.04735309930152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117.82885508529266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117.82885508529266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9.4029999999999916</v>
      </c>
      <c r="AI118" s="13">
        <f>IF('Données projet'!$A$62&gt;35,AI117+AH118-AQ117,IF(A118&lt;'Données projet'!$A$62,$AF$205^A118,IF(A118='Données projet'!$A$62,'Données projet'!$B$62,AI117+AH118-AQ117)))</f>
        <v>488.42800000000034</v>
      </c>
      <c r="AJ118" s="13">
        <f>AI118*VLOOKUP('Données projet'!$B$10,Paramètres!$A$1:$I$89,3,0)*VLOOKUP('Données projet'!$B$10,Paramètres!$A$1:$I$89,5,0)</f>
        <v>495.26599200000038</v>
      </c>
      <c r="AK118" s="13">
        <f t="shared" si="89"/>
        <v>110.84379086369486</v>
      </c>
      <c r="AL118" s="20">
        <f t="shared" si="58"/>
        <v>1055.6412051542693</v>
      </c>
      <c r="AM118" s="59">
        <f t="shared" si="59"/>
        <v>1336.7229106973666</v>
      </c>
      <c r="AN118" s="59">
        <f ca="1">AVERAGE(OFFSET($AM$3,0,0,'Données projet'!$E$10+1,1))-AVERAGE(OFFSET($H$3,0,0,'Données projet'!$E$10+1,1))</f>
        <v>626.09203985591455</v>
      </c>
      <c r="AO118" s="59">
        <f t="shared" si="90"/>
        <v>327.65191296575199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132.049578974897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132.049578974897</v>
      </c>
      <c r="AY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>
        <f>VLOOKUP(A118,'Données projet'!$A$87:$I$107,2,0)</f>
        <v>426</v>
      </c>
      <c r="BB118" s="12">
        <f>VLOOKUP(A118,'Données projet'!$A$87:$I$107,9,0)</f>
        <v>5.6</v>
      </c>
      <c r="BC118" s="12">
        <f t="array" ref="BC118">INDEX(BB:BB,MIN(IF(ISNUMBER(BB118:BB314),ROW(BB118:BB314),"")))</f>
        <v>5.6</v>
      </c>
      <c r="BD118" s="12">
        <f>IF('Données projet'!$A$88&gt;35,BD117+BC118-BL117,IF(A118&lt;'Données projet'!$A$88,$BA$205^A118,IF(A118='Données projet'!$A$88,'Données projet'!$B$88,BD117+BC118-BL117)))</f>
        <v>426.00000000000017</v>
      </c>
      <c r="BE118" s="13">
        <f>BD118*VLOOKUP('Données projet'!$B$11,Paramètres!$A$1:$I$89,3,0)*VLOOKUP('Données projet'!$B$11,Paramètres!$A$1:$I$89,5,0)</f>
        <v>365.50800000000021</v>
      </c>
      <c r="BF118" s="13">
        <f t="shared" si="91"/>
        <v>84.747667534292177</v>
      </c>
      <c r="BG118" s="20">
        <f t="shared" si="61"/>
        <v>784.19528762222581</v>
      </c>
      <c r="BH118" s="59">
        <f t="shared" si="62"/>
        <v>1065.2769931653231</v>
      </c>
      <c r="BI118" s="59">
        <f ca="1">AVERAGE(OFFSET($BH$3,0,0,'Données projet'!$E$11+1,1))-AVERAGE(OFFSET($H$3,0,0,'Données projet'!$E$11+1,1))</f>
        <v>481.23392184981651</v>
      </c>
      <c r="BJ118" s="59">
        <f t="shared" si="92"/>
        <v>275.88160405468193</v>
      </c>
      <c r="BK118" s="15">
        <f>IF(ISNA(VLOOKUP(A118,'Données projet'!$A$87:$I$107,3,0)),0,VLOOKUP(A118,'Données projet'!$A$87:$I$107,3,0))</f>
        <v>19</v>
      </c>
      <c r="BL118" s="15">
        <f>IF(ISNA(VLOOKUP(A118,'Données projet'!$A$87:$I$107,4,0)),0,VLOOKUP(A118,'Données projet'!$A$87:$I$107,4,0))</f>
        <v>22</v>
      </c>
      <c r="BM118" s="16">
        <f>IF(ISNA(VLOOKUP(A118,'Données projet'!$A$87:$I$107,5,0)),0%,VLOOKUP(A118,'Données projet'!$A$87:$I$107,5,0)*VLOOKUP('Données projet'!$B$11,Paramètres!$A$1:$I$89,7,0))</f>
        <v>0.53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110.36005623744856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110.36005623744856</v>
      </c>
      <c r="BT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5.2499999999990337</v>
      </c>
      <c r="BZ118" s="13">
        <f>BY118*VLOOKUP('Données projet'!$B$12,Paramètres!$A$1:$I$89,3,0)*VLOOKUP('Données projet'!$B$12,Paramètres!$A$1:$I$89,5,0)</f>
        <v>2.4569999999995478</v>
      </c>
      <c r="CA118" s="13">
        <f t="shared" si="93"/>
        <v>1.0197977774625564</v>
      </c>
      <c r="CB118" s="20">
        <f t="shared" si="64"/>
        <v>6.0554227957464972</v>
      </c>
      <c r="CC118" s="59">
        <f t="shared" si="65"/>
        <v>287.13712833884375</v>
      </c>
      <c r="CD118" s="59">
        <f ca="1">AVERAGE(OFFSET($CC$3,0,0,'Données projet'!$E$12+1,1))-AVERAGE(OFFSET($H$3,0,0,'Données projet'!$E$12+1,1))</f>
        <v>331.86732359395467</v>
      </c>
      <c r="CE118" s="59">
        <f t="shared" si="94"/>
        <v>208.64489375183106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215.6765525656925</v>
      </c>
      <c r="CL118" s="21">
        <f>EXP(-LN(2)/25)*CL117+(1-EXP(-LN(2)/25))/(LN(2)/25)*Calculateur!CG118*Calculateur!CI118*VLOOKUP('Données projet'!$B$12,Paramètres!$A$1:$I$89,3,0)*0.475*44/12</f>
        <v>0</v>
      </c>
      <c r="CM118" s="21">
        <f>EXP(-LN(2)/2)*CM117+(1-EXP(-LN(2)/2))/(LN(2)/2)*CG118*CJ118*VLOOKUP('Données projet'!$B$12,Paramètres!$A$1:$I$89,3,0)*0.475*44/12</f>
        <v>0</v>
      </c>
      <c r="CN118" s="22">
        <f t="shared" si="66"/>
        <v>215.6765525656925</v>
      </c>
      <c r="CO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319</v>
      </c>
      <c r="CU118" s="17">
        <f>CT118*VLOOKUP('Données projet'!$B$13,Paramètres!$A$1:$I$89,3,0)*VLOOKUP('Données projet'!$B$13,Paramètres!$A$1:$I$89,5,0)</f>
        <v>233.89079999999998</v>
      </c>
      <c r="CV118" s="13">
        <f t="shared" si="95"/>
        <v>57.123140349023068</v>
      </c>
      <c r="CW118" s="20">
        <f t="shared" si="67"/>
        <v>506.84927944121517</v>
      </c>
      <c r="CX118" s="59">
        <f t="shared" si="68"/>
        <v>787.93098498431243</v>
      </c>
      <c r="CY118" s="59">
        <f ca="1">AVERAGE(OFFSET($CX$3,0,0,'Données projet'!$E$13+1,1))-AVERAGE(OFFSET($H$3,0,0,'Données projet'!$E$13+1,1))</f>
        <v>352.45777291109863</v>
      </c>
      <c r="CZ118" s="59">
        <f t="shared" si="96"/>
        <v>340.92165104349181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19.876620103620848</v>
      </c>
      <c r="DG118" s="21">
        <f>EXP(-LN(2)/25)*DG117+(1-EXP(-LN(2)/25))/(LN(2)/25)*Calculateur!DB118*Calculateur!DD118*VLOOKUP('Données projet'!$B$13,Paramètres!$A$1:$I$89,3,0)*0.475*44/12</f>
        <v>0</v>
      </c>
      <c r="DH118" s="21">
        <f>EXP(-LN(2)/2)*DH117+(1-EXP(-LN(2)/2))/(LN(2)/2)*DB118*DE118*VLOOKUP('Données projet'!$B$13,Paramètres!$A$1:$I$89,3,0)*0.475*44/12</f>
        <v>0</v>
      </c>
      <c r="DI118" s="22">
        <f t="shared" si="69"/>
        <v>19.876620103620848</v>
      </c>
      <c r="DJ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9.4029999999999916</v>
      </c>
      <c r="DO118" s="12">
        <f>IF('Données projet'!$A$166&gt;35,DO117+DN118-DW117,IF(A118&lt;'Données projet'!$A$166,$DL$205^A118,IF(A118='Données projet'!$A$166,'Données projet'!$B$166,DO117+DN118-DW117)))</f>
        <v>488.42800000000034</v>
      </c>
      <c r="DP118" s="17">
        <f>DO118*VLOOKUP('Données projet'!$B$14,Paramètres!$A$1:$I$89,3,0)*VLOOKUP('Données projet'!$B$14,Paramètres!$A$1:$I$89,5,0)</f>
        <v>327.63750240000024</v>
      </c>
      <c r="DQ118" s="13">
        <f t="shared" si="97"/>
        <v>76.940296516334129</v>
      </c>
      <c r="DR118" s="20">
        <f t="shared" si="70"/>
        <v>704.63966644594893</v>
      </c>
      <c r="DS118" s="59">
        <f t="shared" si="71"/>
        <v>985.72137198904625</v>
      </c>
      <c r="DT118" s="59">
        <f ca="1">AVERAGE(OFFSET($DS$3,0,0,'Données projet'!$E$14+1,1))-AVERAGE(OFFSET($H$3,0,0,'Données projet'!$E$14+1,1))</f>
        <v>441.20130048888439</v>
      </c>
      <c r="DU118" s="59">
        <f t="shared" si="98"/>
        <v>237.47732532183946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107.67119516414674</v>
      </c>
      <c r="EB118" s="21">
        <f>EXP(-LN(2)/25)*EB117+(1-EXP(-LN(2)/25))/(LN(2)/25)*Calculateur!DW118*Calculateur!DY118*VLOOKUP('Données projet'!$B$14,Paramètres!$A$1:$I$89,3,0)*0.475*44/12</f>
        <v>0</v>
      </c>
      <c r="EC118" s="21">
        <f>EXP(-LN(2)/2)*EC117+(1-EXP(-LN(2)/2))/(LN(2)/2)*DW118*DZ118*VLOOKUP('Données projet'!$B$14,Paramètres!$A$1:$I$89,3,0)*0.475*44/12</f>
        <v>0</v>
      </c>
      <c r="ED118" s="22">
        <f t="shared" si="72"/>
        <v>107.67119516414674</v>
      </c>
      <c r="EE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319</v>
      </c>
      <c r="EK118" s="17">
        <f>EJ118*VLOOKUP('Données projet'!$B$15,Paramètres!$A$1:$I$89,3,0)*VLOOKUP('Données projet'!$B$15,Paramètres!$A$1:$I$89,5,0)</f>
        <v>253.79640000000001</v>
      </c>
      <c r="EL118" s="13">
        <f t="shared" si="99"/>
        <v>61.39816832228076</v>
      </c>
      <c r="EM118" s="20">
        <f t="shared" si="73"/>
        <v>548.96387316130563</v>
      </c>
      <c r="EN118" s="59">
        <f t="shared" si="74"/>
        <v>830.04557870440294</v>
      </c>
      <c r="EO118" s="59">
        <f ca="1">AVERAGE(OFFSET($EN$3,0,0,'Données projet'!$E$15+1,1))-AVERAGE(OFFSET($H$3,0,0,'Données projet'!$E$15+1,1))</f>
        <v>377.27600411578322</v>
      </c>
      <c r="EP118" s="59">
        <f t="shared" si="100"/>
        <v>364.58250627635425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>
        <f>EXP(-LN(2)/35)*EV117+(1-EXP(-LN(2)/35))/(LN(2)/35)*ER118*ES118*VLOOKUP('Données projet'!$B$15,Paramètres!$A$1:$I$89,3,0)*0.475*44/12</f>
        <v>26.584118822408289</v>
      </c>
      <c r="EW118" s="21">
        <f>EXP(-LN(2)/25)*EW117+(1-EXP(-LN(2)/25))/(LN(2)/25)*Calculateur!ER118*Calculateur!ET118*VLOOKUP('Données projet'!$B$15,Paramètres!$A$1:$I$89,3,0)*0.475*44/12</f>
        <v>0</v>
      </c>
      <c r="EX118" s="21">
        <f>EXP(-LN(2)/2)*EX117+(1-EXP(-LN(2)/2))/(LN(2)/2)*ER118*EU118*VLOOKUP('Données projet'!$B$15,Paramètres!$A$1:$I$89,3,0)*0.475*44/12</f>
        <v>0</v>
      </c>
      <c r="EY118" s="22">
        <f t="shared" si="75"/>
        <v>26.584118822408289</v>
      </c>
      <c r="EZ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319</v>
      </c>
      <c r="FF118" s="17">
        <f>FE118*VLOOKUP('Données projet'!$B$16,Paramètres!$A$1:$I$89,3,0)*VLOOKUP('Données projet'!$B$16,Paramètres!$A$1:$I$89,5,0)</f>
        <v>258.77280000000002</v>
      </c>
      <c r="FG118" s="13">
        <f t="shared" si="101"/>
        <v>62.460716522234691</v>
      </c>
      <c r="FH118" s="20">
        <f t="shared" si="76"/>
        <v>559.48170794289206</v>
      </c>
      <c r="FI118" s="59">
        <f t="shared" si="77"/>
        <v>840.56341348598926</v>
      </c>
      <c r="FJ118" s="59">
        <f ca="1">AVERAGE(OFFSET($FI$3,0,0,'Données projet'!$E$16+1,1))-AVERAGE(OFFSET($H$3,0,0,'Données projet'!$E$16+1,1))</f>
        <v>383.47399633251354</v>
      </c>
      <c r="FK118" s="59">
        <f t="shared" si="102"/>
        <v>370.49129421395628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>
        <f>EXP(-LN(2)/35)*FQ117+(1-EXP(-LN(2)/35))/(LN(2)/35)*FM118*FN118*VLOOKUP('Données projet'!$B$16,Paramètres!$A$1:$I$89,3,0)*0.475*44/12</f>
        <v>27.105376054220237</v>
      </c>
      <c r="FR118" s="21">
        <f>EXP(-LN(2)/25)*FR117+(1-EXP(-LN(2)/25))/(LN(2)/25)*Calculateur!FM118*Calculateur!FO118*VLOOKUP('Données projet'!$B$16,Paramètres!$A$1:$I$89,3,0)*0.475*44/12</f>
        <v>0</v>
      </c>
      <c r="FS118" s="21">
        <f>EXP(-LN(2)/2)*FS117+(1-EXP(-LN(2)/2))/(LN(2)/2)*FM118*FP118*VLOOKUP('Données projet'!$B$16,Paramètres!$A$1:$I$89,3,0)*0.475*44/12</f>
        <v>0</v>
      </c>
      <c r="FT118" s="22">
        <f t="shared" si="78"/>
        <v>27.105376054220237</v>
      </c>
      <c r="FU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9.4029999999999916</v>
      </c>
      <c r="FZ118" s="12">
        <f>IF('Données projet'!$A$244&gt;35,FZ117+FY118-GH117,IF(A118&lt;'Données projet'!$A$244,$FW$205^A118,IF(A118='Données projet'!$A$244,'Données projet'!$B$244,FZ117+FY118-GH117)))</f>
        <v>488.42800000000034</v>
      </c>
      <c r="GA118" s="17">
        <f>FZ118*VLOOKUP('Données projet'!$B$17,Paramètres!$A$1:$I$89,3,0)*VLOOKUP('Données projet'!$B$17,Paramètres!$A$1:$I$89,5,0)</f>
        <v>464.78808480000038</v>
      </c>
      <c r="GB118" s="13">
        <f t="shared" si="103"/>
        <v>104.79451946497053</v>
      </c>
      <c r="GC118" s="20">
        <f t="shared" si="79"/>
        <v>992.02303576149086</v>
      </c>
      <c r="GD118" s="59">
        <f t="shared" si="80"/>
        <v>1273.1047413045881</v>
      </c>
      <c r="GE118" s="59">
        <f ca="1">AVERAGE(OFFSET($GD$3,0,0,'Données projet'!$E$17+1,1))-AVERAGE(OFFSET($H$3,0,0,'Données projet'!$E$17+1,1))</f>
        <v>592.58528889137358</v>
      </c>
      <c r="GF118" s="59">
        <f t="shared" si="104"/>
        <v>311.31528020403709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>
        <f>EXP(-LN(2)/35)*GL117+(1-EXP(-LN(2)/35))/(LN(2)/35)*GH118*GI118*VLOOKUP('Données projet'!$B$17,Paramètres!$A$1:$I$89,3,0)*0.475*44/12</f>
        <v>123.92345103798026</v>
      </c>
      <c r="GM118" s="21">
        <f>EXP(-LN(2)/25)*GM117+(1-EXP(-LN(2)/25))/(LN(2)/25)*Calculateur!GH118*Calculateur!GJ118*VLOOKUP('Données projet'!$B$17,Paramètres!$A$1:$I$89,3,0)*0.475*44/12</f>
        <v>0</v>
      </c>
      <c r="GN118" s="21">
        <f>EXP(-LN(2)/2)*GN117+(1-EXP(-LN(2)/2))/(LN(2)/2)*GH118*GK118*VLOOKUP('Données projet'!$B$17,Paramètres!$A$1:$I$89,3,0)*0.475*44/12</f>
        <v>0</v>
      </c>
      <c r="GO118" s="21">
        <f t="shared" si="81"/>
        <v>123.92345103798026</v>
      </c>
      <c r="GP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328.00000000000006</v>
      </c>
      <c r="GV118" s="17">
        <f>GU118*VLOOKUP('Données projet'!$B$18,Paramètres!$A$1:$I$89,3,0)*VLOOKUP('Données projet'!$B$18,Paramètres!$A$1:$I$89,5,0)</f>
        <v>255.84000000000006</v>
      </c>
      <c r="GW118" s="13">
        <f t="shared" si="105"/>
        <v>61.834803371075836</v>
      </c>
      <c r="GX118" s="20">
        <f t="shared" si="82"/>
        <v>553.28361587129041</v>
      </c>
      <c r="GY118" s="59">
        <f t="shared" si="83"/>
        <v>834.36532141438761</v>
      </c>
      <c r="GZ118" s="59">
        <f ca="1">AVERAGE(OFFSET($GY$3,0,0,'Données projet'!$E$18+1,1))-AVERAGE(OFFSET($H$3,0,0,'Données projet'!$E$18+1,1))</f>
        <v>308.85018589589453</v>
      </c>
      <c r="HA118" s="59">
        <f t="shared" si="106"/>
        <v>302.59481222418219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>
        <f>EXP(-LN(2)/35)*HG117+(1-EXP(-LN(2)/35))/(LN(2)/35)*HC118*HD118*VLOOKUP('Données projet'!$B$18,Paramètres!$A$1:$I$89,3,0)*0.475*44/12</f>
        <v>20.259113713453001</v>
      </c>
      <c r="HH118" s="21">
        <f>EXP(-LN(2)/25)*HH117+(1-EXP(-LN(2)/25))/(LN(2)/25)*Calculateur!HC118*Calculateur!HE118*VLOOKUP('Données projet'!$B$18,Paramètres!$A$1:$I$89,3,0)*0.475*44/12</f>
        <v>0</v>
      </c>
      <c r="HI118" s="21">
        <f>EXP(-LN(2)/2)*HI117+(1-EXP(-LN(2)/2))/(LN(2)/2)*HC118*HF118*VLOOKUP('Données projet'!$B$18,Paramètres!$A$1:$I$89,3,0)*0.475*44/12</f>
        <v>0</v>
      </c>
      <c r="HJ118" s="22">
        <f t="shared" si="84"/>
        <v>20.259113713453001</v>
      </c>
    </row>
    <row r="119" spans="1:218" x14ac:dyDescent="0.35">
      <c r="A119" s="10">
        <f t="shared" si="85"/>
        <v>116</v>
      </c>
      <c r="B119" s="72">
        <f>'Scénario référence'!$B$16*5+'Scénario référence'!$B$17*0+'Scénario référence'!$B$18*5</f>
        <v>5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66">
        <f t="shared" si="56"/>
        <v>183.33333333333334</v>
      </c>
      <c r="I119" s="6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9.4029999999999916</v>
      </c>
      <c r="N119" s="13">
        <f>IF('Données projet'!$A$36&gt;35,N118+M119-V118,IF(A119&lt;'Données projet'!$A$36,$K$205^A119,IF(A119='Données projet'!$A$36,'Données projet'!$B$36,N118+M119-V118)))</f>
        <v>497.83100000000036</v>
      </c>
      <c r="O119" s="13">
        <f>N119*VLOOKUP('Données projet'!$B$9,Paramètres!$A$1:$I$89,3,0)*VLOOKUP('Données projet'!$B$9,Paramètres!$A$1:$I$89,5,0)</f>
        <v>450.43748880000032</v>
      </c>
      <c r="P119" s="13">
        <f t="shared" si="87"/>
        <v>101.93035443256859</v>
      </c>
      <c r="Q119" s="20">
        <f t="shared" si="107"/>
        <v>962.04066029672424</v>
      </c>
      <c r="R119" s="59">
        <f t="shared" si="55"/>
        <v>1243.3349041914457</v>
      </c>
      <c r="S119" s="59">
        <f ca="1">AVERAGE(OFFSET($R$3,0,0,'Données projet'!$E$9+1,1))-AVERAGE(OFFSET($H$3,0,0,'Données projet'!$E$9+1,1))</f>
        <v>567.42635821507474</v>
      </c>
      <c r="T119" s="59">
        <f t="shared" si="88"/>
        <v>299.04735309930152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115.51830310557524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115.51830310557524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9.4029999999999916</v>
      </c>
      <c r="AI119" s="13">
        <f>IF('Données projet'!$A$62&gt;35,AI118+AH119-AQ118,IF(A119&lt;'Données projet'!$A$62,$AF$205^A119,IF(A119='Données projet'!$A$62,'Données projet'!$B$62,AI118+AH119-AQ118)))</f>
        <v>497.83100000000036</v>
      </c>
      <c r="AJ119" s="13">
        <f>AI119*VLOOKUP('Données projet'!$B$10,Paramètres!$A$1:$I$89,3,0)*VLOOKUP('Données projet'!$B$10,Paramètres!$A$1:$I$89,5,0)</f>
        <v>504.80063400000034</v>
      </c>
      <c r="AK119" s="13">
        <f t="shared" si="89"/>
        <v>112.72722111509829</v>
      </c>
      <c r="AL119" s="20">
        <f t="shared" si="58"/>
        <v>1075.5276809921299</v>
      </c>
      <c r="AM119" s="59">
        <f t="shared" si="59"/>
        <v>1356.8219248868513</v>
      </c>
      <c r="AN119" s="59">
        <f ca="1">AVERAGE(OFFSET($AM$3,0,0,'Données projet'!$E$10+1,1))-AVERAGE(OFFSET($H$3,0,0,'Données projet'!$E$10+1,1))</f>
        <v>626.09203985591455</v>
      </c>
      <c r="AO119" s="59">
        <f t="shared" si="90"/>
        <v>327.65191296575199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129.46016727348956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129.46016727348956</v>
      </c>
      <c r="AY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404.00000000000017</v>
      </c>
      <c r="BE119" s="13">
        <f>BD119*VLOOKUP('Données projet'!$B$11,Paramètres!$A$1:$I$89,3,0)*VLOOKUP('Données projet'!$B$11,Paramètres!$A$1:$I$89,5,0)</f>
        <v>346.63200000000018</v>
      </c>
      <c r="BF119" s="13">
        <f t="shared" si="91"/>
        <v>80.868615263336864</v>
      </c>
      <c r="BG119" s="20">
        <f t="shared" si="61"/>
        <v>744.56357158364528</v>
      </c>
      <c r="BH119" s="59">
        <f t="shared" si="62"/>
        <v>1025.8578154783668</v>
      </c>
      <c r="BI119" s="59">
        <f ca="1">AVERAGE(OFFSET($BH$3,0,0,'Données projet'!$E$11+1,1))-AVERAGE(OFFSET($H$3,0,0,'Données projet'!$E$11+1,1))</f>
        <v>481.23392184981651</v>
      </c>
      <c r="BJ119" s="59">
        <f t="shared" si="92"/>
        <v>275.88160405468193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108.1959628476199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108.1959628476199</v>
      </c>
      <c r="BT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5.2499999999990337</v>
      </c>
      <c r="BZ119" s="13">
        <f>BY119*VLOOKUP('Données projet'!$B$12,Paramètres!$A$1:$I$89,3,0)*VLOOKUP('Données projet'!$B$12,Paramètres!$A$1:$I$89,5,0)</f>
        <v>2.4569999999995478</v>
      </c>
      <c r="CA119" s="13">
        <f t="shared" si="93"/>
        <v>1.0197977774625564</v>
      </c>
      <c r="CB119" s="20">
        <f t="shared" si="64"/>
        <v>6.0554227957464972</v>
      </c>
      <c r="CC119" s="59">
        <f t="shared" si="65"/>
        <v>287.34966669046798</v>
      </c>
      <c r="CD119" s="59">
        <f ca="1">AVERAGE(OFFSET($CC$3,0,0,'Données projet'!$E$12+1,1))-AVERAGE(OFFSET($H$3,0,0,'Données projet'!$E$12+1,1))</f>
        <v>331.86732359395467</v>
      </c>
      <c r="CE119" s="59">
        <f t="shared" si="94"/>
        <v>208.64489375183106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211.44726691958689</v>
      </c>
      <c r="CL119" s="21">
        <f>EXP(-LN(2)/25)*CL118+(1-EXP(-LN(2)/25))/(LN(2)/25)*Calculateur!CG119*Calculateur!CI119*VLOOKUP('Données projet'!$B$12,Paramètres!$A$1:$I$89,3,0)*0.475*44/12</f>
        <v>0</v>
      </c>
      <c r="CM119" s="21">
        <f>EXP(-LN(2)/2)*CM118+(1-EXP(-LN(2)/2))/(LN(2)/2)*CG119*CJ119*VLOOKUP('Données projet'!$B$12,Paramètres!$A$1:$I$89,3,0)*0.475*44/12</f>
        <v>0</v>
      </c>
      <c r="CN119" s="22">
        <f t="shared" si="66"/>
        <v>211.44726691958689</v>
      </c>
      <c r="CO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319</v>
      </c>
      <c r="CU119" s="17">
        <f>CT119*VLOOKUP('Données projet'!$B$13,Paramètres!$A$1:$I$89,3,0)*VLOOKUP('Données projet'!$B$13,Paramètres!$A$1:$I$89,5,0)</f>
        <v>233.89079999999998</v>
      </c>
      <c r="CV119" s="13">
        <f t="shared" si="95"/>
        <v>57.123140349023068</v>
      </c>
      <c r="CW119" s="20">
        <f t="shared" si="67"/>
        <v>506.84927944121517</v>
      </c>
      <c r="CX119" s="59">
        <f t="shared" si="68"/>
        <v>788.14352333593661</v>
      </c>
      <c r="CY119" s="59">
        <f ca="1">AVERAGE(OFFSET($CX$3,0,0,'Données projet'!$E$13+1,1))-AVERAGE(OFFSET($H$3,0,0,'Données projet'!$E$13+1,1))</f>
        <v>352.45777291109863</v>
      </c>
      <c r="CZ119" s="59">
        <f t="shared" si="96"/>
        <v>340.92165104349181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19.486851706930008</v>
      </c>
      <c r="DG119" s="21">
        <f>EXP(-LN(2)/25)*DG118+(1-EXP(-LN(2)/25))/(LN(2)/25)*Calculateur!DB119*Calculateur!DD119*VLOOKUP('Données projet'!$B$13,Paramètres!$A$1:$I$89,3,0)*0.475*44/12</f>
        <v>0</v>
      </c>
      <c r="DH119" s="21">
        <f>EXP(-LN(2)/2)*DH118+(1-EXP(-LN(2)/2))/(LN(2)/2)*DB119*DE119*VLOOKUP('Données projet'!$B$13,Paramètres!$A$1:$I$89,3,0)*0.475*44/12</f>
        <v>0</v>
      </c>
      <c r="DI119" s="22">
        <f t="shared" si="69"/>
        <v>19.486851706930008</v>
      </c>
      <c r="DJ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9.4029999999999916</v>
      </c>
      <c r="DO119" s="12">
        <f>IF('Données projet'!$A$166&gt;35,DO118+DN119-DW118,IF(A119&lt;'Données projet'!$A$166,$DL$205^A119,IF(A119='Données projet'!$A$166,'Données projet'!$B$166,DO118+DN119-DW118)))</f>
        <v>497.83100000000036</v>
      </c>
      <c r="DP119" s="17">
        <f>DO119*VLOOKUP('Données projet'!$B$14,Paramètres!$A$1:$I$89,3,0)*VLOOKUP('Données projet'!$B$14,Paramètres!$A$1:$I$89,5,0)</f>
        <v>333.94503480000026</v>
      </c>
      <c r="DQ119" s="13">
        <f t="shared" si="97"/>
        <v>78.247646985689798</v>
      </c>
      <c r="DR119" s="20">
        <f t="shared" si="70"/>
        <v>717.9022541100768</v>
      </c>
      <c r="DS119" s="59">
        <f t="shared" si="71"/>
        <v>999.19649800479829</v>
      </c>
      <c r="DT119" s="59">
        <f ca="1">AVERAGE(OFFSET($DS$3,0,0,'Données projet'!$E$14+1,1))-AVERAGE(OFFSET($H$3,0,0,'Données projet'!$E$14+1,1))</f>
        <v>441.20130048888439</v>
      </c>
      <c r="DU119" s="59">
        <f t="shared" si="98"/>
        <v>237.47732532183946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105.55982869992221</v>
      </c>
      <c r="EB119" s="21">
        <f>EXP(-LN(2)/25)*EB118+(1-EXP(-LN(2)/25))/(LN(2)/25)*Calculateur!DW119*Calculateur!DY119*VLOOKUP('Données projet'!$B$14,Paramètres!$A$1:$I$89,3,0)*0.475*44/12</f>
        <v>0</v>
      </c>
      <c r="EC119" s="21">
        <f>EXP(-LN(2)/2)*EC118+(1-EXP(-LN(2)/2))/(LN(2)/2)*DW119*DZ119*VLOOKUP('Données projet'!$B$14,Paramètres!$A$1:$I$89,3,0)*0.475*44/12</f>
        <v>0</v>
      </c>
      <c r="ED119" s="22">
        <f t="shared" si="72"/>
        <v>105.55982869992221</v>
      </c>
      <c r="EE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319</v>
      </c>
      <c r="EK119" s="17">
        <f>EJ119*VLOOKUP('Données projet'!$B$15,Paramètres!$A$1:$I$89,3,0)*VLOOKUP('Données projet'!$B$15,Paramètres!$A$1:$I$89,5,0)</f>
        <v>253.79640000000001</v>
      </c>
      <c r="EL119" s="13">
        <f t="shared" si="99"/>
        <v>61.39816832228076</v>
      </c>
      <c r="EM119" s="20">
        <f t="shared" si="73"/>
        <v>548.96387316130563</v>
      </c>
      <c r="EN119" s="59">
        <f t="shared" si="74"/>
        <v>830.25811705602712</v>
      </c>
      <c r="EO119" s="59">
        <f ca="1">AVERAGE(OFFSET($EN$3,0,0,'Données projet'!$E$15+1,1))-AVERAGE(OFFSET($H$3,0,0,'Données projet'!$E$15+1,1))</f>
        <v>377.27600411578322</v>
      </c>
      <c r="EP119" s="59">
        <f t="shared" si="100"/>
        <v>364.58250627635425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>
        <f>EXP(-LN(2)/35)*EV118+(1-EXP(-LN(2)/35))/(LN(2)/35)*ER119*ES119*VLOOKUP('Données projet'!$B$15,Paramètres!$A$1:$I$89,3,0)*0.475*44/12</f>
        <v>26.062820467012276</v>
      </c>
      <c r="EW119" s="21">
        <f>EXP(-LN(2)/25)*EW118+(1-EXP(-LN(2)/25))/(LN(2)/25)*Calculateur!ER119*Calculateur!ET119*VLOOKUP('Données projet'!$B$15,Paramètres!$A$1:$I$89,3,0)*0.475*44/12</f>
        <v>0</v>
      </c>
      <c r="EX119" s="21">
        <f>EXP(-LN(2)/2)*EX118+(1-EXP(-LN(2)/2))/(LN(2)/2)*ER119*EU119*VLOOKUP('Données projet'!$B$15,Paramètres!$A$1:$I$89,3,0)*0.475*44/12</f>
        <v>0</v>
      </c>
      <c r="EY119" s="22">
        <f t="shared" si="75"/>
        <v>26.062820467012276</v>
      </c>
      <c r="EZ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319</v>
      </c>
      <c r="FF119" s="17">
        <f>FE119*VLOOKUP('Données projet'!$B$16,Paramètres!$A$1:$I$89,3,0)*VLOOKUP('Données projet'!$B$16,Paramètres!$A$1:$I$89,5,0)</f>
        <v>258.77280000000002</v>
      </c>
      <c r="FG119" s="13">
        <f t="shared" si="101"/>
        <v>62.460716522234691</v>
      </c>
      <c r="FH119" s="20">
        <f t="shared" si="76"/>
        <v>559.48170794289206</v>
      </c>
      <c r="FI119" s="59">
        <f t="shared" si="77"/>
        <v>840.77595183761355</v>
      </c>
      <c r="FJ119" s="59">
        <f ca="1">AVERAGE(OFFSET($FI$3,0,0,'Données projet'!$E$16+1,1))-AVERAGE(OFFSET($H$3,0,0,'Données projet'!$E$16+1,1))</f>
        <v>383.47399633251354</v>
      </c>
      <c r="FK119" s="59">
        <f t="shared" si="102"/>
        <v>370.49129421395628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>
        <f>EXP(-LN(2)/35)*FQ118+(1-EXP(-LN(2)/35))/(LN(2)/35)*FM119*FN119*VLOOKUP('Données projet'!$B$16,Paramètres!$A$1:$I$89,3,0)*0.475*44/12</f>
        <v>26.573856162443906</v>
      </c>
      <c r="FR119" s="21">
        <f>EXP(-LN(2)/25)*FR118+(1-EXP(-LN(2)/25))/(LN(2)/25)*Calculateur!FM119*Calculateur!FO119*VLOOKUP('Données projet'!$B$16,Paramètres!$A$1:$I$89,3,0)*0.475*44/12</f>
        <v>0</v>
      </c>
      <c r="FS119" s="21">
        <f>EXP(-LN(2)/2)*FS118+(1-EXP(-LN(2)/2))/(LN(2)/2)*FM119*FP119*VLOOKUP('Données projet'!$B$16,Paramètres!$A$1:$I$89,3,0)*0.475*44/12</f>
        <v>0</v>
      </c>
      <c r="FT119" s="22">
        <f t="shared" si="78"/>
        <v>26.573856162443906</v>
      </c>
      <c r="FU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9.4029999999999916</v>
      </c>
      <c r="FZ119" s="12">
        <f>IF('Données projet'!$A$244&gt;35,FZ118+FY119-GH118,IF(A119&lt;'Données projet'!$A$244,$FW$205^A119,IF(A119='Données projet'!$A$244,'Données projet'!$B$244,FZ118+FY119-GH118)))</f>
        <v>497.83100000000036</v>
      </c>
      <c r="GA119" s="17">
        <f>FZ119*VLOOKUP('Données projet'!$B$17,Paramètres!$A$1:$I$89,3,0)*VLOOKUP('Données projet'!$B$17,Paramètres!$A$1:$I$89,5,0)</f>
        <v>473.73597960000029</v>
      </c>
      <c r="GB119" s="13">
        <f t="shared" si="103"/>
        <v>106.57516199445891</v>
      </c>
      <c r="GC119" s="20">
        <f t="shared" si="79"/>
        <v>1010.7085716103497</v>
      </c>
      <c r="GD119" s="59">
        <f t="shared" si="80"/>
        <v>1292.0028155050713</v>
      </c>
      <c r="GE119" s="59">
        <f ca="1">AVERAGE(OFFSET($GD$3,0,0,'Données projet'!$E$17+1,1))-AVERAGE(OFFSET($H$3,0,0,'Données projet'!$E$17+1,1))</f>
        <v>592.58528889137358</v>
      </c>
      <c r="GF119" s="59">
        <f t="shared" si="104"/>
        <v>311.31528020403709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>
        <f>EXP(-LN(2)/35)*GL118+(1-EXP(-LN(2)/35))/(LN(2)/35)*GH119*GI119*VLOOKUP('Données projet'!$B$17,Paramètres!$A$1:$I$89,3,0)*0.475*44/12</f>
        <v>121.49338774896711</v>
      </c>
      <c r="GM119" s="21">
        <f>EXP(-LN(2)/25)*GM118+(1-EXP(-LN(2)/25))/(LN(2)/25)*Calculateur!GH119*Calculateur!GJ119*VLOOKUP('Données projet'!$B$17,Paramètres!$A$1:$I$89,3,0)*0.475*44/12</f>
        <v>0</v>
      </c>
      <c r="GN119" s="21">
        <f>EXP(-LN(2)/2)*GN118+(1-EXP(-LN(2)/2))/(LN(2)/2)*GH119*GK119*VLOOKUP('Données projet'!$B$17,Paramètres!$A$1:$I$89,3,0)*0.475*44/12</f>
        <v>0</v>
      </c>
      <c r="GO119" s="21">
        <f t="shared" si="81"/>
        <v>121.49338774896711</v>
      </c>
      <c r="GP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328.00000000000006</v>
      </c>
      <c r="GV119" s="17">
        <f>GU119*VLOOKUP('Données projet'!$B$18,Paramètres!$A$1:$I$89,3,0)*VLOOKUP('Données projet'!$B$18,Paramètres!$A$1:$I$89,5,0)</f>
        <v>255.84000000000006</v>
      </c>
      <c r="GW119" s="13">
        <f t="shared" si="105"/>
        <v>61.834803371075836</v>
      </c>
      <c r="GX119" s="20">
        <f t="shared" si="82"/>
        <v>553.28361587129041</v>
      </c>
      <c r="GY119" s="59">
        <f t="shared" si="83"/>
        <v>834.5778597660119</v>
      </c>
      <c r="GZ119" s="59">
        <f ca="1">AVERAGE(OFFSET($GY$3,0,0,'Données projet'!$E$18+1,1))-AVERAGE(OFFSET($H$3,0,0,'Données projet'!$E$18+1,1))</f>
        <v>308.85018589589453</v>
      </c>
      <c r="HA119" s="59">
        <f t="shared" si="106"/>
        <v>302.59481222418219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>
        <f>EXP(-LN(2)/35)*HG118+(1-EXP(-LN(2)/35))/(LN(2)/35)*HC119*HD119*VLOOKUP('Données projet'!$B$18,Paramètres!$A$1:$I$89,3,0)*0.475*44/12</f>
        <v>19.861844850371416</v>
      </c>
      <c r="HH119" s="21">
        <f>EXP(-LN(2)/25)*HH118+(1-EXP(-LN(2)/25))/(LN(2)/25)*Calculateur!HC119*Calculateur!HE119*VLOOKUP('Données projet'!$B$18,Paramètres!$A$1:$I$89,3,0)*0.475*44/12</f>
        <v>0</v>
      </c>
      <c r="HI119" s="21">
        <f>EXP(-LN(2)/2)*HI118+(1-EXP(-LN(2)/2))/(LN(2)/2)*HC119*HF119*VLOOKUP('Données projet'!$B$18,Paramètres!$A$1:$I$89,3,0)*0.475*44/12</f>
        <v>0</v>
      </c>
      <c r="HJ119" s="22">
        <f t="shared" si="84"/>
        <v>19.861844850371416</v>
      </c>
    </row>
    <row r="120" spans="1:218" x14ac:dyDescent="0.35">
      <c r="A120" s="10">
        <f t="shared" si="85"/>
        <v>117</v>
      </c>
      <c r="B120" s="72">
        <f>'Scénario référence'!$B$16*5+'Scénario référence'!$B$17*0+'Scénario référence'!$B$18*5</f>
        <v>5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66">
        <f t="shared" si="56"/>
        <v>183.33333333333334</v>
      </c>
      <c r="I120" s="6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9.4029999999999916</v>
      </c>
      <c r="N120" s="13">
        <f>IF('Données projet'!$A$36&gt;35,N119+M120-V119,IF(A120&lt;'Données projet'!$A$36,$K$205^A120,IF(A120='Données projet'!$A$36,'Données projet'!$B$36,N119+M120-V119)))</f>
        <v>507.23400000000038</v>
      </c>
      <c r="O120" s="13">
        <f>N120*VLOOKUP('Données projet'!$B$9,Paramètres!$A$1:$I$89,3,0)*VLOOKUP('Données projet'!$B$9,Paramètres!$A$1:$I$89,5,0)</f>
        <v>458.94532320000036</v>
      </c>
      <c r="P120" s="13">
        <f t="shared" si="87"/>
        <v>103.62965183753882</v>
      </c>
      <c r="Q120" s="20">
        <f t="shared" si="107"/>
        <v>979.81808152371411</v>
      </c>
      <c r="R120" s="59">
        <f t="shared" si="55"/>
        <v>1261.3211767048238</v>
      </c>
      <c r="S120" s="59">
        <f ca="1">AVERAGE(OFFSET($R$3,0,0,'Données projet'!$E$9+1,1))-AVERAGE(OFFSET($H$3,0,0,'Données projet'!$E$9+1,1))</f>
        <v>567.42635821507474</v>
      </c>
      <c r="T120" s="59">
        <f t="shared" si="88"/>
        <v>299.04735309930152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113.25305964088254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113.25305964088254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9.4029999999999916</v>
      </c>
      <c r="AI120" s="13">
        <f>IF('Données projet'!$A$62&gt;35,AI119+AH120-AQ119,IF(A120&lt;'Données projet'!$A$62,$AF$205^A120,IF(A120='Données projet'!$A$62,'Données projet'!$B$62,AI119+AH120-AQ119)))</f>
        <v>507.23400000000038</v>
      </c>
      <c r="AJ120" s="13">
        <f>AI120*VLOOKUP('Données projet'!$B$10,Paramètres!$A$1:$I$89,3,0)*VLOOKUP('Données projet'!$B$10,Paramètres!$A$1:$I$89,5,0)</f>
        <v>514.33527600000036</v>
      </c>
      <c r="AK120" s="13">
        <f t="shared" si="89"/>
        <v>114.6065148287007</v>
      </c>
      <c r="AL120" s="20">
        <f t="shared" si="58"/>
        <v>1095.4069523599876</v>
      </c>
      <c r="AM120" s="59">
        <f t="shared" si="59"/>
        <v>1376.9100475410974</v>
      </c>
      <c r="AN120" s="59">
        <f ca="1">AVERAGE(OFFSET($AM$3,0,0,'Données projet'!$E$10+1,1))-AVERAGE(OFFSET($H$3,0,0,'Données projet'!$E$10+1,1))</f>
        <v>626.09203985591455</v>
      </c>
      <c r="AO120" s="59">
        <f t="shared" si="90"/>
        <v>327.65191296575199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126.92153235616152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126.92153235616152</v>
      </c>
      <c r="AY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404.00000000000017</v>
      </c>
      <c r="BE120" s="13">
        <f>BD120*VLOOKUP('Données projet'!$B$11,Paramètres!$A$1:$I$89,3,0)*VLOOKUP('Données projet'!$B$11,Paramètres!$A$1:$I$89,5,0)</f>
        <v>346.63200000000018</v>
      </c>
      <c r="BF120" s="13">
        <f t="shared" si="91"/>
        <v>80.868615263336864</v>
      </c>
      <c r="BG120" s="20">
        <f t="shared" si="61"/>
        <v>744.56357158364528</v>
      </c>
      <c r="BH120" s="59">
        <f t="shared" si="62"/>
        <v>1026.0666667647549</v>
      </c>
      <c r="BI120" s="59">
        <f ca="1">AVERAGE(OFFSET($BH$3,0,0,'Données projet'!$E$11+1,1))-AVERAGE(OFFSET($H$3,0,0,'Données projet'!$E$11+1,1))</f>
        <v>481.23392184981651</v>
      </c>
      <c r="BJ120" s="59">
        <f t="shared" si="92"/>
        <v>275.88160405468193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106.07430600919913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106.07430600919913</v>
      </c>
      <c r="BT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5.2499999999990337</v>
      </c>
      <c r="BZ120" s="13">
        <f>BY120*VLOOKUP('Données projet'!$B$12,Paramètres!$A$1:$I$89,3,0)*VLOOKUP('Données projet'!$B$12,Paramètres!$A$1:$I$89,5,0)</f>
        <v>2.4569999999995478</v>
      </c>
      <c r="CA120" s="13">
        <f t="shared" si="93"/>
        <v>1.0197977774625564</v>
      </c>
      <c r="CB120" s="20">
        <f t="shared" si="64"/>
        <v>6.0554227957464972</v>
      </c>
      <c r="CC120" s="59">
        <f t="shared" si="65"/>
        <v>287.55851797685614</v>
      </c>
      <c r="CD120" s="59">
        <f ca="1">AVERAGE(OFFSET($CC$3,0,0,'Données projet'!$E$12+1,1))-AVERAGE(OFFSET($H$3,0,0,'Données projet'!$E$12+1,1))</f>
        <v>331.86732359395467</v>
      </c>
      <c r="CE120" s="59">
        <f t="shared" si="94"/>
        <v>208.64489375183106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207.30091498539187</v>
      </c>
      <c r="CL120" s="21">
        <f>EXP(-LN(2)/25)*CL119+(1-EXP(-LN(2)/25))/(LN(2)/25)*Calculateur!CG120*Calculateur!CI120*VLOOKUP('Données projet'!$B$12,Paramètres!$A$1:$I$89,3,0)*0.475*44/12</f>
        <v>0</v>
      </c>
      <c r="CM120" s="21">
        <f>EXP(-LN(2)/2)*CM119+(1-EXP(-LN(2)/2))/(LN(2)/2)*CG120*CJ120*VLOOKUP('Données projet'!$B$12,Paramètres!$A$1:$I$89,3,0)*0.475*44/12</f>
        <v>0</v>
      </c>
      <c r="CN120" s="22">
        <f t="shared" si="66"/>
        <v>207.30091498539187</v>
      </c>
      <c r="CO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319</v>
      </c>
      <c r="CU120" s="17">
        <f>CT120*VLOOKUP('Données projet'!$B$13,Paramètres!$A$1:$I$89,3,0)*VLOOKUP('Données projet'!$B$13,Paramètres!$A$1:$I$89,5,0)</f>
        <v>233.89079999999998</v>
      </c>
      <c r="CV120" s="13">
        <f t="shared" si="95"/>
        <v>57.123140349023068</v>
      </c>
      <c r="CW120" s="20">
        <f t="shared" si="67"/>
        <v>506.84927944121517</v>
      </c>
      <c r="CX120" s="59">
        <f t="shared" si="68"/>
        <v>788.35237462232476</v>
      </c>
      <c r="CY120" s="59">
        <f ca="1">AVERAGE(OFFSET($CX$3,0,0,'Données projet'!$E$13+1,1))-AVERAGE(OFFSET($H$3,0,0,'Données projet'!$E$13+1,1))</f>
        <v>352.45777291109863</v>
      </c>
      <c r="CZ120" s="59">
        <f t="shared" si="96"/>
        <v>340.92165104349181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19.104726430763026</v>
      </c>
      <c r="DG120" s="21">
        <f>EXP(-LN(2)/25)*DG119+(1-EXP(-LN(2)/25))/(LN(2)/25)*Calculateur!DB120*Calculateur!DD120*VLOOKUP('Données projet'!$B$13,Paramètres!$A$1:$I$89,3,0)*0.475*44/12</f>
        <v>0</v>
      </c>
      <c r="DH120" s="21">
        <f>EXP(-LN(2)/2)*DH119+(1-EXP(-LN(2)/2))/(LN(2)/2)*DB120*DE120*VLOOKUP('Données projet'!$B$13,Paramètres!$A$1:$I$89,3,0)*0.475*44/12</f>
        <v>0</v>
      </c>
      <c r="DI120" s="22">
        <f t="shared" si="69"/>
        <v>19.104726430763026</v>
      </c>
      <c r="DJ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9.4029999999999916</v>
      </c>
      <c r="DO120" s="12">
        <f>IF('Données projet'!$A$166&gt;35,DO119+DN120-DW119,IF(A120&lt;'Données projet'!$A$166,$DL$205^A120,IF(A120='Données projet'!$A$166,'Données projet'!$B$166,DO119+DN120-DW119)))</f>
        <v>507.23400000000038</v>
      </c>
      <c r="DP120" s="17">
        <f>DO120*VLOOKUP('Données projet'!$B$14,Paramètres!$A$1:$I$89,3,0)*VLOOKUP('Données projet'!$B$14,Paramètres!$A$1:$I$89,5,0)</f>
        <v>340.25256720000027</v>
      </c>
      <c r="DQ120" s="13">
        <f t="shared" si="97"/>
        <v>79.552126149016743</v>
      </c>
      <c r="DR120" s="20">
        <f t="shared" si="70"/>
        <v>731.15984091620464</v>
      </c>
      <c r="DS120" s="59">
        <f t="shared" si="71"/>
        <v>1012.6629360973143</v>
      </c>
      <c r="DT120" s="59">
        <f ca="1">AVERAGE(OFFSET($DS$3,0,0,'Données projet'!$E$14+1,1))-AVERAGE(OFFSET($H$3,0,0,'Données projet'!$E$14+1,1))</f>
        <v>441.20130048888439</v>
      </c>
      <c r="DU120" s="59">
        <f t="shared" si="98"/>
        <v>237.47732532183946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103.48986484425474</v>
      </c>
      <c r="EB120" s="21">
        <f>EXP(-LN(2)/25)*EB119+(1-EXP(-LN(2)/25))/(LN(2)/25)*Calculateur!DW120*Calculateur!DY120*VLOOKUP('Données projet'!$B$14,Paramètres!$A$1:$I$89,3,0)*0.475*44/12</f>
        <v>0</v>
      </c>
      <c r="EC120" s="21">
        <f>EXP(-LN(2)/2)*EC119+(1-EXP(-LN(2)/2))/(LN(2)/2)*DW120*DZ120*VLOOKUP('Données projet'!$B$14,Paramètres!$A$1:$I$89,3,0)*0.475*44/12</f>
        <v>0</v>
      </c>
      <c r="ED120" s="22">
        <f t="shared" si="72"/>
        <v>103.48986484425474</v>
      </c>
      <c r="EE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319</v>
      </c>
      <c r="EK120" s="17">
        <f>EJ120*VLOOKUP('Données projet'!$B$15,Paramètres!$A$1:$I$89,3,0)*VLOOKUP('Données projet'!$B$15,Paramètres!$A$1:$I$89,5,0)</f>
        <v>253.79640000000001</v>
      </c>
      <c r="EL120" s="13">
        <f t="shared" si="99"/>
        <v>61.39816832228076</v>
      </c>
      <c r="EM120" s="20">
        <f t="shared" si="73"/>
        <v>548.96387316130563</v>
      </c>
      <c r="EN120" s="59">
        <f t="shared" si="74"/>
        <v>830.46696834241527</v>
      </c>
      <c r="EO120" s="59">
        <f ca="1">AVERAGE(OFFSET($EN$3,0,0,'Données projet'!$E$15+1,1))-AVERAGE(OFFSET($H$3,0,0,'Données projet'!$E$15+1,1))</f>
        <v>377.27600411578322</v>
      </c>
      <c r="EP120" s="59">
        <f t="shared" si="100"/>
        <v>364.58250627635425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>
        <f>EXP(-LN(2)/35)*EV119+(1-EXP(-LN(2)/35))/(LN(2)/35)*ER120*ES120*VLOOKUP('Données projet'!$B$15,Paramètres!$A$1:$I$89,3,0)*0.475*44/12</f>
        <v>25.551744454404975</v>
      </c>
      <c r="EW120" s="21">
        <f>EXP(-LN(2)/25)*EW119+(1-EXP(-LN(2)/25))/(LN(2)/25)*Calculateur!ER120*Calculateur!ET120*VLOOKUP('Données projet'!$B$15,Paramètres!$A$1:$I$89,3,0)*0.475*44/12</f>
        <v>0</v>
      </c>
      <c r="EX120" s="21">
        <f>EXP(-LN(2)/2)*EX119+(1-EXP(-LN(2)/2))/(LN(2)/2)*ER120*EU120*VLOOKUP('Données projet'!$B$15,Paramètres!$A$1:$I$89,3,0)*0.475*44/12</f>
        <v>0</v>
      </c>
      <c r="EY120" s="22">
        <f t="shared" si="75"/>
        <v>25.551744454404975</v>
      </c>
      <c r="EZ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319</v>
      </c>
      <c r="FF120" s="17">
        <f>FE120*VLOOKUP('Données projet'!$B$16,Paramètres!$A$1:$I$89,3,0)*VLOOKUP('Données projet'!$B$16,Paramètres!$A$1:$I$89,5,0)</f>
        <v>258.77280000000002</v>
      </c>
      <c r="FG120" s="13">
        <f t="shared" si="101"/>
        <v>62.460716522234691</v>
      </c>
      <c r="FH120" s="20">
        <f t="shared" si="76"/>
        <v>559.48170794289206</v>
      </c>
      <c r="FI120" s="59">
        <f t="shared" si="77"/>
        <v>840.9848031240017</v>
      </c>
      <c r="FJ120" s="59">
        <f ca="1">AVERAGE(OFFSET($FI$3,0,0,'Données projet'!$E$16+1,1))-AVERAGE(OFFSET($H$3,0,0,'Données projet'!$E$16+1,1))</f>
        <v>383.47399633251354</v>
      </c>
      <c r="FK120" s="59">
        <f t="shared" si="102"/>
        <v>370.49129421395628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>
        <f>EXP(-LN(2)/35)*FQ119+(1-EXP(-LN(2)/35))/(LN(2)/35)*FM120*FN120*VLOOKUP('Données projet'!$B$16,Paramètres!$A$1:$I$89,3,0)*0.475*44/12</f>
        <v>26.05275905155019</v>
      </c>
      <c r="FR120" s="21">
        <f>EXP(-LN(2)/25)*FR119+(1-EXP(-LN(2)/25))/(LN(2)/25)*Calculateur!FM120*Calculateur!FO120*VLOOKUP('Données projet'!$B$16,Paramètres!$A$1:$I$89,3,0)*0.475*44/12</f>
        <v>0</v>
      </c>
      <c r="FS120" s="21">
        <f>EXP(-LN(2)/2)*FS119+(1-EXP(-LN(2)/2))/(LN(2)/2)*FM120*FP120*VLOOKUP('Données projet'!$B$16,Paramètres!$A$1:$I$89,3,0)*0.475*44/12</f>
        <v>0</v>
      </c>
      <c r="FT120" s="22">
        <f t="shared" si="78"/>
        <v>26.05275905155019</v>
      </c>
      <c r="FU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9.4029999999999916</v>
      </c>
      <c r="FZ120" s="12">
        <f>IF('Données projet'!$A$244&gt;35,FZ119+FY120-GH119,IF(A120&lt;'Données projet'!$A$244,$FW$205^A120,IF(A120='Données projet'!$A$244,'Données projet'!$B$244,FZ119+FY120-GH119)))</f>
        <v>507.23400000000038</v>
      </c>
      <c r="GA120" s="17">
        <f>FZ120*VLOOKUP('Données projet'!$B$17,Paramètres!$A$1:$I$89,3,0)*VLOOKUP('Données projet'!$B$17,Paramètres!$A$1:$I$89,5,0)</f>
        <v>482.68387440000032</v>
      </c>
      <c r="GB120" s="13">
        <f t="shared" si="103"/>
        <v>108.35189373663384</v>
      </c>
      <c r="GC120" s="20">
        <f t="shared" si="79"/>
        <v>1029.3872961713043</v>
      </c>
      <c r="GD120" s="59">
        <f t="shared" si="80"/>
        <v>1310.8903913524141</v>
      </c>
      <c r="GE120" s="59">
        <f ca="1">AVERAGE(OFFSET($GD$3,0,0,'Données projet'!$E$17+1,1))-AVERAGE(OFFSET($H$3,0,0,'Données projet'!$E$17+1,1))</f>
        <v>592.58528889137358</v>
      </c>
      <c r="GF120" s="59">
        <f t="shared" si="104"/>
        <v>311.31528020403709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>
        <f>EXP(-LN(2)/35)*GL119+(1-EXP(-LN(2)/35))/(LN(2)/35)*GH120*GI120*VLOOKUP('Données projet'!$B$17,Paramètres!$A$1:$I$89,3,0)*0.475*44/12</f>
        <v>119.11097651885926</v>
      </c>
      <c r="GM120" s="21">
        <f>EXP(-LN(2)/25)*GM119+(1-EXP(-LN(2)/25))/(LN(2)/25)*Calculateur!GH120*Calculateur!GJ120*VLOOKUP('Données projet'!$B$17,Paramètres!$A$1:$I$89,3,0)*0.475*44/12</f>
        <v>0</v>
      </c>
      <c r="GN120" s="21">
        <f>EXP(-LN(2)/2)*GN119+(1-EXP(-LN(2)/2))/(LN(2)/2)*GH120*GK120*VLOOKUP('Données projet'!$B$17,Paramètres!$A$1:$I$89,3,0)*0.475*44/12</f>
        <v>0</v>
      </c>
      <c r="GO120" s="21">
        <f t="shared" si="81"/>
        <v>119.11097651885926</v>
      </c>
      <c r="GP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328.00000000000006</v>
      </c>
      <c r="GV120" s="17">
        <f>GU120*VLOOKUP('Données projet'!$B$18,Paramètres!$A$1:$I$89,3,0)*VLOOKUP('Données projet'!$B$18,Paramètres!$A$1:$I$89,5,0)</f>
        <v>255.84000000000006</v>
      </c>
      <c r="GW120" s="13">
        <f t="shared" si="105"/>
        <v>61.834803371075836</v>
      </c>
      <c r="GX120" s="20">
        <f t="shared" si="82"/>
        <v>553.28361587129041</v>
      </c>
      <c r="GY120" s="59">
        <f t="shared" si="83"/>
        <v>834.78671105240005</v>
      </c>
      <c r="GZ120" s="59">
        <f ca="1">AVERAGE(OFFSET($GY$3,0,0,'Données projet'!$E$18+1,1))-AVERAGE(OFFSET($H$3,0,0,'Données projet'!$E$18+1,1))</f>
        <v>308.85018589589453</v>
      </c>
      <c r="HA120" s="59">
        <f t="shared" si="106"/>
        <v>302.59481222418219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>
        <f>EXP(-LN(2)/35)*HG119+(1-EXP(-LN(2)/35))/(LN(2)/35)*HC120*HD120*VLOOKUP('Données projet'!$B$18,Paramètres!$A$1:$I$89,3,0)*0.475*44/12</f>
        <v>19.472366187384779</v>
      </c>
      <c r="HH120" s="21">
        <f>EXP(-LN(2)/25)*HH119+(1-EXP(-LN(2)/25))/(LN(2)/25)*Calculateur!HC120*Calculateur!HE120*VLOOKUP('Données projet'!$B$18,Paramètres!$A$1:$I$89,3,0)*0.475*44/12</f>
        <v>0</v>
      </c>
      <c r="HI120" s="21">
        <f>EXP(-LN(2)/2)*HI119+(1-EXP(-LN(2)/2))/(LN(2)/2)*HC120*HF120*VLOOKUP('Données projet'!$B$18,Paramètres!$A$1:$I$89,3,0)*0.475*44/12</f>
        <v>0</v>
      </c>
      <c r="HJ120" s="22">
        <f t="shared" si="84"/>
        <v>19.472366187384779</v>
      </c>
    </row>
    <row r="121" spans="1:218" x14ac:dyDescent="0.35">
      <c r="A121" s="10">
        <f t="shared" si="85"/>
        <v>118</v>
      </c>
      <c r="B121" s="72">
        <f>'Scénario référence'!$B$16*5+'Scénario référence'!$B$17*0+'Scénario référence'!$B$18*5</f>
        <v>5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66">
        <f t="shared" si="56"/>
        <v>183.33333333333334</v>
      </c>
      <c r="I121" s="6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9.4029999999999916</v>
      </c>
      <c r="N121" s="13">
        <f>IF('Données projet'!$A$36&gt;35,N120+M121-V120,IF(A121&lt;'Données projet'!$A$36,$K$205^A121,IF(A121='Données projet'!$A$36,'Données projet'!$B$36,N120+M121-V120)))</f>
        <v>516.6370000000004</v>
      </c>
      <c r="O121" s="13">
        <f>N121*VLOOKUP('Données projet'!$B$9,Paramètres!$A$1:$I$89,3,0)*VLOOKUP('Données projet'!$B$9,Paramètres!$A$1:$I$89,5,0)</f>
        <v>467.45315760000034</v>
      </c>
      <c r="P121" s="13">
        <f t="shared" si="87"/>
        <v>105.3252862310737</v>
      </c>
      <c r="Q121" s="20">
        <f t="shared" si="107"/>
        <v>997.5891230057872</v>
      </c>
      <c r="R121" s="59">
        <f t="shared" si="55"/>
        <v>1279.2974463703877</v>
      </c>
      <c r="S121" s="59">
        <f ca="1">AVERAGE(OFFSET($R$3,0,0,'Données projet'!$E$9+1,1))-AVERAGE(OFFSET($H$3,0,0,'Données projet'!$E$9+1,1))</f>
        <v>567.42635821507474</v>
      </c>
      <c r="T121" s="59">
        <f t="shared" si="88"/>
        <v>299.04735309930152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111.03223621887037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111.03223621887037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9.4029999999999916</v>
      </c>
      <c r="AI121" s="13">
        <f>IF('Données projet'!$A$62&gt;35,AI120+AH121-AQ120,IF(A121&lt;'Données projet'!$A$62,$AF$205^A121,IF(A121='Données projet'!$A$62,'Données projet'!$B$62,AI120+AH121-AQ120)))</f>
        <v>516.6370000000004</v>
      </c>
      <c r="AJ121" s="13">
        <f>AI121*VLOOKUP('Données projet'!$B$10,Paramètres!$A$1:$I$89,3,0)*VLOOKUP('Données projet'!$B$10,Paramètres!$A$1:$I$89,5,0)</f>
        <v>523.86991800000044</v>
      </c>
      <c r="AK121" s="13">
        <f t="shared" si="89"/>
        <v>116.48175753019471</v>
      </c>
      <c r="AL121" s="20">
        <f t="shared" si="58"/>
        <v>1115.2791682150898</v>
      </c>
      <c r="AM121" s="59">
        <f t="shared" si="59"/>
        <v>1396.9874915796902</v>
      </c>
      <c r="AN121" s="59">
        <f ca="1">AVERAGE(OFFSET($AM$3,0,0,'Données projet'!$E$10+1,1))-AVERAGE(OFFSET($H$3,0,0,'Données projet'!$E$10+1,1))</f>
        <v>626.09203985591455</v>
      </c>
      <c r="AO121" s="59">
        <f t="shared" si="90"/>
        <v>327.65191296575199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124.43267852114788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124.43267852114788</v>
      </c>
      <c r="AY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404.00000000000017</v>
      </c>
      <c r="BE121" s="13">
        <f>BD121*VLOOKUP('Données projet'!$B$11,Paramètres!$A$1:$I$89,3,0)*VLOOKUP('Données projet'!$B$11,Paramètres!$A$1:$I$89,5,0)</f>
        <v>346.63200000000018</v>
      </c>
      <c r="BF121" s="13">
        <f t="shared" si="91"/>
        <v>80.868615263336864</v>
      </c>
      <c r="BG121" s="20">
        <f t="shared" si="61"/>
        <v>744.56357158364528</v>
      </c>
      <c r="BH121" s="59">
        <f t="shared" si="62"/>
        <v>1026.2718949482457</v>
      </c>
      <c r="BI121" s="59">
        <f ca="1">AVERAGE(OFFSET($BH$3,0,0,'Données projet'!$E$11+1,1))-AVERAGE(OFFSET($H$3,0,0,'Données projet'!$E$11+1,1))</f>
        <v>481.23392184981651</v>
      </c>
      <c r="BJ121" s="59">
        <f t="shared" si="92"/>
        <v>275.88160405468193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103.99425356729691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103.99425356729691</v>
      </c>
      <c r="BT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5.2499999999990337</v>
      </c>
      <c r="BZ121" s="13">
        <f>BY121*VLOOKUP('Données projet'!$B$12,Paramètres!$A$1:$I$89,3,0)*VLOOKUP('Données projet'!$B$12,Paramètres!$A$1:$I$89,5,0)</f>
        <v>2.4569999999995478</v>
      </c>
      <c r="CA121" s="13">
        <f t="shared" si="93"/>
        <v>1.0197977774625564</v>
      </c>
      <c r="CB121" s="20">
        <f t="shared" si="64"/>
        <v>6.0554227957464972</v>
      </c>
      <c r="CC121" s="59">
        <f t="shared" si="65"/>
        <v>287.7637461603469</v>
      </c>
      <c r="CD121" s="59">
        <f ca="1">AVERAGE(OFFSET($CC$3,0,0,'Données projet'!$E$12+1,1))-AVERAGE(OFFSET($H$3,0,0,'Données projet'!$E$12+1,1))</f>
        <v>331.86732359395467</v>
      </c>
      <c r="CE121" s="59">
        <f t="shared" si="94"/>
        <v>208.64489375183106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203.23587048360145</v>
      </c>
      <c r="CL121" s="21">
        <f>EXP(-LN(2)/25)*CL120+(1-EXP(-LN(2)/25))/(LN(2)/25)*Calculateur!CG121*Calculateur!CI121*VLOOKUP('Données projet'!$B$12,Paramètres!$A$1:$I$89,3,0)*0.475*44/12</f>
        <v>0</v>
      </c>
      <c r="CM121" s="21">
        <f>EXP(-LN(2)/2)*CM120+(1-EXP(-LN(2)/2))/(LN(2)/2)*CG121*CJ121*VLOOKUP('Données projet'!$B$12,Paramètres!$A$1:$I$89,3,0)*0.475*44/12</f>
        <v>0</v>
      </c>
      <c r="CN121" s="22">
        <f t="shared" si="66"/>
        <v>203.23587048360145</v>
      </c>
      <c r="CO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319</v>
      </c>
      <c r="CU121" s="17">
        <f>CT121*VLOOKUP('Données projet'!$B$13,Paramètres!$A$1:$I$89,3,0)*VLOOKUP('Données projet'!$B$13,Paramètres!$A$1:$I$89,5,0)</f>
        <v>233.89079999999998</v>
      </c>
      <c r="CV121" s="13">
        <f t="shared" si="95"/>
        <v>57.123140349023068</v>
      </c>
      <c r="CW121" s="20">
        <f t="shared" si="67"/>
        <v>506.84927944121517</v>
      </c>
      <c r="CX121" s="59">
        <f t="shared" si="68"/>
        <v>788.55760280581558</v>
      </c>
      <c r="CY121" s="59">
        <f ca="1">AVERAGE(OFFSET($CX$3,0,0,'Données projet'!$E$13+1,1))-AVERAGE(OFFSET($H$3,0,0,'Données projet'!$E$13+1,1))</f>
        <v>352.45777291109863</v>
      </c>
      <c r="CZ121" s="59">
        <f t="shared" si="96"/>
        <v>340.92165104349181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18.730094398188275</v>
      </c>
      <c r="DG121" s="21">
        <f>EXP(-LN(2)/25)*DG120+(1-EXP(-LN(2)/25))/(LN(2)/25)*Calculateur!DB121*Calculateur!DD121*VLOOKUP('Données projet'!$B$13,Paramètres!$A$1:$I$89,3,0)*0.475*44/12</f>
        <v>0</v>
      </c>
      <c r="DH121" s="21">
        <f>EXP(-LN(2)/2)*DH120+(1-EXP(-LN(2)/2))/(LN(2)/2)*DB121*DE121*VLOOKUP('Données projet'!$B$13,Paramètres!$A$1:$I$89,3,0)*0.475*44/12</f>
        <v>0</v>
      </c>
      <c r="DI121" s="22">
        <f t="shared" si="69"/>
        <v>18.730094398188275</v>
      </c>
      <c r="DJ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9.4029999999999916</v>
      </c>
      <c r="DO121" s="12">
        <f>IF('Données projet'!$A$166&gt;35,DO120+DN121-DW120,IF(A121&lt;'Données projet'!$A$166,$DL$205^A121,IF(A121='Données projet'!$A$166,'Données projet'!$B$166,DO120+DN121-DW120)))</f>
        <v>516.6370000000004</v>
      </c>
      <c r="DP121" s="17">
        <f>DO121*VLOOKUP('Données projet'!$B$14,Paramètres!$A$1:$I$89,3,0)*VLOOKUP('Données projet'!$B$14,Paramètres!$A$1:$I$89,5,0)</f>
        <v>346.56009960000029</v>
      </c>
      <c r="DQ121" s="13">
        <f t="shared" si="97"/>
        <v>80.853793372492134</v>
      </c>
      <c r="DR121" s="20">
        <f t="shared" si="70"/>
        <v>744.41253026042432</v>
      </c>
      <c r="DS121" s="59">
        <f t="shared" si="71"/>
        <v>1026.1208536250247</v>
      </c>
      <c r="DT121" s="59">
        <f ca="1">AVERAGE(OFFSET($DS$3,0,0,'Données projet'!$E$14+1,1))-AVERAGE(OFFSET($H$3,0,0,'Données projet'!$E$14+1,1))</f>
        <v>441.20130048888439</v>
      </c>
      <c r="DU121" s="59">
        <f t="shared" si="98"/>
        <v>237.47732532183946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101.46049171724363</v>
      </c>
      <c r="EB121" s="21">
        <f>EXP(-LN(2)/25)*EB120+(1-EXP(-LN(2)/25))/(LN(2)/25)*Calculateur!DW121*Calculateur!DY121*VLOOKUP('Données projet'!$B$14,Paramètres!$A$1:$I$89,3,0)*0.475*44/12</f>
        <v>0</v>
      </c>
      <c r="EC121" s="21">
        <f>EXP(-LN(2)/2)*EC120+(1-EXP(-LN(2)/2))/(LN(2)/2)*DW121*DZ121*VLOOKUP('Données projet'!$B$14,Paramètres!$A$1:$I$89,3,0)*0.475*44/12</f>
        <v>0</v>
      </c>
      <c r="ED121" s="22">
        <f t="shared" si="72"/>
        <v>101.46049171724363</v>
      </c>
      <c r="EE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319</v>
      </c>
      <c r="EK121" s="17">
        <f>EJ121*VLOOKUP('Données projet'!$B$15,Paramètres!$A$1:$I$89,3,0)*VLOOKUP('Données projet'!$B$15,Paramètres!$A$1:$I$89,5,0)</f>
        <v>253.79640000000001</v>
      </c>
      <c r="EL121" s="13">
        <f t="shared" si="99"/>
        <v>61.39816832228076</v>
      </c>
      <c r="EM121" s="20">
        <f t="shared" si="73"/>
        <v>548.96387316130563</v>
      </c>
      <c r="EN121" s="59">
        <f t="shared" si="74"/>
        <v>830.67219652590597</v>
      </c>
      <c r="EO121" s="59">
        <f ca="1">AVERAGE(OFFSET($EN$3,0,0,'Données projet'!$E$15+1,1))-AVERAGE(OFFSET($H$3,0,0,'Données projet'!$E$15+1,1))</f>
        <v>377.27600411578322</v>
      </c>
      <c r="EP121" s="59">
        <f t="shared" si="100"/>
        <v>364.58250627635425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>
        <f>EXP(-LN(2)/35)*EV120+(1-EXP(-LN(2)/35))/(LN(2)/35)*ER121*ES121*VLOOKUP('Données projet'!$B$15,Paramètres!$A$1:$I$89,3,0)*0.475*44/12</f>
        <v>25.050690330679316</v>
      </c>
      <c r="EW121" s="21">
        <f>EXP(-LN(2)/25)*EW120+(1-EXP(-LN(2)/25))/(LN(2)/25)*Calculateur!ER121*Calculateur!ET121*VLOOKUP('Données projet'!$B$15,Paramètres!$A$1:$I$89,3,0)*0.475*44/12</f>
        <v>0</v>
      </c>
      <c r="EX121" s="21">
        <f>EXP(-LN(2)/2)*EX120+(1-EXP(-LN(2)/2))/(LN(2)/2)*ER121*EU121*VLOOKUP('Données projet'!$B$15,Paramètres!$A$1:$I$89,3,0)*0.475*44/12</f>
        <v>0</v>
      </c>
      <c r="EY121" s="22">
        <f t="shared" si="75"/>
        <v>25.050690330679316</v>
      </c>
      <c r="EZ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319</v>
      </c>
      <c r="FF121" s="17">
        <f>FE121*VLOOKUP('Données projet'!$B$16,Paramètres!$A$1:$I$89,3,0)*VLOOKUP('Données projet'!$B$16,Paramètres!$A$1:$I$89,5,0)</f>
        <v>258.77280000000002</v>
      </c>
      <c r="FG121" s="13">
        <f t="shared" si="101"/>
        <v>62.460716522234691</v>
      </c>
      <c r="FH121" s="20">
        <f t="shared" si="76"/>
        <v>559.48170794289206</v>
      </c>
      <c r="FI121" s="59">
        <f t="shared" si="77"/>
        <v>841.19003130749252</v>
      </c>
      <c r="FJ121" s="59">
        <f ca="1">AVERAGE(OFFSET($FI$3,0,0,'Données projet'!$E$16+1,1))-AVERAGE(OFFSET($H$3,0,0,'Données projet'!$E$16+1,1))</f>
        <v>383.47399633251354</v>
      </c>
      <c r="FK121" s="59">
        <f t="shared" si="102"/>
        <v>370.49129421395628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>
        <f>EXP(-LN(2)/35)*FQ120+(1-EXP(-LN(2)/35))/(LN(2)/35)*FM121*FN121*VLOOKUP('Données projet'!$B$16,Paramètres!$A$1:$I$89,3,0)*0.475*44/12</f>
        <v>25.541880337163246</v>
      </c>
      <c r="FR121" s="21">
        <f>EXP(-LN(2)/25)*FR120+(1-EXP(-LN(2)/25))/(LN(2)/25)*Calculateur!FM121*Calculateur!FO121*VLOOKUP('Données projet'!$B$16,Paramètres!$A$1:$I$89,3,0)*0.475*44/12</f>
        <v>0</v>
      </c>
      <c r="FS121" s="21">
        <f>EXP(-LN(2)/2)*FS120+(1-EXP(-LN(2)/2))/(LN(2)/2)*FM121*FP121*VLOOKUP('Données projet'!$B$16,Paramètres!$A$1:$I$89,3,0)*0.475*44/12</f>
        <v>0</v>
      </c>
      <c r="FT121" s="22">
        <f t="shared" si="78"/>
        <v>25.541880337163246</v>
      </c>
      <c r="FU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9.4029999999999916</v>
      </c>
      <c r="FZ121" s="12">
        <f>IF('Données projet'!$A$244&gt;35,FZ120+FY121-GH120,IF(A121&lt;'Données projet'!$A$244,$FW$205^A121,IF(A121='Données projet'!$A$244,'Données projet'!$B$244,FZ120+FY121-GH120)))</f>
        <v>516.6370000000004</v>
      </c>
      <c r="GA121" s="17">
        <f>FZ121*VLOOKUP('Données projet'!$B$17,Paramètres!$A$1:$I$89,3,0)*VLOOKUP('Données projet'!$B$17,Paramètres!$A$1:$I$89,5,0)</f>
        <v>491.63176920000041</v>
      </c>
      <c r="GB121" s="13">
        <f t="shared" si="103"/>
        <v>110.12479554964476</v>
      </c>
      <c r="GC121" s="20">
        <f t="shared" si="79"/>
        <v>1048.0593502722984</v>
      </c>
      <c r="GD121" s="59">
        <f t="shared" si="80"/>
        <v>1329.7676736368987</v>
      </c>
      <c r="GE121" s="59">
        <f ca="1">AVERAGE(OFFSET($GD$3,0,0,'Données projet'!$E$17+1,1))-AVERAGE(OFFSET($H$3,0,0,'Données projet'!$E$17+1,1))</f>
        <v>592.58528889137358</v>
      </c>
      <c r="GF121" s="59">
        <f t="shared" si="104"/>
        <v>311.31528020403709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>
        <f>EXP(-LN(2)/35)*GL120+(1-EXP(-LN(2)/35))/(LN(2)/35)*GH121*GI121*VLOOKUP('Données projet'!$B$17,Paramètres!$A$1:$I$89,3,0)*0.475*44/12</f>
        <v>116.77528291984646</v>
      </c>
      <c r="GM121" s="21">
        <f>EXP(-LN(2)/25)*GM120+(1-EXP(-LN(2)/25))/(LN(2)/25)*Calculateur!GH121*Calculateur!GJ121*VLOOKUP('Données projet'!$B$17,Paramètres!$A$1:$I$89,3,0)*0.475*44/12</f>
        <v>0</v>
      </c>
      <c r="GN121" s="21">
        <f>EXP(-LN(2)/2)*GN120+(1-EXP(-LN(2)/2))/(LN(2)/2)*GH121*GK121*VLOOKUP('Données projet'!$B$17,Paramètres!$A$1:$I$89,3,0)*0.475*44/12</f>
        <v>0</v>
      </c>
      <c r="GO121" s="21">
        <f t="shared" si="81"/>
        <v>116.77528291984646</v>
      </c>
      <c r="GP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328.00000000000006</v>
      </c>
      <c r="GV121" s="17">
        <f>GU121*VLOOKUP('Données projet'!$B$18,Paramètres!$A$1:$I$89,3,0)*VLOOKUP('Données projet'!$B$18,Paramètres!$A$1:$I$89,5,0)</f>
        <v>255.84000000000006</v>
      </c>
      <c r="GW121" s="13">
        <f t="shared" si="105"/>
        <v>61.834803371075836</v>
      </c>
      <c r="GX121" s="20">
        <f t="shared" si="82"/>
        <v>553.28361587129041</v>
      </c>
      <c r="GY121" s="59">
        <f t="shared" si="83"/>
        <v>834.99193923589087</v>
      </c>
      <c r="GZ121" s="59">
        <f ca="1">AVERAGE(OFFSET($GY$3,0,0,'Données projet'!$E$18+1,1))-AVERAGE(OFFSET($H$3,0,0,'Données projet'!$E$18+1,1))</f>
        <v>308.85018589589453</v>
      </c>
      <c r="HA121" s="59">
        <f t="shared" si="106"/>
        <v>302.59481222418219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>
        <f>EXP(-LN(2)/35)*HG120+(1-EXP(-LN(2)/35))/(LN(2)/35)*HC121*HD121*VLOOKUP('Données projet'!$B$18,Paramètres!$A$1:$I$89,3,0)*0.475*44/12</f>
        <v>19.090524963420783</v>
      </c>
      <c r="HH121" s="21">
        <f>EXP(-LN(2)/25)*HH120+(1-EXP(-LN(2)/25))/(LN(2)/25)*Calculateur!HC121*Calculateur!HE121*VLOOKUP('Données projet'!$B$18,Paramètres!$A$1:$I$89,3,0)*0.475*44/12</f>
        <v>0</v>
      </c>
      <c r="HI121" s="21">
        <f>EXP(-LN(2)/2)*HI120+(1-EXP(-LN(2)/2))/(LN(2)/2)*HC121*HF121*VLOOKUP('Données projet'!$B$18,Paramètres!$A$1:$I$89,3,0)*0.475*44/12</f>
        <v>0</v>
      </c>
      <c r="HJ121" s="22">
        <f t="shared" si="84"/>
        <v>19.090524963420783</v>
      </c>
    </row>
    <row r="122" spans="1:218" x14ac:dyDescent="0.35">
      <c r="A122" s="10">
        <f t="shared" si="85"/>
        <v>119</v>
      </c>
      <c r="B122" s="72">
        <f>'Scénario référence'!$B$16*5+'Scénario référence'!$B$17*0+'Scénario référence'!$B$18*5</f>
        <v>5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66">
        <f t="shared" si="56"/>
        <v>183.33333333333334</v>
      </c>
      <c r="I122" s="6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>
        <f>VLOOKUP(A122,'Données projet'!$A$35:$I$55,2,0)</f>
        <v>526.04</v>
      </c>
      <c r="L122" s="12">
        <f>VLOOKUP(A122,'Données projet'!$A$35:$I$55,9,0)</f>
        <v>9.4029999999999916</v>
      </c>
      <c r="M122" s="12">
        <f t="array" ref="M122">INDEX(L:L,MIN(IF(ISNUMBER(L122:L318),ROW(L122:L318),"")))</f>
        <v>9.4029999999999916</v>
      </c>
      <c r="N122" s="13">
        <f>IF('Données projet'!$A$36&gt;35,N121+M122-V121,IF(A122&lt;'Données projet'!$A$36,$K$205^A122,IF(A122='Données projet'!$A$36,'Données projet'!$B$36,N121+M122-V121)))</f>
        <v>526.04000000000042</v>
      </c>
      <c r="O122" s="13">
        <f>N122*VLOOKUP('Données projet'!$B$9,Paramètres!$A$1:$I$89,3,0)*VLOOKUP('Données projet'!$B$9,Paramètres!$A$1:$I$89,5,0)</f>
        <v>475.96099200000037</v>
      </c>
      <c r="P122" s="13">
        <f t="shared" si="87"/>
        <v>107.01733197112763</v>
      </c>
      <c r="Q122" s="20">
        <f t="shared" si="107"/>
        <v>1015.3539142497146</v>
      </c>
      <c r="R122" s="59">
        <f t="shared" si="55"/>
        <v>1297.2639055476438</v>
      </c>
      <c r="S122" s="59">
        <f ca="1">AVERAGE(OFFSET($R$3,0,0,'Données projet'!$E$9+1,1))-AVERAGE(OFFSET($H$3,0,0,'Données projet'!$E$9+1,1))</f>
        <v>567.42635821507474</v>
      </c>
      <c r="T122" s="59">
        <f t="shared" si="88"/>
        <v>299.04735309930152</v>
      </c>
      <c r="U122" s="15">
        <f>IF(ISNA(VLOOKUP(A122,'Données projet'!$A$35:$I$55,3,0)),0,VLOOKUP(A122,'Données projet'!$A$35:$I$55,3,0))</f>
        <v>11</v>
      </c>
      <c r="V122" s="15">
        <f>IF(ISNA(VLOOKUP(A122,'Données projet'!$A$35:$I$55,4,0)),0,VLOOKUP(A122,'Données projet'!$A$35:$I$55,4,0))</f>
        <v>196.46</v>
      </c>
      <c r="W122" s="16">
        <f>IF(ISNA(VLOOKUP(A122,'Données projet'!$A$35:$I$55,5,0)),0%,VLOOKUP(A122,'Données projet'!$A$35:$I$55,5,0)*VLOOKUP('Données projet'!$B$9,Paramètres!$A$1:$I$89,7,0))</f>
        <v>0.43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193.35215784190802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193.35215784190802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>
        <f>VLOOKUP(A122,'Données projet'!$A$61:$I$81,2,0)</f>
        <v>526.04</v>
      </c>
      <c r="AG122" s="12">
        <f>VLOOKUP(A122,'Données projet'!$A$61:$I$81,9,0)</f>
        <v>9.4029999999999916</v>
      </c>
      <c r="AH122" s="12">
        <f t="array" ref="AH122">INDEX(AG:AG,MIN(IF(ISNUMBER(AG122:AG318),ROW(AG122:AG318),"")))</f>
        <v>9.4029999999999916</v>
      </c>
      <c r="AI122" s="13">
        <f>IF('Données projet'!$A$62&gt;35,AI121+AH122-AQ121,IF(A122&lt;'Données projet'!$A$62,$AF$205^A122,IF(A122='Données projet'!$A$62,'Données projet'!$B$62,AI121+AH122-AQ121)))</f>
        <v>526.04000000000042</v>
      </c>
      <c r="AJ122" s="13">
        <f>AI122*VLOOKUP('Données projet'!$B$10,Paramètres!$A$1:$I$89,3,0)*VLOOKUP('Données projet'!$B$10,Paramètres!$A$1:$I$89,5,0)</f>
        <v>533.4045600000004</v>
      </c>
      <c r="AK122" s="13">
        <f t="shared" si="89"/>
        <v>118.35303145382375</v>
      </c>
      <c r="AL122" s="20">
        <f t="shared" si="58"/>
        <v>1135.1444717820771</v>
      </c>
      <c r="AM122" s="59">
        <f t="shared" si="59"/>
        <v>1417.0544630800061</v>
      </c>
      <c r="AN122" s="59">
        <f ca="1">AVERAGE(OFFSET($AM$3,0,0,'Données projet'!$E$10+1,1))-AVERAGE(OFFSET($H$3,0,0,'Données projet'!$E$10+1,1))</f>
        <v>626.09203985591455</v>
      </c>
      <c r="AO122" s="59">
        <f t="shared" si="90"/>
        <v>327.65191296575199</v>
      </c>
      <c r="AP122" s="15">
        <f>IF(ISNA(VLOOKUP(A122,'Données projet'!$A$61:$I$81,3,0)),0,VLOOKUP(A122,'Données projet'!$A$61:$I$81,3,0))</f>
        <v>11</v>
      </c>
      <c r="AQ122" s="15">
        <f>IF(ISNA(VLOOKUP(A122,'Données projet'!$A$61:$I$81,4,0)),0,VLOOKUP(A122,'Données projet'!$A$61:$I$81,4,0))</f>
        <v>196.46</v>
      </c>
      <c r="AR122" s="16">
        <f>IF(ISNA(VLOOKUP(A122,'Données projet'!$A$61:$I$81,5,0)),0%,VLOOKUP(A122,'Données projet'!$A$61:$I$81,5,0)*VLOOKUP('Données projet'!$B$10,Paramètres!$A$1:$I$89,7,0))</f>
        <v>0.43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216.68776309869008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216.68776309869008</v>
      </c>
      <c r="AY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404.00000000000017</v>
      </c>
      <c r="BE122" s="13">
        <f>BD122*VLOOKUP('Données projet'!$B$11,Paramètres!$A$1:$I$89,3,0)*VLOOKUP('Données projet'!$B$11,Paramètres!$A$1:$I$89,5,0)</f>
        <v>346.63200000000018</v>
      </c>
      <c r="BF122" s="13">
        <f t="shared" si="91"/>
        <v>80.868615263336864</v>
      </c>
      <c r="BG122" s="20">
        <f t="shared" si="61"/>
        <v>744.56357158364528</v>
      </c>
      <c r="BH122" s="59">
        <f t="shared" si="62"/>
        <v>1026.4735628815745</v>
      </c>
      <c r="BI122" s="59">
        <f ca="1">AVERAGE(OFFSET($BH$3,0,0,'Données projet'!$E$11+1,1))-AVERAGE(OFFSET($H$3,0,0,'Données projet'!$E$11+1,1))</f>
        <v>481.23392184981651</v>
      </c>
      <c r="BJ122" s="59">
        <f t="shared" si="92"/>
        <v>275.88160405468193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101.95498968507367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101.95498968507367</v>
      </c>
      <c r="BT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5.2499999999990337</v>
      </c>
      <c r="BZ122" s="13">
        <f>BY122*VLOOKUP('Données projet'!$B$12,Paramètres!$A$1:$I$89,3,0)*VLOOKUP('Données projet'!$B$12,Paramètres!$A$1:$I$89,5,0)</f>
        <v>2.4569999999995478</v>
      </c>
      <c r="CA122" s="13">
        <f t="shared" si="93"/>
        <v>1.0197977774625564</v>
      </c>
      <c r="CB122" s="20">
        <f t="shared" si="64"/>
        <v>6.0554227957464972</v>
      </c>
      <c r="CC122" s="59">
        <f t="shared" si="65"/>
        <v>287.96541409367563</v>
      </c>
      <c r="CD122" s="59">
        <f ca="1">AVERAGE(OFFSET($CC$3,0,0,'Données projet'!$E$12+1,1))-AVERAGE(OFFSET($H$3,0,0,'Données projet'!$E$12+1,1))</f>
        <v>331.86732359395467</v>
      </c>
      <c r="CE122" s="59">
        <f t="shared" si="94"/>
        <v>208.64489375183106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199.25053902505883</v>
      </c>
      <c r="CL122" s="21">
        <f>EXP(-LN(2)/25)*CL121+(1-EXP(-LN(2)/25))/(LN(2)/25)*Calculateur!CG122*Calculateur!CI122*VLOOKUP('Données projet'!$B$12,Paramètres!$A$1:$I$89,3,0)*0.475*44/12</f>
        <v>0</v>
      </c>
      <c r="CM122" s="21">
        <f>EXP(-LN(2)/2)*CM121+(1-EXP(-LN(2)/2))/(LN(2)/2)*CG122*CJ122*VLOOKUP('Données projet'!$B$12,Paramètres!$A$1:$I$89,3,0)*0.475*44/12</f>
        <v>0</v>
      </c>
      <c r="CN122" s="22">
        <f t="shared" si="66"/>
        <v>199.25053902505883</v>
      </c>
      <c r="CO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319</v>
      </c>
      <c r="CU122" s="17">
        <f>CT122*VLOOKUP('Données projet'!$B$13,Paramètres!$A$1:$I$89,3,0)*VLOOKUP('Données projet'!$B$13,Paramètres!$A$1:$I$89,5,0)</f>
        <v>233.89079999999998</v>
      </c>
      <c r="CV122" s="13">
        <f t="shared" si="95"/>
        <v>57.123140349023068</v>
      </c>
      <c r="CW122" s="20">
        <f t="shared" si="67"/>
        <v>506.84927944121517</v>
      </c>
      <c r="CX122" s="59">
        <f t="shared" si="68"/>
        <v>788.75927073914431</v>
      </c>
      <c r="CY122" s="59">
        <f ca="1">AVERAGE(OFFSET($CX$3,0,0,'Données projet'!$E$13+1,1))-AVERAGE(OFFSET($H$3,0,0,'Données projet'!$E$13+1,1))</f>
        <v>352.45777291109863</v>
      </c>
      <c r="CZ122" s="59">
        <f t="shared" si="96"/>
        <v>340.92165104349181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18.362808671269338</v>
      </c>
      <c r="DG122" s="21">
        <f>EXP(-LN(2)/25)*DG121+(1-EXP(-LN(2)/25))/(LN(2)/25)*Calculateur!DB122*Calculateur!DD122*VLOOKUP('Données projet'!$B$13,Paramètres!$A$1:$I$89,3,0)*0.475*44/12</f>
        <v>0</v>
      </c>
      <c r="DH122" s="21">
        <f>EXP(-LN(2)/2)*DH121+(1-EXP(-LN(2)/2))/(LN(2)/2)*DB122*DE122*VLOOKUP('Données projet'!$B$13,Paramètres!$A$1:$I$89,3,0)*0.475*44/12</f>
        <v>0</v>
      </c>
      <c r="DI122" s="22">
        <f t="shared" si="69"/>
        <v>18.362808671269338</v>
      </c>
      <c r="DJ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>
        <f>VLOOKUP(A122,'Données projet'!$A$165:$I$185,2,0)</f>
        <v>526.04</v>
      </c>
      <c r="DM122" s="12">
        <f>VLOOKUP(A122,'Données projet'!$A$165:$I$185,9,0)</f>
        <v>9.4029999999999916</v>
      </c>
      <c r="DN122" s="12">
        <f t="array" ref="DN122">INDEX(DM:DM,MIN(IF(ISNUMBER(DM122:DM318),ROW(DM122:DM318),"")))</f>
        <v>9.4029999999999916</v>
      </c>
      <c r="DO122" s="12">
        <f>IF('Données projet'!$A$166&gt;35,DO121+DN122-DW121,IF(A122&lt;'Données projet'!$A$166,$DL$205^A122,IF(A122='Données projet'!$A$166,'Données projet'!$B$166,DO121+DN122-DW121)))</f>
        <v>526.04000000000042</v>
      </c>
      <c r="DP122" s="17">
        <f>DO122*VLOOKUP('Données projet'!$B$14,Paramètres!$A$1:$I$89,3,0)*VLOOKUP('Données projet'!$B$14,Paramètres!$A$1:$I$89,5,0)</f>
        <v>352.8676320000003</v>
      </c>
      <c r="DQ122" s="13">
        <f t="shared" si="97"/>
        <v>82.152705737591219</v>
      </c>
      <c r="DR122" s="20">
        <f t="shared" si="70"/>
        <v>757.66042155963851</v>
      </c>
      <c r="DS122" s="59">
        <f t="shared" si="71"/>
        <v>1039.5704128575676</v>
      </c>
      <c r="DT122" s="59">
        <f ca="1">AVERAGE(OFFSET($DS$3,0,0,'Données projet'!$E$14+1,1))-AVERAGE(OFFSET($H$3,0,0,'Données projet'!$E$14+1,1))</f>
        <v>441.20130048888439</v>
      </c>
      <c r="DU122" s="59">
        <f t="shared" si="98"/>
        <v>237.47732532183946</v>
      </c>
      <c r="DV122" s="15">
        <f>IF(ISNA(VLOOKUP(A122,'Données projet'!$A$165:$I$185,3,0)),0,VLOOKUP(A122,'Données projet'!$A$165:$I$185,3,0))</f>
        <v>11</v>
      </c>
      <c r="DW122" s="15">
        <f>IF(ISNA(VLOOKUP(A122,'Données projet'!$A$165:$I$185,4,0)),0,VLOOKUP(A122,'Données projet'!$A$165:$I$185,4,0))</f>
        <v>196.46</v>
      </c>
      <c r="DX122" s="16">
        <f>IF(ISNA(VLOOKUP(A122,'Données projet'!$A$165:$I$185,5,0)),0%,VLOOKUP(A122,'Données projet'!$A$165:$I$185,5,0)*VLOOKUP('Données projet'!$B$14,Paramètres!$A$1:$I$89,7,0))</f>
        <v>0.53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176.68386837277805</v>
      </c>
      <c r="EB122" s="21">
        <f>EXP(-LN(2)/25)*EB121+(1-EXP(-LN(2)/25))/(LN(2)/25)*Calculateur!DW122*Calculateur!DY122*VLOOKUP('Données projet'!$B$14,Paramètres!$A$1:$I$89,3,0)*0.475*44/12</f>
        <v>0</v>
      </c>
      <c r="EC122" s="21">
        <f>EXP(-LN(2)/2)*EC121+(1-EXP(-LN(2)/2))/(LN(2)/2)*DW122*DZ122*VLOOKUP('Données projet'!$B$14,Paramètres!$A$1:$I$89,3,0)*0.475*44/12</f>
        <v>0</v>
      </c>
      <c r="ED122" s="22">
        <f t="shared" si="72"/>
        <v>176.68386837277805</v>
      </c>
      <c r="EE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319</v>
      </c>
      <c r="EK122" s="17">
        <f>EJ122*VLOOKUP('Données projet'!$B$15,Paramètres!$A$1:$I$89,3,0)*VLOOKUP('Données projet'!$B$15,Paramètres!$A$1:$I$89,5,0)</f>
        <v>253.79640000000001</v>
      </c>
      <c r="EL122" s="13">
        <f t="shared" si="99"/>
        <v>61.39816832228076</v>
      </c>
      <c r="EM122" s="20">
        <f t="shared" si="73"/>
        <v>548.96387316130563</v>
      </c>
      <c r="EN122" s="59">
        <f t="shared" si="74"/>
        <v>830.87386445923471</v>
      </c>
      <c r="EO122" s="59">
        <f ca="1">AVERAGE(OFFSET($EN$3,0,0,'Données projet'!$E$15+1,1))-AVERAGE(OFFSET($H$3,0,0,'Données projet'!$E$15+1,1))</f>
        <v>377.27600411578322</v>
      </c>
      <c r="EP122" s="59">
        <f t="shared" si="100"/>
        <v>364.58250627635425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>
        <f>EXP(-LN(2)/35)*EV121+(1-EXP(-LN(2)/35))/(LN(2)/35)*ER122*ES122*VLOOKUP('Données projet'!$B$15,Paramètres!$A$1:$I$89,3,0)*0.475*44/12</f>
        <v>24.559461572707079</v>
      </c>
      <c r="EW122" s="21">
        <f>EXP(-LN(2)/25)*EW121+(1-EXP(-LN(2)/25))/(LN(2)/25)*Calculateur!ER122*Calculateur!ET122*VLOOKUP('Données projet'!$B$15,Paramètres!$A$1:$I$89,3,0)*0.475*44/12</f>
        <v>0</v>
      </c>
      <c r="EX122" s="21">
        <f>EXP(-LN(2)/2)*EX121+(1-EXP(-LN(2)/2))/(LN(2)/2)*ER122*EU122*VLOOKUP('Données projet'!$B$15,Paramètres!$A$1:$I$89,3,0)*0.475*44/12</f>
        <v>0</v>
      </c>
      <c r="EY122" s="22">
        <f t="shared" si="75"/>
        <v>24.559461572707079</v>
      </c>
      <c r="EZ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319</v>
      </c>
      <c r="FF122" s="17">
        <f>FE122*VLOOKUP('Données projet'!$B$16,Paramètres!$A$1:$I$89,3,0)*VLOOKUP('Données projet'!$B$16,Paramètres!$A$1:$I$89,5,0)</f>
        <v>258.77280000000002</v>
      </c>
      <c r="FG122" s="13">
        <f t="shared" si="101"/>
        <v>62.460716522234691</v>
      </c>
      <c r="FH122" s="20">
        <f t="shared" si="76"/>
        <v>559.48170794289206</v>
      </c>
      <c r="FI122" s="59">
        <f t="shared" si="77"/>
        <v>841.39169924082125</v>
      </c>
      <c r="FJ122" s="59">
        <f ca="1">AVERAGE(OFFSET($FI$3,0,0,'Données projet'!$E$16+1,1))-AVERAGE(OFFSET($H$3,0,0,'Données projet'!$E$16+1,1))</f>
        <v>383.47399633251354</v>
      </c>
      <c r="FK122" s="59">
        <f t="shared" si="102"/>
        <v>370.49129421395628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>
        <f>EXP(-LN(2)/35)*FQ121+(1-EXP(-LN(2)/35))/(LN(2)/35)*FM122*FN122*VLOOKUP('Données projet'!$B$16,Paramètres!$A$1:$I$89,3,0)*0.475*44/12</f>
        <v>25.04101964276018</v>
      </c>
      <c r="FR122" s="21">
        <f>EXP(-LN(2)/25)*FR121+(1-EXP(-LN(2)/25))/(LN(2)/25)*Calculateur!FM122*Calculateur!FO122*VLOOKUP('Données projet'!$B$16,Paramètres!$A$1:$I$89,3,0)*0.475*44/12</f>
        <v>0</v>
      </c>
      <c r="FS122" s="21">
        <f>EXP(-LN(2)/2)*FS121+(1-EXP(-LN(2)/2))/(LN(2)/2)*FM122*FP122*VLOOKUP('Données projet'!$B$16,Paramètres!$A$1:$I$89,3,0)*0.475*44/12</f>
        <v>0</v>
      </c>
      <c r="FT122" s="22">
        <f t="shared" si="78"/>
        <v>25.04101964276018</v>
      </c>
      <c r="FU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>
        <f>VLOOKUP(A122,'Données projet'!$A$243:$I$263,2,0)</f>
        <v>526.04</v>
      </c>
      <c r="FX122" s="12">
        <f>VLOOKUP(A122,'Données projet'!$A$243:$I$263,9,0)</f>
        <v>9.4029999999999916</v>
      </c>
      <c r="FY122" s="12">
        <f t="array" ref="FY122">INDEX(FX:FX,MIN(IF(ISNUMBER(FX122:FX318),ROW(FX122:FX318),"")))</f>
        <v>9.4029999999999916</v>
      </c>
      <c r="FZ122" s="12">
        <f>IF('Données projet'!$A$244&gt;35,FZ121+FY122-GH121,IF(A122&lt;'Données projet'!$A$244,$FW$205^A122,IF(A122='Données projet'!$A$244,'Données projet'!$B$244,FZ121+FY122-GH121)))</f>
        <v>526.04000000000042</v>
      </c>
      <c r="GA122" s="17">
        <f>FZ122*VLOOKUP('Données projet'!$B$17,Paramètres!$A$1:$I$89,3,0)*VLOOKUP('Données projet'!$B$17,Paramètres!$A$1:$I$89,5,0)</f>
        <v>500.57966400000043</v>
      </c>
      <c r="GB122" s="13">
        <f t="shared" si="103"/>
        <v>111.89394517982277</v>
      </c>
      <c r="GC122" s="20">
        <f t="shared" si="79"/>
        <v>1066.7248693215251</v>
      </c>
      <c r="GD122" s="59">
        <f t="shared" si="80"/>
        <v>1348.6348606194542</v>
      </c>
      <c r="GE122" s="59">
        <f ca="1">AVERAGE(OFFSET($GD$3,0,0,'Données projet'!$E$17+1,1))-AVERAGE(OFFSET($H$3,0,0,'Données projet'!$E$17+1,1))</f>
        <v>592.58528889137358</v>
      </c>
      <c r="GF122" s="59">
        <f t="shared" si="104"/>
        <v>311.31528020403709</v>
      </c>
      <c r="GG122" s="15">
        <f>IF(ISNA(VLOOKUP(A122,'Données projet'!$A$243:$I$263,3,0)),0,VLOOKUP(A122,'Données projet'!$A$243:$I$263,3,0))</f>
        <v>11</v>
      </c>
      <c r="GH122" s="15">
        <f>IF(ISNA(VLOOKUP(A122,'Données projet'!$A$243:$I$263,4,0)),0,VLOOKUP(A122,'Données projet'!$A$243:$I$263,4,0))</f>
        <v>196.46</v>
      </c>
      <c r="GI122" s="16">
        <f>IF(ISNA(VLOOKUP(A122,'Données projet'!$A$243:$I$263,5,0)),0%,VLOOKUP(A122,'Données projet'!$A$243:$I$263,5,0)*VLOOKUP('Données projet'!$B$17,Paramètres!$A$1:$I$89,7,0))</f>
        <v>0.43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>
        <f>EXP(-LN(2)/35)*GL121+(1-EXP(-LN(2)/35))/(LN(2)/35)*GH122*GI122*VLOOKUP('Données projet'!$B$17,Paramètres!$A$1:$I$89,3,0)*0.475*44/12</f>
        <v>203.35313152338608</v>
      </c>
      <c r="GM122" s="21">
        <f>EXP(-LN(2)/25)*GM121+(1-EXP(-LN(2)/25))/(LN(2)/25)*Calculateur!GH122*Calculateur!GJ122*VLOOKUP('Données projet'!$B$17,Paramètres!$A$1:$I$89,3,0)*0.475*44/12</f>
        <v>0</v>
      </c>
      <c r="GN122" s="21">
        <f>EXP(-LN(2)/2)*GN121+(1-EXP(-LN(2)/2))/(LN(2)/2)*GH122*GK122*VLOOKUP('Données projet'!$B$17,Paramètres!$A$1:$I$89,3,0)*0.475*44/12</f>
        <v>0</v>
      </c>
      <c r="GO122" s="21">
        <f t="shared" si="81"/>
        <v>203.35313152338608</v>
      </c>
      <c r="GP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328.00000000000006</v>
      </c>
      <c r="GV122" s="17">
        <f>GU122*VLOOKUP('Données projet'!$B$18,Paramètres!$A$1:$I$89,3,0)*VLOOKUP('Données projet'!$B$18,Paramètres!$A$1:$I$89,5,0)</f>
        <v>255.84000000000006</v>
      </c>
      <c r="GW122" s="13">
        <f t="shared" si="105"/>
        <v>61.834803371075836</v>
      </c>
      <c r="GX122" s="20">
        <f t="shared" si="82"/>
        <v>553.28361587129041</v>
      </c>
      <c r="GY122" s="59">
        <f t="shared" si="83"/>
        <v>835.1936071692196</v>
      </c>
      <c r="GZ122" s="59">
        <f ca="1">AVERAGE(OFFSET($GY$3,0,0,'Données projet'!$E$18+1,1))-AVERAGE(OFFSET($H$3,0,0,'Données projet'!$E$18+1,1))</f>
        <v>308.85018589589453</v>
      </c>
      <c r="HA122" s="59">
        <f t="shared" si="106"/>
        <v>302.59481222418219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>
        <f>EXP(-LN(2)/35)*HG121+(1-EXP(-LN(2)/35))/(LN(2)/35)*HC122*HD122*VLOOKUP('Données projet'!$B$18,Paramètres!$A$1:$I$89,3,0)*0.475*44/12</f>
        <v>18.716171412958573</v>
      </c>
      <c r="HH122" s="21">
        <f>EXP(-LN(2)/25)*HH121+(1-EXP(-LN(2)/25))/(LN(2)/25)*Calculateur!HC122*Calculateur!HE122*VLOOKUP('Données projet'!$B$18,Paramètres!$A$1:$I$89,3,0)*0.475*44/12</f>
        <v>0</v>
      </c>
      <c r="HI122" s="21">
        <f>EXP(-LN(2)/2)*HI121+(1-EXP(-LN(2)/2))/(LN(2)/2)*HC122*HF122*VLOOKUP('Données projet'!$B$18,Paramètres!$A$1:$I$89,3,0)*0.475*44/12</f>
        <v>0</v>
      </c>
      <c r="HJ122" s="22">
        <f t="shared" si="84"/>
        <v>18.716171412958573</v>
      </c>
    </row>
    <row r="123" spans="1:218" x14ac:dyDescent="0.35">
      <c r="A123" s="10">
        <f t="shared" si="85"/>
        <v>120</v>
      </c>
      <c r="B123" s="72">
        <f>'Scénario référence'!$B$16*5+'Scénario référence'!$B$17*0+'Scénario référence'!$B$18*5</f>
        <v>5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66">
        <f t="shared" si="56"/>
        <v>183.33333333333334</v>
      </c>
      <c r="I123" s="6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-0.37249999999998806</v>
      </c>
      <c r="N123" s="13">
        <f>IF('Données projet'!$A$36&gt;35,N122+M123-V122,IF(A123&lt;'Données projet'!$A$36,$K$205^A123,IF(A123='Données projet'!$A$36,'Données projet'!$B$36,N122+M123-V122)))</f>
        <v>329.20750000000044</v>
      </c>
      <c r="O123" s="13">
        <f>N123*VLOOKUP('Données projet'!$B$9,Paramètres!$A$1:$I$89,3,0)*VLOOKUP('Données projet'!$B$9,Paramètres!$A$1:$I$89,5,0)</f>
        <v>297.86694600000038</v>
      </c>
      <c r="P123" s="13">
        <f t="shared" si="87"/>
        <v>70.729107889768898</v>
      </c>
      <c r="Q123" s="20">
        <f t="shared" si="107"/>
        <v>641.97146052468145</v>
      </c>
      <c r="R123" s="59">
        <f t="shared" si="55"/>
        <v>924.07962126815801</v>
      </c>
      <c r="S123" s="59">
        <f ca="1">AVERAGE(OFFSET($R$3,0,0,'Données projet'!$E$9+1,1))-AVERAGE(OFFSET($H$3,0,0,'Données projet'!$E$9+1,1))</f>
        <v>567.42635821507474</v>
      </c>
      <c r="T123" s="59">
        <f t="shared" si="88"/>
        <v>299.04735309930152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189.56063995979954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189.56063995979954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-0.37249999999998806</v>
      </c>
      <c r="AI123" s="13">
        <f>IF('Données projet'!$A$62&gt;35,AI122+AH123-AQ122,IF(A123&lt;'Données projet'!$A$62,$AF$205^A123,IF(A123='Données projet'!$A$62,'Données projet'!$B$62,AI122+AH123-AQ122)))</f>
        <v>329.20750000000044</v>
      </c>
      <c r="AJ123" s="13">
        <f>AI123*VLOOKUP('Données projet'!$B$10,Paramètres!$A$1:$I$89,3,0)*VLOOKUP('Données projet'!$B$10,Paramètres!$A$1:$I$89,5,0)</f>
        <v>333.81640500000049</v>
      </c>
      <c r="AK123" s="13">
        <f t="shared" si="89"/>
        <v>78.221015013130113</v>
      </c>
      <c r="AL123" s="20">
        <f t="shared" si="58"/>
        <v>717.63183985620242</v>
      </c>
      <c r="AM123" s="59">
        <f t="shared" si="59"/>
        <v>999.74000059967898</v>
      </c>
      <c r="AN123" s="59">
        <f ca="1">AVERAGE(OFFSET($AM$3,0,0,'Données projet'!$E$10+1,1))-AVERAGE(OFFSET($H$3,0,0,'Données projet'!$E$10+1,1))</f>
        <v>626.09203985591455</v>
      </c>
      <c r="AO123" s="59">
        <f t="shared" si="90"/>
        <v>327.65191296575199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212.43864823080992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212.43864823080992</v>
      </c>
      <c r="AY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404.00000000000017</v>
      </c>
      <c r="BE123" s="13">
        <f>BD123*VLOOKUP('Données projet'!$B$11,Paramètres!$A$1:$I$89,3,0)*VLOOKUP('Données projet'!$B$11,Paramètres!$A$1:$I$89,5,0)</f>
        <v>346.63200000000018</v>
      </c>
      <c r="BF123" s="13">
        <f t="shared" si="91"/>
        <v>80.868615263336864</v>
      </c>
      <c r="BG123" s="20">
        <f t="shared" si="61"/>
        <v>744.56357158364528</v>
      </c>
      <c r="BH123" s="59">
        <f t="shared" si="62"/>
        <v>1026.6717323271218</v>
      </c>
      <c r="BI123" s="59">
        <f ca="1">AVERAGE(OFFSET($BH$3,0,0,'Données projet'!$E$11+1,1))-AVERAGE(OFFSET($H$3,0,0,'Données projet'!$E$11+1,1))</f>
        <v>481.23392184981651</v>
      </c>
      <c r="BJ123" s="59">
        <f t="shared" si="92"/>
        <v>275.88160405468193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99.95571452375269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99.95571452375269</v>
      </c>
      <c r="BT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5.2499999999990337</v>
      </c>
      <c r="BZ123" s="13">
        <f>BY123*VLOOKUP('Données projet'!$B$12,Paramètres!$A$1:$I$89,3,0)*VLOOKUP('Données projet'!$B$12,Paramètres!$A$1:$I$89,5,0)</f>
        <v>2.4569999999995478</v>
      </c>
      <c r="CA123" s="13">
        <f t="shared" si="93"/>
        <v>1.0197977774625564</v>
      </c>
      <c r="CB123" s="20">
        <f t="shared" si="64"/>
        <v>6.0554227957464972</v>
      </c>
      <c r="CC123" s="59">
        <f t="shared" si="65"/>
        <v>288.16358353922311</v>
      </c>
      <c r="CD123" s="59">
        <f ca="1">AVERAGE(OFFSET($CC$3,0,0,'Données projet'!$E$12+1,1))-AVERAGE(OFFSET($H$3,0,0,'Données projet'!$E$12+1,1))</f>
        <v>331.86732359395467</v>
      </c>
      <c r="CE123" s="59">
        <f t="shared" si="94"/>
        <v>208.64489375183106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195.34335748560605</v>
      </c>
      <c r="CL123" s="21">
        <f>EXP(-LN(2)/25)*CL122+(1-EXP(-LN(2)/25))/(LN(2)/25)*Calculateur!CG123*Calculateur!CI123*VLOOKUP('Données projet'!$B$12,Paramètres!$A$1:$I$89,3,0)*0.475*44/12</f>
        <v>0</v>
      </c>
      <c r="CM123" s="21">
        <f>EXP(-LN(2)/2)*CM122+(1-EXP(-LN(2)/2))/(LN(2)/2)*CG123*CJ123*VLOOKUP('Données projet'!$B$12,Paramètres!$A$1:$I$89,3,0)*0.475*44/12</f>
        <v>0</v>
      </c>
      <c r="CN123" s="22">
        <f t="shared" si="66"/>
        <v>195.34335748560605</v>
      </c>
      <c r="CO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319</v>
      </c>
      <c r="CU123" s="17">
        <f>CT123*VLOOKUP('Données projet'!$B$13,Paramètres!$A$1:$I$89,3,0)*VLOOKUP('Données projet'!$B$13,Paramètres!$A$1:$I$89,5,0)</f>
        <v>233.89079999999998</v>
      </c>
      <c r="CV123" s="13">
        <f t="shared" si="95"/>
        <v>57.123140349023068</v>
      </c>
      <c r="CW123" s="20">
        <f t="shared" si="67"/>
        <v>506.84927944121517</v>
      </c>
      <c r="CX123" s="59">
        <f t="shared" si="68"/>
        <v>788.95744018469179</v>
      </c>
      <c r="CY123" s="59">
        <f ca="1">AVERAGE(OFFSET($CX$3,0,0,'Données projet'!$E$13+1,1))-AVERAGE(OFFSET($H$3,0,0,'Données projet'!$E$13+1,1))</f>
        <v>352.45777291109863</v>
      </c>
      <c r="CZ123" s="59">
        <f t="shared" si="96"/>
        <v>340.92165104349181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18.002725193433108</v>
      </c>
      <c r="DG123" s="21">
        <f>EXP(-LN(2)/25)*DG122+(1-EXP(-LN(2)/25))/(LN(2)/25)*Calculateur!DB123*Calculateur!DD123*VLOOKUP('Données projet'!$B$13,Paramètres!$A$1:$I$89,3,0)*0.475*44/12</f>
        <v>0</v>
      </c>
      <c r="DH123" s="21">
        <f>EXP(-LN(2)/2)*DH122+(1-EXP(-LN(2)/2))/(LN(2)/2)*DB123*DE123*VLOOKUP('Données projet'!$B$13,Paramètres!$A$1:$I$89,3,0)*0.475*44/12</f>
        <v>0</v>
      </c>
      <c r="DI123" s="22">
        <f t="shared" si="69"/>
        <v>18.002725193433108</v>
      </c>
      <c r="DJ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-0.37249999999998806</v>
      </c>
      <c r="DO123" s="12">
        <f>IF('Données projet'!$A$166&gt;35,DO122+DN123-DW122,IF(A123&lt;'Données projet'!$A$166,$DL$205^A123,IF(A123='Données projet'!$A$166,'Données projet'!$B$166,DO122+DN123-DW122)))</f>
        <v>329.20750000000044</v>
      </c>
      <c r="DP123" s="17">
        <f>DO123*VLOOKUP('Données projet'!$B$14,Paramètres!$A$1:$I$89,3,0)*VLOOKUP('Données projet'!$B$14,Paramètres!$A$1:$I$89,5,0)</f>
        <v>220.83239100000031</v>
      </c>
      <c r="DQ123" s="13">
        <f t="shared" si="97"/>
        <v>54.295762009074963</v>
      </c>
      <c r="DR123" s="20">
        <f t="shared" si="70"/>
        <v>479.18153315747281</v>
      </c>
      <c r="DS123" s="59">
        <f t="shared" si="71"/>
        <v>761.28969390094949</v>
      </c>
      <c r="DT123" s="59">
        <f ca="1">AVERAGE(OFFSET($DS$3,0,0,'Données projet'!$E$14+1,1))-AVERAGE(OFFSET($H$3,0,0,'Données projet'!$E$14+1,1))</f>
        <v>441.20130048888439</v>
      </c>
      <c r="DU123" s="59">
        <f t="shared" si="98"/>
        <v>237.47732532183946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173.21920548050653</v>
      </c>
      <c r="EB123" s="21">
        <f>EXP(-LN(2)/25)*EB122+(1-EXP(-LN(2)/25))/(LN(2)/25)*Calculateur!DW123*Calculateur!DY123*VLOOKUP('Données projet'!$B$14,Paramètres!$A$1:$I$89,3,0)*0.475*44/12</f>
        <v>0</v>
      </c>
      <c r="EC123" s="21">
        <f>EXP(-LN(2)/2)*EC122+(1-EXP(-LN(2)/2))/(LN(2)/2)*DW123*DZ123*VLOOKUP('Données projet'!$B$14,Paramètres!$A$1:$I$89,3,0)*0.475*44/12</f>
        <v>0</v>
      </c>
      <c r="ED123" s="22">
        <f t="shared" si="72"/>
        <v>173.21920548050653</v>
      </c>
      <c r="EE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319</v>
      </c>
      <c r="EK123" s="17">
        <f>EJ123*VLOOKUP('Données projet'!$B$15,Paramètres!$A$1:$I$89,3,0)*VLOOKUP('Données projet'!$B$15,Paramètres!$A$1:$I$89,5,0)</f>
        <v>253.79640000000001</v>
      </c>
      <c r="EL123" s="13">
        <f t="shared" si="99"/>
        <v>61.39816832228076</v>
      </c>
      <c r="EM123" s="20">
        <f t="shared" si="73"/>
        <v>548.96387316130563</v>
      </c>
      <c r="EN123" s="59">
        <f t="shared" si="74"/>
        <v>831.0720339047823</v>
      </c>
      <c r="EO123" s="59">
        <f ca="1">AVERAGE(OFFSET($EN$3,0,0,'Données projet'!$E$15+1,1))-AVERAGE(OFFSET($H$3,0,0,'Données projet'!$E$15+1,1))</f>
        <v>377.27600411578322</v>
      </c>
      <c r="EP123" s="59">
        <f t="shared" si="100"/>
        <v>364.58250627635425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>
        <f>EXP(-LN(2)/35)*EV122+(1-EXP(-LN(2)/35))/(LN(2)/35)*ER123*ES123*VLOOKUP('Données projet'!$B$15,Paramètres!$A$1:$I$89,3,0)*0.475*44/12</f>
        <v>24.077865511058722</v>
      </c>
      <c r="EW123" s="21">
        <f>EXP(-LN(2)/25)*EW122+(1-EXP(-LN(2)/25))/(LN(2)/25)*Calculateur!ER123*Calculateur!ET123*VLOOKUP('Données projet'!$B$15,Paramètres!$A$1:$I$89,3,0)*0.475*44/12</f>
        <v>0</v>
      </c>
      <c r="EX123" s="21">
        <f>EXP(-LN(2)/2)*EX122+(1-EXP(-LN(2)/2))/(LN(2)/2)*ER123*EU123*VLOOKUP('Données projet'!$B$15,Paramètres!$A$1:$I$89,3,0)*0.475*44/12</f>
        <v>0</v>
      </c>
      <c r="EY123" s="22">
        <f t="shared" si="75"/>
        <v>24.077865511058722</v>
      </c>
      <c r="EZ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319</v>
      </c>
      <c r="FF123" s="17">
        <f>FE123*VLOOKUP('Données projet'!$B$16,Paramètres!$A$1:$I$89,3,0)*VLOOKUP('Données projet'!$B$16,Paramètres!$A$1:$I$89,5,0)</f>
        <v>258.77280000000002</v>
      </c>
      <c r="FG123" s="13">
        <f t="shared" si="101"/>
        <v>62.460716522234691</v>
      </c>
      <c r="FH123" s="20">
        <f t="shared" si="76"/>
        <v>559.48170794289206</v>
      </c>
      <c r="FI123" s="59">
        <f t="shared" si="77"/>
        <v>841.58986868636862</v>
      </c>
      <c r="FJ123" s="59">
        <f ca="1">AVERAGE(OFFSET($FI$3,0,0,'Données projet'!$E$16+1,1))-AVERAGE(OFFSET($H$3,0,0,'Données projet'!$E$16+1,1))</f>
        <v>383.47399633251354</v>
      </c>
      <c r="FK123" s="59">
        <f t="shared" si="102"/>
        <v>370.49129421395628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>
        <f>EXP(-LN(2)/35)*FQ122+(1-EXP(-LN(2)/35))/(LN(2)/35)*FM123*FN123*VLOOKUP('Données projet'!$B$16,Paramètres!$A$1:$I$89,3,0)*0.475*44/12</f>
        <v>24.549980521079501</v>
      </c>
      <c r="FR123" s="21">
        <f>EXP(-LN(2)/25)*FR122+(1-EXP(-LN(2)/25))/(LN(2)/25)*Calculateur!FM123*Calculateur!FO123*VLOOKUP('Données projet'!$B$16,Paramètres!$A$1:$I$89,3,0)*0.475*44/12</f>
        <v>0</v>
      </c>
      <c r="FS123" s="21">
        <f>EXP(-LN(2)/2)*FS122+(1-EXP(-LN(2)/2))/(LN(2)/2)*FM123*FP123*VLOOKUP('Données projet'!$B$16,Paramètres!$A$1:$I$89,3,0)*0.475*44/12</f>
        <v>0</v>
      </c>
      <c r="FT123" s="22">
        <f t="shared" si="78"/>
        <v>24.549980521079501</v>
      </c>
      <c r="FU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-0.37249999999998806</v>
      </c>
      <c r="FZ123" s="12">
        <f>IF('Données projet'!$A$244&gt;35,FZ122+FY123-GH122,IF(A123&lt;'Données projet'!$A$244,$FW$205^A123,IF(A123='Données projet'!$A$244,'Données projet'!$B$244,FZ122+FY123-GH122)))</f>
        <v>329.20750000000044</v>
      </c>
      <c r="GA123" s="17">
        <f>FZ123*VLOOKUP('Données projet'!$B$17,Paramètres!$A$1:$I$89,3,0)*VLOOKUP('Données projet'!$B$17,Paramètres!$A$1:$I$89,5,0)</f>
        <v>313.27385700000042</v>
      </c>
      <c r="GB123" s="13">
        <f t="shared" si="103"/>
        <v>73.952123222159344</v>
      </c>
      <c r="GC123" s="20">
        <f t="shared" si="79"/>
        <v>674.41858222026156</v>
      </c>
      <c r="GD123" s="59">
        <f t="shared" si="80"/>
        <v>956.52674296373812</v>
      </c>
      <c r="GE123" s="59">
        <f ca="1">AVERAGE(OFFSET($GD$3,0,0,'Données projet'!$E$17+1,1))-AVERAGE(OFFSET($H$3,0,0,'Données projet'!$E$17+1,1))</f>
        <v>592.58528889137358</v>
      </c>
      <c r="GF123" s="59">
        <f t="shared" si="104"/>
        <v>311.31528020403709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>
        <f>EXP(-LN(2)/35)*GL122+(1-EXP(-LN(2)/35))/(LN(2)/35)*GH123*GI123*VLOOKUP('Données projet'!$B$17,Paramètres!$A$1:$I$89,3,0)*0.475*44/12</f>
        <v>199.36550064737546</v>
      </c>
      <c r="GM123" s="21">
        <f>EXP(-LN(2)/25)*GM122+(1-EXP(-LN(2)/25))/(LN(2)/25)*Calculateur!GH123*Calculateur!GJ123*VLOOKUP('Données projet'!$B$17,Paramètres!$A$1:$I$89,3,0)*0.475*44/12</f>
        <v>0</v>
      </c>
      <c r="GN123" s="21">
        <f>EXP(-LN(2)/2)*GN122+(1-EXP(-LN(2)/2))/(LN(2)/2)*GH123*GK123*VLOOKUP('Données projet'!$B$17,Paramètres!$A$1:$I$89,3,0)*0.475*44/12</f>
        <v>0</v>
      </c>
      <c r="GO123" s="21">
        <f t="shared" si="81"/>
        <v>199.36550064737546</v>
      </c>
      <c r="GP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328.00000000000006</v>
      </c>
      <c r="GV123" s="17">
        <f>GU123*VLOOKUP('Données projet'!$B$18,Paramètres!$A$1:$I$89,3,0)*VLOOKUP('Données projet'!$B$18,Paramètres!$A$1:$I$89,5,0)</f>
        <v>255.84000000000006</v>
      </c>
      <c r="GW123" s="13">
        <f t="shared" si="105"/>
        <v>61.834803371075836</v>
      </c>
      <c r="GX123" s="20">
        <f t="shared" si="82"/>
        <v>553.28361587129041</v>
      </c>
      <c r="GY123" s="59">
        <f t="shared" si="83"/>
        <v>835.39177661476697</v>
      </c>
      <c r="GZ123" s="59">
        <f ca="1">AVERAGE(OFFSET($GY$3,0,0,'Données projet'!$E$18+1,1))-AVERAGE(OFFSET($H$3,0,0,'Données projet'!$E$18+1,1))</f>
        <v>308.85018589589453</v>
      </c>
      <c r="HA123" s="59">
        <f t="shared" si="106"/>
        <v>302.59481222418219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>
        <f>EXP(-LN(2)/35)*HG122+(1-EXP(-LN(2)/35))/(LN(2)/35)*HC123*HD123*VLOOKUP('Données projet'!$B$18,Paramètres!$A$1:$I$89,3,0)*0.475*44/12</f>
        <v>18.349158707287806</v>
      </c>
      <c r="HH123" s="21">
        <f>EXP(-LN(2)/25)*HH122+(1-EXP(-LN(2)/25))/(LN(2)/25)*Calculateur!HC123*Calculateur!HE123*VLOOKUP('Données projet'!$B$18,Paramètres!$A$1:$I$89,3,0)*0.475*44/12</f>
        <v>0</v>
      </c>
      <c r="HI123" s="21">
        <f>EXP(-LN(2)/2)*HI122+(1-EXP(-LN(2)/2))/(LN(2)/2)*HC123*HF123*VLOOKUP('Données projet'!$B$18,Paramètres!$A$1:$I$89,3,0)*0.475*44/12</f>
        <v>0</v>
      </c>
      <c r="HJ123" s="22">
        <f t="shared" si="84"/>
        <v>18.349158707287806</v>
      </c>
    </row>
    <row r="124" spans="1:218" x14ac:dyDescent="0.35">
      <c r="A124" s="10">
        <f t="shared" si="85"/>
        <v>121</v>
      </c>
      <c r="B124" s="72">
        <f>'Scénario référence'!$B$16*5+'Scénario référence'!$B$17*0+'Scénario référence'!$B$18*5</f>
        <v>5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66">
        <f t="shared" si="56"/>
        <v>183.33333333333334</v>
      </c>
      <c r="I124" s="6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-0.37249999999998806</v>
      </c>
      <c r="N124" s="13">
        <f>IF('Données projet'!$A$36&gt;35,N123+M124-V123,IF(A124&lt;'Données projet'!$A$36,$K$205^A124,IF(A124='Données projet'!$A$36,'Données projet'!$B$36,N123+M124-V123)))</f>
        <v>328.83500000000043</v>
      </c>
      <c r="O124" s="13">
        <f>N124*VLOOKUP('Données projet'!$B$9,Paramètres!$A$1:$I$89,3,0)*VLOOKUP('Données projet'!$B$9,Paramètres!$A$1:$I$89,5,0)</f>
        <v>297.52990800000038</v>
      </c>
      <c r="P124" s="13">
        <f t="shared" si="87"/>
        <v>70.658388410389392</v>
      </c>
      <c r="Q124" s="20">
        <f t="shared" si="107"/>
        <v>641.26128291476209</v>
      </c>
      <c r="R124" s="59">
        <f t="shared" si="55"/>
        <v>923.56417530694648</v>
      </c>
      <c r="S124" s="59">
        <f ca="1">AVERAGE(OFFSET($R$3,0,0,'Données projet'!$E$9+1,1))-AVERAGE(OFFSET($H$3,0,0,'Données projet'!$E$9+1,1))</f>
        <v>567.42635821507474</v>
      </c>
      <c r="T124" s="59">
        <f t="shared" si="88"/>
        <v>299.04735309930152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185.84347143076167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185.84347143076167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-0.37249999999998806</v>
      </c>
      <c r="AI124" s="13">
        <f>IF('Données projet'!$A$62&gt;35,AI123+AH124-AQ123,IF(A124&lt;'Données projet'!$A$62,$AF$205^A124,IF(A124='Données projet'!$A$62,'Données projet'!$B$62,AI123+AH124-AQ123)))</f>
        <v>328.83500000000043</v>
      </c>
      <c r="AJ124" s="13">
        <f>AI124*VLOOKUP('Données projet'!$B$10,Paramètres!$A$1:$I$89,3,0)*VLOOKUP('Données projet'!$B$10,Paramètres!$A$1:$I$89,5,0)</f>
        <v>333.43869000000046</v>
      </c>
      <c r="AK124" s="13">
        <f t="shared" si="89"/>
        <v>78.142804646517234</v>
      </c>
      <c r="AL124" s="20">
        <f t="shared" si="58"/>
        <v>716.83776984268491</v>
      </c>
      <c r="AM124" s="59">
        <f t="shared" si="59"/>
        <v>999.1406622348693</v>
      </c>
      <c r="AN124" s="59">
        <f ca="1">AVERAGE(OFFSET($AM$3,0,0,'Données projet'!$E$10+1,1))-AVERAGE(OFFSET($H$3,0,0,'Données projet'!$E$10+1,1))</f>
        <v>626.09203985591455</v>
      </c>
      <c r="AO124" s="59">
        <f t="shared" si="90"/>
        <v>327.65191296575199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208.2728559137847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208.2728559137847</v>
      </c>
      <c r="AY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404.00000000000017</v>
      </c>
      <c r="BE124" s="13">
        <f>BD124*VLOOKUP('Données projet'!$B$11,Paramètres!$A$1:$I$89,3,0)*VLOOKUP('Données projet'!$B$11,Paramètres!$A$1:$I$89,5,0)</f>
        <v>346.63200000000018</v>
      </c>
      <c r="BF124" s="13">
        <f t="shared" si="91"/>
        <v>80.868615263336864</v>
      </c>
      <c r="BG124" s="20">
        <f t="shared" si="61"/>
        <v>744.56357158364528</v>
      </c>
      <c r="BH124" s="59">
        <f t="shared" si="62"/>
        <v>1026.8664639758297</v>
      </c>
      <c r="BI124" s="59">
        <f ca="1">AVERAGE(OFFSET($BH$3,0,0,'Données projet'!$E$11+1,1))-AVERAGE(OFFSET($H$3,0,0,'Données projet'!$E$11+1,1))</f>
        <v>481.23392184981651</v>
      </c>
      <c r="BJ124" s="59">
        <f t="shared" si="92"/>
        <v>275.88160405468193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97.995643928907768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97.995643928907768</v>
      </c>
      <c r="BT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5.2499999999990337</v>
      </c>
      <c r="BZ124" s="13">
        <f>BY124*VLOOKUP('Données projet'!$B$12,Paramètres!$A$1:$I$89,3,0)*VLOOKUP('Données projet'!$B$12,Paramètres!$A$1:$I$89,5,0)</f>
        <v>2.4569999999995478</v>
      </c>
      <c r="CA124" s="13">
        <f t="shared" si="93"/>
        <v>1.0197977774625564</v>
      </c>
      <c r="CB124" s="20">
        <f t="shared" si="64"/>
        <v>6.0554227957464972</v>
      </c>
      <c r="CC124" s="59">
        <f t="shared" si="65"/>
        <v>288.35831518793088</v>
      </c>
      <c r="CD124" s="59">
        <f ca="1">AVERAGE(OFFSET($CC$3,0,0,'Données projet'!$E$12+1,1))-AVERAGE(OFFSET($H$3,0,0,'Données projet'!$E$12+1,1))</f>
        <v>331.86732359395467</v>
      </c>
      <c r="CE124" s="59">
        <f t="shared" si="94"/>
        <v>208.64489375183106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191.51279339299651</v>
      </c>
      <c r="CL124" s="21">
        <f>EXP(-LN(2)/25)*CL123+(1-EXP(-LN(2)/25))/(LN(2)/25)*Calculateur!CG124*Calculateur!CI124*VLOOKUP('Données projet'!$B$12,Paramètres!$A$1:$I$89,3,0)*0.475*44/12</f>
        <v>0</v>
      </c>
      <c r="CM124" s="21">
        <f>EXP(-LN(2)/2)*CM123+(1-EXP(-LN(2)/2))/(LN(2)/2)*CG124*CJ124*VLOOKUP('Données projet'!$B$12,Paramètres!$A$1:$I$89,3,0)*0.475*44/12</f>
        <v>0</v>
      </c>
      <c r="CN124" s="22">
        <f t="shared" si="66"/>
        <v>191.51279339299651</v>
      </c>
      <c r="CO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319</v>
      </c>
      <c r="CU124" s="17">
        <f>CT124*VLOOKUP('Données projet'!$B$13,Paramètres!$A$1:$I$89,3,0)*VLOOKUP('Données projet'!$B$13,Paramètres!$A$1:$I$89,5,0)</f>
        <v>233.89079999999998</v>
      </c>
      <c r="CV124" s="13">
        <f t="shared" si="95"/>
        <v>57.123140349023068</v>
      </c>
      <c r="CW124" s="20">
        <f t="shared" si="67"/>
        <v>506.84927944121517</v>
      </c>
      <c r="CX124" s="59">
        <f t="shared" si="68"/>
        <v>789.15217183339951</v>
      </c>
      <c r="CY124" s="59">
        <f ca="1">AVERAGE(OFFSET($CX$3,0,0,'Données projet'!$E$13+1,1))-AVERAGE(OFFSET($H$3,0,0,'Données projet'!$E$13+1,1))</f>
        <v>352.45777291109863</v>
      </c>
      <c r="CZ124" s="59">
        <f t="shared" si="96"/>
        <v>340.92165104349181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17.649702732968009</v>
      </c>
      <c r="DG124" s="21">
        <f>EXP(-LN(2)/25)*DG123+(1-EXP(-LN(2)/25))/(LN(2)/25)*Calculateur!DB124*Calculateur!DD124*VLOOKUP('Données projet'!$B$13,Paramètres!$A$1:$I$89,3,0)*0.475*44/12</f>
        <v>0</v>
      </c>
      <c r="DH124" s="21">
        <f>EXP(-LN(2)/2)*DH123+(1-EXP(-LN(2)/2))/(LN(2)/2)*DB124*DE124*VLOOKUP('Données projet'!$B$13,Paramètres!$A$1:$I$89,3,0)*0.475*44/12</f>
        <v>0</v>
      </c>
      <c r="DI124" s="22">
        <f t="shared" si="69"/>
        <v>17.649702732968009</v>
      </c>
      <c r="DJ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-0.37249999999998806</v>
      </c>
      <c r="DO124" s="12">
        <f>IF('Données projet'!$A$166&gt;35,DO123+DN124-DW123,IF(A124&lt;'Données projet'!$A$166,$DL$205^A124,IF(A124='Données projet'!$A$166,'Données projet'!$B$166,DO123+DN124-DW123)))</f>
        <v>328.83500000000043</v>
      </c>
      <c r="DP124" s="17">
        <f>DO124*VLOOKUP('Données projet'!$B$14,Paramètres!$A$1:$I$89,3,0)*VLOOKUP('Données projet'!$B$14,Paramètres!$A$1:$I$89,5,0)</f>
        <v>220.58251800000031</v>
      </c>
      <c r="DQ124" s="13">
        <f t="shared" si="97"/>
        <v>54.241473638468392</v>
      </c>
      <c r="DR124" s="20">
        <f t="shared" si="70"/>
        <v>478.65178543699955</v>
      </c>
      <c r="DS124" s="59">
        <f t="shared" si="71"/>
        <v>760.95467782918399</v>
      </c>
      <c r="DT124" s="59">
        <f ca="1">AVERAGE(OFFSET($DS$3,0,0,'Données projet'!$E$14+1,1))-AVERAGE(OFFSET($H$3,0,0,'Données projet'!$E$14+1,1))</f>
        <v>441.20130048888439</v>
      </c>
      <c r="DU124" s="59">
        <f t="shared" si="98"/>
        <v>237.47732532183946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169.82248251431673</v>
      </c>
      <c r="EB124" s="21">
        <f>EXP(-LN(2)/25)*EB123+(1-EXP(-LN(2)/25))/(LN(2)/25)*Calculateur!DW124*Calculateur!DY124*VLOOKUP('Données projet'!$B$14,Paramètres!$A$1:$I$89,3,0)*0.475*44/12</f>
        <v>0</v>
      </c>
      <c r="EC124" s="21">
        <f>EXP(-LN(2)/2)*EC123+(1-EXP(-LN(2)/2))/(LN(2)/2)*DW124*DZ124*VLOOKUP('Données projet'!$B$14,Paramètres!$A$1:$I$89,3,0)*0.475*44/12</f>
        <v>0</v>
      </c>
      <c r="ED124" s="22">
        <f t="shared" si="72"/>
        <v>169.82248251431673</v>
      </c>
      <c r="EE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319</v>
      </c>
      <c r="EK124" s="17">
        <f>EJ124*VLOOKUP('Données projet'!$B$15,Paramètres!$A$1:$I$89,3,0)*VLOOKUP('Données projet'!$B$15,Paramètres!$A$1:$I$89,5,0)</f>
        <v>253.79640000000001</v>
      </c>
      <c r="EL124" s="13">
        <f t="shared" si="99"/>
        <v>61.39816832228076</v>
      </c>
      <c r="EM124" s="20">
        <f t="shared" si="73"/>
        <v>548.96387316130563</v>
      </c>
      <c r="EN124" s="59">
        <f t="shared" si="74"/>
        <v>831.26676555349002</v>
      </c>
      <c r="EO124" s="59">
        <f ca="1">AVERAGE(OFFSET($EN$3,0,0,'Données projet'!$E$15+1,1))-AVERAGE(OFFSET($H$3,0,0,'Données projet'!$E$15+1,1))</f>
        <v>377.27600411578322</v>
      </c>
      <c r="EP124" s="59">
        <f t="shared" si="100"/>
        <v>364.58250627635425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>
        <f>EXP(-LN(2)/35)*EV123+(1-EXP(-LN(2)/35))/(LN(2)/35)*ER124*ES124*VLOOKUP('Données projet'!$B$15,Paramètres!$A$1:$I$89,3,0)*0.475*44/12</f>
        <v>23.605713254434693</v>
      </c>
      <c r="EW124" s="21">
        <f>EXP(-LN(2)/25)*EW123+(1-EXP(-LN(2)/25))/(LN(2)/25)*Calculateur!ER124*Calculateur!ET124*VLOOKUP('Données projet'!$B$15,Paramètres!$A$1:$I$89,3,0)*0.475*44/12</f>
        <v>0</v>
      </c>
      <c r="EX124" s="21">
        <f>EXP(-LN(2)/2)*EX123+(1-EXP(-LN(2)/2))/(LN(2)/2)*ER124*EU124*VLOOKUP('Données projet'!$B$15,Paramètres!$A$1:$I$89,3,0)*0.475*44/12</f>
        <v>0</v>
      </c>
      <c r="EY124" s="22">
        <f t="shared" si="75"/>
        <v>23.605713254434693</v>
      </c>
      <c r="EZ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319</v>
      </c>
      <c r="FF124" s="17">
        <f>FE124*VLOOKUP('Données projet'!$B$16,Paramètres!$A$1:$I$89,3,0)*VLOOKUP('Données projet'!$B$16,Paramètres!$A$1:$I$89,5,0)</f>
        <v>258.77280000000002</v>
      </c>
      <c r="FG124" s="13">
        <f t="shared" si="101"/>
        <v>62.460716522234691</v>
      </c>
      <c r="FH124" s="20">
        <f t="shared" si="76"/>
        <v>559.48170794289206</v>
      </c>
      <c r="FI124" s="59">
        <f t="shared" si="77"/>
        <v>841.78460033507645</v>
      </c>
      <c r="FJ124" s="59">
        <f ca="1">AVERAGE(OFFSET($FI$3,0,0,'Données projet'!$E$16+1,1))-AVERAGE(OFFSET($H$3,0,0,'Données projet'!$E$16+1,1))</f>
        <v>383.47399633251354</v>
      </c>
      <c r="FK124" s="59">
        <f t="shared" si="102"/>
        <v>370.49129421395628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>
        <f>EXP(-LN(2)/35)*FQ123+(1-EXP(-LN(2)/35))/(LN(2)/35)*FM124*FN124*VLOOKUP('Données projet'!$B$16,Paramètres!$A$1:$I$89,3,0)*0.475*44/12</f>
        <v>24.068570377070689</v>
      </c>
      <c r="FR124" s="21">
        <f>EXP(-LN(2)/25)*FR123+(1-EXP(-LN(2)/25))/(LN(2)/25)*Calculateur!FM124*Calculateur!FO124*VLOOKUP('Données projet'!$B$16,Paramètres!$A$1:$I$89,3,0)*0.475*44/12</f>
        <v>0</v>
      </c>
      <c r="FS124" s="21">
        <f>EXP(-LN(2)/2)*FS123+(1-EXP(-LN(2)/2))/(LN(2)/2)*FM124*FP124*VLOOKUP('Données projet'!$B$16,Paramètres!$A$1:$I$89,3,0)*0.475*44/12</f>
        <v>0</v>
      </c>
      <c r="FT124" s="22">
        <f t="shared" si="78"/>
        <v>24.068570377070689</v>
      </c>
      <c r="FU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-0.37249999999998806</v>
      </c>
      <c r="FZ124" s="12">
        <f>IF('Données projet'!$A$244&gt;35,FZ123+FY124-GH123,IF(A124&lt;'Données projet'!$A$244,$FW$205^A124,IF(A124='Données projet'!$A$244,'Données projet'!$B$244,FZ123+FY124-GH123)))</f>
        <v>328.83500000000043</v>
      </c>
      <c r="GA124" s="17">
        <f>FZ124*VLOOKUP('Données projet'!$B$17,Paramètres!$A$1:$I$89,3,0)*VLOOKUP('Données projet'!$B$17,Paramètres!$A$1:$I$89,5,0)</f>
        <v>312.91938600000043</v>
      </c>
      <c r="GB124" s="13">
        <f t="shared" si="103"/>
        <v>73.878181166203746</v>
      </c>
      <c r="GC124" s="20">
        <f t="shared" si="79"/>
        <v>673.67242948113892</v>
      </c>
      <c r="GD124" s="59">
        <f t="shared" si="80"/>
        <v>955.97532187332331</v>
      </c>
      <c r="GE124" s="59">
        <f ca="1">AVERAGE(OFFSET($GD$3,0,0,'Données projet'!$E$17+1,1))-AVERAGE(OFFSET($H$3,0,0,'Données projet'!$E$17+1,1))</f>
        <v>592.58528889137358</v>
      </c>
      <c r="GF124" s="59">
        <f t="shared" si="104"/>
        <v>311.31528020403709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>
        <f>EXP(-LN(2)/35)*GL123+(1-EXP(-LN(2)/35))/(LN(2)/35)*GH124*GI124*VLOOKUP('Données projet'!$B$17,Paramètres!$A$1:$I$89,3,0)*0.475*44/12</f>
        <v>195.45606478062871</v>
      </c>
      <c r="GM124" s="21">
        <f>EXP(-LN(2)/25)*GM123+(1-EXP(-LN(2)/25))/(LN(2)/25)*Calculateur!GH124*Calculateur!GJ124*VLOOKUP('Données projet'!$B$17,Paramètres!$A$1:$I$89,3,0)*0.475*44/12</f>
        <v>0</v>
      </c>
      <c r="GN124" s="21">
        <f>EXP(-LN(2)/2)*GN123+(1-EXP(-LN(2)/2))/(LN(2)/2)*GH124*GK124*VLOOKUP('Données projet'!$B$17,Paramètres!$A$1:$I$89,3,0)*0.475*44/12</f>
        <v>0</v>
      </c>
      <c r="GO124" s="21">
        <f t="shared" si="81"/>
        <v>195.45606478062871</v>
      </c>
      <c r="GP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328.00000000000006</v>
      </c>
      <c r="GV124" s="17">
        <f>GU124*VLOOKUP('Données projet'!$B$18,Paramètres!$A$1:$I$89,3,0)*VLOOKUP('Données projet'!$B$18,Paramètres!$A$1:$I$89,5,0)</f>
        <v>255.84000000000006</v>
      </c>
      <c r="GW124" s="13">
        <f t="shared" si="105"/>
        <v>61.834803371075836</v>
      </c>
      <c r="GX124" s="20">
        <f t="shared" si="82"/>
        <v>553.28361587129041</v>
      </c>
      <c r="GY124" s="59">
        <f t="shared" si="83"/>
        <v>835.5865082634748</v>
      </c>
      <c r="GZ124" s="59">
        <f ca="1">AVERAGE(OFFSET($GY$3,0,0,'Données projet'!$E$18+1,1))-AVERAGE(OFFSET($H$3,0,0,'Données projet'!$E$18+1,1))</f>
        <v>308.85018589589453</v>
      </c>
      <c r="HA124" s="59">
        <f t="shared" si="106"/>
        <v>302.59481222418219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>
        <f>EXP(-LN(2)/35)*HG123+(1-EXP(-LN(2)/35))/(LN(2)/35)*HC124*HD124*VLOOKUP('Données projet'!$B$18,Paramètres!$A$1:$I$89,3,0)*0.475*44/12</f>
        <v>17.989342896919599</v>
      </c>
      <c r="HH124" s="21">
        <f>EXP(-LN(2)/25)*HH123+(1-EXP(-LN(2)/25))/(LN(2)/25)*Calculateur!HC124*Calculateur!HE124*VLOOKUP('Données projet'!$B$18,Paramètres!$A$1:$I$89,3,0)*0.475*44/12</f>
        <v>0</v>
      </c>
      <c r="HI124" s="21">
        <f>EXP(-LN(2)/2)*HI123+(1-EXP(-LN(2)/2))/(LN(2)/2)*HC124*HF124*VLOOKUP('Données projet'!$B$18,Paramètres!$A$1:$I$89,3,0)*0.475*44/12</f>
        <v>0</v>
      </c>
      <c r="HJ124" s="22">
        <f t="shared" si="84"/>
        <v>17.989342896919599</v>
      </c>
    </row>
    <row r="125" spans="1:218" x14ac:dyDescent="0.35">
      <c r="A125" s="10">
        <f t="shared" si="85"/>
        <v>122</v>
      </c>
      <c r="B125" s="72">
        <f>'Scénario référence'!$B$16*5+'Scénario référence'!$B$17*0+'Scénario référence'!$B$18*5</f>
        <v>5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66">
        <f t="shared" si="56"/>
        <v>183.33333333333334</v>
      </c>
      <c r="I125" s="6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-0.37249999999998806</v>
      </c>
      <c r="N125" s="13">
        <f>IF('Données projet'!$A$36&gt;35,N124+M125-V124,IF(A125&lt;'Données projet'!$A$36,$K$205^A125,IF(A125='Données projet'!$A$36,'Données projet'!$B$36,N124+M125-V124)))</f>
        <v>328.46250000000043</v>
      </c>
      <c r="O125" s="13">
        <f>N125*VLOOKUP('Données projet'!$B$9,Paramètres!$A$1:$I$89,3,0)*VLOOKUP('Données projet'!$B$9,Paramètres!$A$1:$I$89,5,0)</f>
        <v>297.19287000000037</v>
      </c>
      <c r="P125" s="13">
        <f t="shared" si="87"/>
        <v>70.587659605576917</v>
      </c>
      <c r="Q125" s="20">
        <f t="shared" si="107"/>
        <v>640.55108906304713</v>
      </c>
      <c r="R125" s="59">
        <f t="shared" si="55"/>
        <v>923.04533494518887</v>
      </c>
      <c r="S125" s="59">
        <f ca="1">AVERAGE(OFFSET($R$3,0,0,'Données projet'!$E$9+1,1))-AVERAGE(OFFSET($H$3,0,0,'Données projet'!$E$9+1,1))</f>
        <v>567.42635821507474</v>
      </c>
      <c r="T125" s="59">
        <f t="shared" si="88"/>
        <v>299.04735309930152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182.1991943093293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182.1991943093293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-0.37249999999998806</v>
      </c>
      <c r="AI125" s="13">
        <f>IF('Données projet'!$A$62&gt;35,AI124+AH125-AQ124,IF(A125&lt;'Données projet'!$A$62,$AF$205^A125,IF(A125='Données projet'!$A$62,'Données projet'!$B$62,AI124+AH125-AQ124)))</f>
        <v>328.46250000000043</v>
      </c>
      <c r="AJ125" s="13">
        <f>AI125*VLOOKUP('Données projet'!$B$10,Paramètres!$A$1:$I$89,3,0)*VLOOKUP('Données projet'!$B$10,Paramètres!$A$1:$I$89,5,0)</f>
        <v>333.0609750000005</v>
      </c>
      <c r="AK125" s="13">
        <f t="shared" si="89"/>
        <v>78.064583966684552</v>
      </c>
      <c r="AL125" s="20">
        <f t="shared" si="58"/>
        <v>716.04368186697639</v>
      </c>
      <c r="AM125" s="59">
        <f t="shared" si="59"/>
        <v>998.53792774911813</v>
      </c>
      <c r="AN125" s="59">
        <f ca="1">AVERAGE(OFFSET($AM$3,0,0,'Données projet'!$E$10+1,1))-AVERAGE(OFFSET($H$3,0,0,'Données projet'!$E$10+1,1))</f>
        <v>626.09203985591455</v>
      </c>
      <c r="AO125" s="59">
        <f t="shared" si="90"/>
        <v>327.65191296575199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204.18875224321394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204.18875224321394</v>
      </c>
      <c r="AY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404.00000000000017</v>
      </c>
      <c r="BE125" s="13">
        <f>BD125*VLOOKUP('Données projet'!$B$11,Paramètres!$A$1:$I$89,3,0)*VLOOKUP('Données projet'!$B$11,Paramètres!$A$1:$I$89,5,0)</f>
        <v>346.63200000000018</v>
      </c>
      <c r="BF125" s="13">
        <f t="shared" si="91"/>
        <v>80.868615263336864</v>
      </c>
      <c r="BG125" s="20">
        <f t="shared" si="61"/>
        <v>744.56357158364528</v>
      </c>
      <c r="BH125" s="59">
        <f t="shared" si="62"/>
        <v>1027.0578174657871</v>
      </c>
      <c r="BI125" s="59">
        <f ca="1">AVERAGE(OFFSET($BH$3,0,0,'Données projet'!$E$11+1,1))-AVERAGE(OFFSET($H$3,0,0,'Données projet'!$E$11+1,1))</f>
        <v>481.23392184981651</v>
      </c>
      <c r="BJ125" s="59">
        <f t="shared" si="92"/>
        <v>275.88160405468193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96.074009122902737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96.074009122902737</v>
      </c>
      <c r="BT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5.2499999999990337</v>
      </c>
      <c r="BZ125" s="13">
        <f>BY125*VLOOKUP('Données projet'!$B$12,Paramètres!$A$1:$I$89,3,0)*VLOOKUP('Données projet'!$B$12,Paramètres!$A$1:$I$89,5,0)</f>
        <v>2.4569999999995478</v>
      </c>
      <c r="CA125" s="13">
        <f t="shared" si="93"/>
        <v>1.0197977774625564</v>
      </c>
      <c r="CB125" s="20">
        <f t="shared" si="64"/>
        <v>6.0554227957464972</v>
      </c>
      <c r="CC125" s="59">
        <f t="shared" si="65"/>
        <v>288.54966867788829</v>
      </c>
      <c r="CD125" s="59">
        <f ca="1">AVERAGE(OFFSET($CC$3,0,0,'Données projet'!$E$12+1,1))-AVERAGE(OFFSET($H$3,0,0,'Données projet'!$E$12+1,1))</f>
        <v>331.86732359395467</v>
      </c>
      <c r="CE125" s="59">
        <f t="shared" si="94"/>
        <v>208.64489375183106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187.75734432582968</v>
      </c>
      <c r="CL125" s="21">
        <f>EXP(-LN(2)/25)*CL124+(1-EXP(-LN(2)/25))/(LN(2)/25)*Calculateur!CG125*Calculateur!CI125*VLOOKUP('Données projet'!$B$12,Paramètres!$A$1:$I$89,3,0)*0.475*44/12</f>
        <v>0</v>
      </c>
      <c r="CM125" s="21">
        <f>EXP(-LN(2)/2)*CM124+(1-EXP(-LN(2)/2))/(LN(2)/2)*CG125*CJ125*VLOOKUP('Données projet'!$B$12,Paramètres!$A$1:$I$89,3,0)*0.475*44/12</f>
        <v>0</v>
      </c>
      <c r="CN125" s="22">
        <f t="shared" si="66"/>
        <v>187.75734432582968</v>
      </c>
      <c r="CO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319</v>
      </c>
      <c r="CU125" s="17">
        <f>CT125*VLOOKUP('Données projet'!$B$13,Paramètres!$A$1:$I$89,3,0)*VLOOKUP('Données projet'!$B$13,Paramètres!$A$1:$I$89,5,0)</f>
        <v>233.89079999999998</v>
      </c>
      <c r="CV125" s="13">
        <f t="shared" si="95"/>
        <v>57.123140349023068</v>
      </c>
      <c r="CW125" s="20">
        <f t="shared" si="67"/>
        <v>506.84927944121517</v>
      </c>
      <c r="CX125" s="59">
        <f t="shared" si="68"/>
        <v>789.34352532335697</v>
      </c>
      <c r="CY125" s="59">
        <f ca="1">AVERAGE(OFFSET($CX$3,0,0,'Données projet'!$E$13+1,1))-AVERAGE(OFFSET($H$3,0,0,'Données projet'!$E$13+1,1))</f>
        <v>352.45777291109863</v>
      </c>
      <c r="CZ125" s="59">
        <f t="shared" si="96"/>
        <v>340.92165104349181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17.303602827630193</v>
      </c>
      <c r="DG125" s="21">
        <f>EXP(-LN(2)/25)*DG124+(1-EXP(-LN(2)/25))/(LN(2)/25)*Calculateur!DB125*Calculateur!DD125*VLOOKUP('Données projet'!$B$13,Paramètres!$A$1:$I$89,3,0)*0.475*44/12</f>
        <v>0</v>
      </c>
      <c r="DH125" s="21">
        <f>EXP(-LN(2)/2)*DH124+(1-EXP(-LN(2)/2))/(LN(2)/2)*DB125*DE125*VLOOKUP('Données projet'!$B$13,Paramètres!$A$1:$I$89,3,0)*0.475*44/12</f>
        <v>0</v>
      </c>
      <c r="DI125" s="22">
        <f t="shared" si="69"/>
        <v>17.303602827630193</v>
      </c>
      <c r="DJ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-0.37249999999998806</v>
      </c>
      <c r="DO125" s="12">
        <f>IF('Données projet'!$A$166&gt;35,DO124+DN125-DW124,IF(A125&lt;'Données projet'!$A$166,$DL$205^A125,IF(A125='Données projet'!$A$166,'Données projet'!$B$166,DO124+DN125-DW124)))</f>
        <v>328.46250000000043</v>
      </c>
      <c r="DP125" s="17">
        <f>DO125*VLOOKUP('Données projet'!$B$14,Paramètres!$A$1:$I$89,3,0)*VLOOKUP('Données projet'!$B$14,Paramètres!$A$1:$I$89,5,0)</f>
        <v>220.3326450000003</v>
      </c>
      <c r="DQ125" s="13">
        <f t="shared" si="97"/>
        <v>54.187178109119017</v>
      </c>
      <c r="DR125" s="20">
        <f t="shared" si="70"/>
        <v>478.12202524838284</v>
      </c>
      <c r="DS125" s="59">
        <f t="shared" si="71"/>
        <v>760.61627113052464</v>
      </c>
      <c r="DT125" s="59">
        <f ca="1">AVERAGE(OFFSET($DS$3,0,0,'Données projet'!$E$14+1,1))-AVERAGE(OFFSET($H$3,0,0,'Données projet'!$E$14+1,1))</f>
        <v>441.20130048888439</v>
      </c>
      <c r="DU125" s="59">
        <f t="shared" si="98"/>
        <v>237.47732532183946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166.49236721369749</v>
      </c>
      <c r="EB125" s="21">
        <f>EXP(-LN(2)/25)*EB124+(1-EXP(-LN(2)/25))/(LN(2)/25)*Calculateur!DW125*Calculateur!DY125*VLOOKUP('Données projet'!$B$14,Paramètres!$A$1:$I$89,3,0)*0.475*44/12</f>
        <v>0</v>
      </c>
      <c r="EC125" s="21">
        <f>EXP(-LN(2)/2)*EC124+(1-EXP(-LN(2)/2))/(LN(2)/2)*DW125*DZ125*VLOOKUP('Données projet'!$B$14,Paramètres!$A$1:$I$89,3,0)*0.475*44/12</f>
        <v>0</v>
      </c>
      <c r="ED125" s="22">
        <f t="shared" si="72"/>
        <v>166.49236721369749</v>
      </c>
      <c r="EE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319</v>
      </c>
      <c r="EK125" s="17">
        <f>EJ125*VLOOKUP('Données projet'!$B$15,Paramètres!$A$1:$I$89,3,0)*VLOOKUP('Données projet'!$B$15,Paramètres!$A$1:$I$89,5,0)</f>
        <v>253.79640000000001</v>
      </c>
      <c r="EL125" s="13">
        <f t="shared" si="99"/>
        <v>61.39816832228076</v>
      </c>
      <c r="EM125" s="20">
        <f t="shared" si="73"/>
        <v>548.96387316130563</v>
      </c>
      <c r="EN125" s="59">
        <f t="shared" si="74"/>
        <v>831.45811904344737</v>
      </c>
      <c r="EO125" s="59">
        <f ca="1">AVERAGE(OFFSET($EN$3,0,0,'Données projet'!$E$15+1,1))-AVERAGE(OFFSET($H$3,0,0,'Données projet'!$E$15+1,1))</f>
        <v>377.27600411578322</v>
      </c>
      <c r="EP125" s="59">
        <f t="shared" si="100"/>
        <v>364.58250627635425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>
        <f>EXP(-LN(2)/35)*EV124+(1-EXP(-LN(2)/35))/(LN(2)/35)*ER125*ES125*VLOOKUP('Données projet'!$B$15,Paramètres!$A$1:$I$89,3,0)*0.475*44/12</f>
        <v>23.142819615578624</v>
      </c>
      <c r="EW125" s="21">
        <f>EXP(-LN(2)/25)*EW124+(1-EXP(-LN(2)/25))/(LN(2)/25)*Calculateur!ER125*Calculateur!ET125*VLOOKUP('Données projet'!$B$15,Paramètres!$A$1:$I$89,3,0)*0.475*44/12</f>
        <v>0</v>
      </c>
      <c r="EX125" s="21">
        <f>EXP(-LN(2)/2)*EX124+(1-EXP(-LN(2)/2))/(LN(2)/2)*ER125*EU125*VLOOKUP('Données projet'!$B$15,Paramètres!$A$1:$I$89,3,0)*0.475*44/12</f>
        <v>0</v>
      </c>
      <c r="EY125" s="22">
        <f t="shared" si="75"/>
        <v>23.142819615578624</v>
      </c>
      <c r="EZ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319</v>
      </c>
      <c r="FF125" s="17">
        <f>FE125*VLOOKUP('Données projet'!$B$16,Paramètres!$A$1:$I$89,3,0)*VLOOKUP('Données projet'!$B$16,Paramètres!$A$1:$I$89,5,0)</f>
        <v>258.77280000000002</v>
      </c>
      <c r="FG125" s="13">
        <f t="shared" si="101"/>
        <v>62.460716522234691</v>
      </c>
      <c r="FH125" s="20">
        <f t="shared" si="76"/>
        <v>559.48170794289206</v>
      </c>
      <c r="FI125" s="59">
        <f t="shared" si="77"/>
        <v>841.97595382503391</v>
      </c>
      <c r="FJ125" s="59">
        <f ca="1">AVERAGE(OFFSET($FI$3,0,0,'Données projet'!$E$16+1,1))-AVERAGE(OFFSET($H$3,0,0,'Données projet'!$E$16+1,1))</f>
        <v>383.47399633251354</v>
      </c>
      <c r="FK125" s="59">
        <f t="shared" si="102"/>
        <v>370.49129421395628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>
        <f>EXP(-LN(2)/35)*FQ124+(1-EXP(-LN(2)/35))/(LN(2)/35)*FM125*FN125*VLOOKUP('Données projet'!$B$16,Paramètres!$A$1:$I$89,3,0)*0.475*44/12</f>
        <v>23.596600392354695</v>
      </c>
      <c r="FR125" s="21">
        <f>EXP(-LN(2)/25)*FR124+(1-EXP(-LN(2)/25))/(LN(2)/25)*Calculateur!FM125*Calculateur!FO125*VLOOKUP('Données projet'!$B$16,Paramètres!$A$1:$I$89,3,0)*0.475*44/12</f>
        <v>0</v>
      </c>
      <c r="FS125" s="21">
        <f>EXP(-LN(2)/2)*FS124+(1-EXP(-LN(2)/2))/(LN(2)/2)*FM125*FP125*VLOOKUP('Données projet'!$B$16,Paramètres!$A$1:$I$89,3,0)*0.475*44/12</f>
        <v>0</v>
      </c>
      <c r="FT125" s="22">
        <f t="shared" si="78"/>
        <v>23.596600392354695</v>
      </c>
      <c r="FU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-0.37249999999998806</v>
      </c>
      <c r="FZ125" s="12">
        <f>IF('Données projet'!$A$244&gt;35,FZ124+FY125-GH124,IF(A125&lt;'Données projet'!$A$244,$FW$205^A125,IF(A125='Données projet'!$A$244,'Données projet'!$B$244,FZ124+FY125-GH124)))</f>
        <v>328.46250000000043</v>
      </c>
      <c r="GA125" s="17">
        <f>FZ125*VLOOKUP('Données projet'!$B$17,Paramètres!$A$1:$I$89,3,0)*VLOOKUP('Données projet'!$B$17,Paramètres!$A$1:$I$89,5,0)</f>
        <v>312.56491500000038</v>
      </c>
      <c r="GB125" s="13">
        <f t="shared" si="103"/>
        <v>73.804229359869638</v>
      </c>
      <c r="GC125" s="20">
        <f t="shared" si="79"/>
        <v>672.92625976010697</v>
      </c>
      <c r="GD125" s="59">
        <f t="shared" si="80"/>
        <v>955.42050564224883</v>
      </c>
      <c r="GE125" s="59">
        <f ca="1">AVERAGE(OFFSET($GD$3,0,0,'Données projet'!$E$17+1,1))-AVERAGE(OFFSET($H$3,0,0,'Données projet'!$E$17+1,1))</f>
        <v>592.58528889137358</v>
      </c>
      <c r="GF125" s="59">
        <f t="shared" si="104"/>
        <v>311.31528020403709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>
        <f>EXP(-LN(2)/35)*GL124+(1-EXP(-LN(2)/35))/(LN(2)/35)*GH125*GI125*VLOOKUP('Données projet'!$B$17,Paramètres!$A$1:$I$89,3,0)*0.475*44/12</f>
        <v>191.62329056670845</v>
      </c>
      <c r="GM125" s="21">
        <f>EXP(-LN(2)/25)*GM124+(1-EXP(-LN(2)/25))/(LN(2)/25)*Calculateur!GH125*Calculateur!GJ125*VLOOKUP('Données projet'!$B$17,Paramètres!$A$1:$I$89,3,0)*0.475*44/12</f>
        <v>0</v>
      </c>
      <c r="GN125" s="21">
        <f>EXP(-LN(2)/2)*GN124+(1-EXP(-LN(2)/2))/(LN(2)/2)*GH125*GK125*VLOOKUP('Données projet'!$B$17,Paramètres!$A$1:$I$89,3,0)*0.475*44/12</f>
        <v>0</v>
      </c>
      <c r="GO125" s="21">
        <f t="shared" si="81"/>
        <v>191.62329056670845</v>
      </c>
      <c r="GP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328.00000000000006</v>
      </c>
      <c r="GV125" s="17">
        <f>GU125*VLOOKUP('Données projet'!$B$18,Paramètres!$A$1:$I$89,3,0)*VLOOKUP('Données projet'!$B$18,Paramètres!$A$1:$I$89,5,0)</f>
        <v>255.84000000000006</v>
      </c>
      <c r="GW125" s="13">
        <f t="shared" si="105"/>
        <v>61.834803371075836</v>
      </c>
      <c r="GX125" s="20">
        <f t="shared" si="82"/>
        <v>553.28361587129041</v>
      </c>
      <c r="GY125" s="59">
        <f t="shared" si="83"/>
        <v>835.77786175343226</v>
      </c>
      <c r="GZ125" s="59">
        <f ca="1">AVERAGE(OFFSET($GY$3,0,0,'Données projet'!$E$18+1,1))-AVERAGE(OFFSET($H$3,0,0,'Données projet'!$E$18+1,1))</f>
        <v>308.85018589589453</v>
      </c>
      <c r="HA125" s="59">
        <f t="shared" si="106"/>
        <v>302.59481222418219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>
        <f>EXP(-LN(2)/35)*HG124+(1-EXP(-LN(2)/35))/(LN(2)/35)*HC125*HD125*VLOOKUP('Données projet'!$B$18,Paramètres!$A$1:$I$89,3,0)*0.475*44/12</f>
        <v>17.636582855126736</v>
      </c>
      <c r="HH125" s="21">
        <f>EXP(-LN(2)/25)*HH124+(1-EXP(-LN(2)/25))/(LN(2)/25)*Calculateur!HC125*Calculateur!HE125*VLOOKUP('Données projet'!$B$18,Paramètres!$A$1:$I$89,3,0)*0.475*44/12</f>
        <v>0</v>
      </c>
      <c r="HI125" s="21">
        <f>EXP(-LN(2)/2)*HI124+(1-EXP(-LN(2)/2))/(LN(2)/2)*HC125*HF125*VLOOKUP('Données projet'!$B$18,Paramètres!$A$1:$I$89,3,0)*0.475*44/12</f>
        <v>0</v>
      </c>
      <c r="HJ125" s="22">
        <f t="shared" si="84"/>
        <v>17.636582855126736</v>
      </c>
    </row>
    <row r="126" spans="1:218" x14ac:dyDescent="0.35">
      <c r="A126" s="10">
        <f t="shared" si="85"/>
        <v>123</v>
      </c>
      <c r="B126" s="72">
        <f>'Scénario référence'!$B$16*5+'Scénario référence'!$B$17*0+'Scénario référence'!$B$18*5</f>
        <v>5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66">
        <f t="shared" si="56"/>
        <v>183.33333333333334</v>
      </c>
      <c r="I126" s="6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>
        <f>VLOOKUP(A126,'Données projet'!$A$35:$I$55,2,0)</f>
        <v>328.09</v>
      </c>
      <c r="L126" s="12">
        <f>VLOOKUP(A126,'Données projet'!$A$35:$I$55,9,0)</f>
        <v>-0.37249999999998806</v>
      </c>
      <c r="M126" s="12">
        <f t="array" ref="M126">INDEX(L:L,MIN(IF(ISNUMBER(L126:L322),ROW(L126:L322),"")))</f>
        <v>-0.37249999999998806</v>
      </c>
      <c r="N126" s="13">
        <f>IF('Données projet'!$A$36&gt;35,N125+M126-V125,IF(A126&lt;'Données projet'!$A$36,$K$205^A126,IF(A126='Données projet'!$A$36,'Données projet'!$B$36,N125+M126-V125)))</f>
        <v>328.09000000000043</v>
      </c>
      <c r="O126" s="13">
        <f>N126*VLOOKUP('Données projet'!$B$9,Paramètres!$A$1:$I$89,3,0)*VLOOKUP('Données projet'!$B$9,Paramètres!$A$1:$I$89,5,0)</f>
        <v>296.85583200000036</v>
      </c>
      <c r="P126" s="13">
        <f t="shared" si="87"/>
        <v>70.516921463523971</v>
      </c>
      <c r="Q126" s="20">
        <f t="shared" si="107"/>
        <v>639.84087894897141</v>
      </c>
      <c r="R126" s="59">
        <f t="shared" si="55"/>
        <v>922.52315876582202</v>
      </c>
      <c r="S126" s="59">
        <f ca="1">AVERAGE(OFFSET($R$3,0,0,'Données projet'!$E$9+1,1))-AVERAGE(OFFSET($H$3,0,0,'Données projet'!$E$9+1,1))</f>
        <v>567.42635821507474</v>
      </c>
      <c r="T126" s="59">
        <f t="shared" si="88"/>
        <v>299.04735309930152</v>
      </c>
      <c r="U126" s="15">
        <f>IF(ISNA(VLOOKUP(A126,'Données projet'!$A$35:$I$55,3,0)),0,VLOOKUP(A126,'Données projet'!$A$35:$I$55,3,0))</f>
        <v>12</v>
      </c>
      <c r="V126" s="15">
        <f>IF(ISNA(VLOOKUP(A126,'Données projet'!$A$35:$I$55,4,0)),0,VLOOKUP(A126,'Données projet'!$A$35:$I$55,4,0))</f>
        <v>100.6</v>
      </c>
      <c r="W126" s="16">
        <f>IF(ISNA(VLOOKUP(A126,'Données projet'!$A$35:$I$55,5,0)),0%,VLOOKUP(A126,'Données projet'!$A$35:$I$55,5,0)*VLOOKUP('Données projet'!$B$9,Paramètres!$A$1:$I$89,7,0))</f>
        <v>0.43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221.89431125036498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221.89431125036498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>
        <f>VLOOKUP(A126,'Données projet'!$A$61:$I$81,2,0)</f>
        <v>328.09</v>
      </c>
      <c r="AG126" s="12">
        <f>VLOOKUP(A126,'Données projet'!$A$61:$I$81,9,0)</f>
        <v>-0.37249999999998806</v>
      </c>
      <c r="AH126" s="12">
        <f t="array" ref="AH126">INDEX(AG:AG,MIN(IF(ISNUMBER(AG126:AG322),ROW(AG126:AG322),"")))</f>
        <v>-0.37249999999998806</v>
      </c>
      <c r="AI126" s="13">
        <f>IF('Données projet'!$A$62&gt;35,AI125+AH126-AQ125,IF(A126&lt;'Données projet'!$A$62,$AF$205^A126,IF(A126='Données projet'!$A$62,'Données projet'!$B$62,AI125+AH126-AQ125)))</f>
        <v>328.09000000000043</v>
      </c>
      <c r="AJ126" s="13">
        <f>AI126*VLOOKUP('Données projet'!$B$10,Paramètres!$A$1:$I$89,3,0)*VLOOKUP('Données projet'!$B$10,Paramètres!$A$1:$I$89,5,0)</f>
        <v>332.68326000000047</v>
      </c>
      <c r="AK126" s="13">
        <f t="shared" si="89"/>
        <v>77.986352960573853</v>
      </c>
      <c r="AL126" s="20">
        <f t="shared" si="58"/>
        <v>715.24957590633358</v>
      </c>
      <c r="AM126" s="59">
        <f t="shared" si="59"/>
        <v>997.9318557231843</v>
      </c>
      <c r="AN126" s="59">
        <f ca="1">AVERAGE(OFFSET($AM$3,0,0,'Données projet'!$E$10+1,1))-AVERAGE(OFFSET($H$3,0,0,'Données projet'!$E$10+1,1))</f>
        <v>626.09203985591455</v>
      </c>
      <c r="AO126" s="59">
        <f t="shared" si="90"/>
        <v>327.65191296575199</v>
      </c>
      <c r="AP126" s="15">
        <f>IF(ISNA(VLOOKUP(A126,'Données projet'!$A$61:$I$81,3,0)),0,VLOOKUP(A126,'Données projet'!$A$61:$I$81,3,0))</f>
        <v>12</v>
      </c>
      <c r="AQ126" s="15">
        <f>IF(ISNA(VLOOKUP(A126,'Données projet'!$A$61:$I$81,4,0)),0,VLOOKUP(A126,'Données projet'!$A$61:$I$81,4,0))</f>
        <v>100.6</v>
      </c>
      <c r="AR126" s="16">
        <f>IF(ISNA(VLOOKUP(A126,'Données projet'!$A$61:$I$81,5,0)),0%,VLOOKUP(A126,'Données projet'!$A$61:$I$81,5,0)*VLOOKUP('Données projet'!$B$10,Paramètres!$A$1:$I$89,7,0))</f>
        <v>0.43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248.67465915989186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248.67465915989186</v>
      </c>
      <c r="AY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404.00000000000017</v>
      </c>
      <c r="BE126" s="13">
        <f>BD126*VLOOKUP('Données projet'!$B$11,Paramètres!$A$1:$I$89,3,0)*VLOOKUP('Données projet'!$B$11,Paramètres!$A$1:$I$89,5,0)</f>
        <v>346.63200000000018</v>
      </c>
      <c r="BF126" s="13">
        <f t="shared" si="91"/>
        <v>80.868615263336864</v>
      </c>
      <c r="BG126" s="20">
        <f t="shared" si="61"/>
        <v>744.56357158364528</v>
      </c>
      <c r="BH126" s="59">
        <f t="shared" si="62"/>
        <v>1027.2458514004959</v>
      </c>
      <c r="BI126" s="59">
        <f ca="1">AVERAGE(OFFSET($BH$3,0,0,'Données projet'!$E$11+1,1))-AVERAGE(OFFSET($H$3,0,0,'Données projet'!$E$11+1,1))</f>
        <v>481.23392184981651</v>
      </c>
      <c r="BJ126" s="59">
        <f t="shared" si="92"/>
        <v>275.88160405468193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94.190056403361979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94.190056403361979</v>
      </c>
      <c r="BT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5.2499999999990337</v>
      </c>
      <c r="BZ126" s="13">
        <f>BY126*VLOOKUP('Données projet'!$B$12,Paramètres!$A$1:$I$89,3,0)*VLOOKUP('Données projet'!$B$12,Paramètres!$A$1:$I$89,5,0)</f>
        <v>2.4569999999995478</v>
      </c>
      <c r="CA126" s="13">
        <f t="shared" si="93"/>
        <v>1.0197977774625564</v>
      </c>
      <c r="CB126" s="20">
        <f t="shared" si="64"/>
        <v>6.0554227957464972</v>
      </c>
      <c r="CC126" s="59">
        <f t="shared" si="65"/>
        <v>288.73770261259716</v>
      </c>
      <c r="CD126" s="59">
        <f ca="1">AVERAGE(OFFSET($CC$3,0,0,'Données projet'!$E$12+1,1))-AVERAGE(OFFSET($H$3,0,0,'Données projet'!$E$12+1,1))</f>
        <v>331.86732359395467</v>
      </c>
      <c r="CE126" s="59">
        <f t="shared" si="94"/>
        <v>208.64489375183106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184.07553732427223</v>
      </c>
      <c r="CL126" s="21">
        <f>EXP(-LN(2)/25)*CL125+(1-EXP(-LN(2)/25))/(LN(2)/25)*Calculateur!CG126*Calculateur!CI126*VLOOKUP('Données projet'!$B$12,Paramètres!$A$1:$I$89,3,0)*0.475*44/12</f>
        <v>0</v>
      </c>
      <c r="CM126" s="21">
        <f>EXP(-LN(2)/2)*CM125+(1-EXP(-LN(2)/2))/(LN(2)/2)*CG126*CJ126*VLOOKUP('Données projet'!$B$12,Paramètres!$A$1:$I$89,3,0)*0.475*44/12</f>
        <v>0</v>
      </c>
      <c r="CN126" s="22">
        <f t="shared" si="66"/>
        <v>184.07553732427223</v>
      </c>
      <c r="CO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319</v>
      </c>
      <c r="CU126" s="17">
        <f>CT126*VLOOKUP('Données projet'!$B$13,Paramètres!$A$1:$I$89,3,0)*VLOOKUP('Données projet'!$B$13,Paramètres!$A$1:$I$89,5,0)</f>
        <v>233.89079999999998</v>
      </c>
      <c r="CV126" s="13">
        <f t="shared" si="95"/>
        <v>57.123140349023068</v>
      </c>
      <c r="CW126" s="20">
        <f t="shared" si="67"/>
        <v>506.84927944121517</v>
      </c>
      <c r="CX126" s="59">
        <f t="shared" si="68"/>
        <v>789.53155925806584</v>
      </c>
      <c r="CY126" s="59">
        <f ca="1">AVERAGE(OFFSET($CX$3,0,0,'Données projet'!$E$13+1,1))-AVERAGE(OFFSET($H$3,0,0,'Données projet'!$E$13+1,1))</f>
        <v>352.45777291109863</v>
      </c>
      <c r="CZ126" s="59">
        <f t="shared" si="96"/>
        <v>340.92165104349181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16.964289730335953</v>
      </c>
      <c r="DG126" s="21">
        <f>EXP(-LN(2)/25)*DG125+(1-EXP(-LN(2)/25))/(LN(2)/25)*Calculateur!DB126*Calculateur!DD126*VLOOKUP('Données projet'!$B$13,Paramètres!$A$1:$I$89,3,0)*0.475*44/12</f>
        <v>0</v>
      </c>
      <c r="DH126" s="21">
        <f>EXP(-LN(2)/2)*DH125+(1-EXP(-LN(2)/2))/(LN(2)/2)*DB126*DE126*VLOOKUP('Données projet'!$B$13,Paramètres!$A$1:$I$89,3,0)*0.475*44/12</f>
        <v>0</v>
      </c>
      <c r="DI126" s="22">
        <f t="shared" si="69"/>
        <v>16.964289730335953</v>
      </c>
      <c r="DJ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>
        <f>VLOOKUP(A126,'Données projet'!$A$165:$I$185,2,0)</f>
        <v>328.09</v>
      </c>
      <c r="DM126" s="12">
        <f>VLOOKUP(A126,'Données projet'!$A$165:$I$185,9,0)</f>
        <v>-0.37249999999998806</v>
      </c>
      <c r="DN126" s="12">
        <f t="array" ref="DN126">INDEX(DM:DM,MIN(IF(ISNUMBER(DM126:DM322),ROW(DM126:DM322),"")))</f>
        <v>-0.37249999999998806</v>
      </c>
      <c r="DO126" s="12">
        <f>IF('Données projet'!$A$166&gt;35,DO125+DN126-DW125,IF(A126&lt;'Données projet'!$A$166,$DL$205^A126,IF(A126='Données projet'!$A$166,'Données projet'!$B$166,DO125+DN126-DW125)))</f>
        <v>328.09000000000043</v>
      </c>
      <c r="DP126" s="17">
        <f>DO126*VLOOKUP('Données projet'!$B$14,Paramètres!$A$1:$I$89,3,0)*VLOOKUP('Données projet'!$B$14,Paramètres!$A$1:$I$89,5,0)</f>
        <v>220.08277200000032</v>
      </c>
      <c r="DQ126" s="13">
        <f t="shared" si="97"/>
        <v>54.132875411962701</v>
      </c>
      <c r="DR126" s="20">
        <f t="shared" si="70"/>
        <v>477.59225257583557</v>
      </c>
      <c r="DS126" s="59">
        <f t="shared" si="71"/>
        <v>760.2745323926863</v>
      </c>
      <c r="DT126" s="59">
        <f ca="1">AVERAGE(OFFSET($DS$3,0,0,'Données projet'!$E$14+1,1))-AVERAGE(OFFSET($H$3,0,0,'Données projet'!$E$14+1,1))</f>
        <v>441.20130048888439</v>
      </c>
      <c r="DU126" s="59">
        <f t="shared" si="98"/>
        <v>237.47732532183946</v>
      </c>
      <c r="DV126" s="15">
        <f>IF(ISNA(VLOOKUP(A126,'Données projet'!$A$165:$I$185,3,0)),0,VLOOKUP(A126,'Données projet'!$A$165:$I$185,3,0))</f>
        <v>12</v>
      </c>
      <c r="DW126" s="15">
        <f>IF(ISNA(VLOOKUP(A126,'Données projet'!$A$165:$I$185,4,0)),0,VLOOKUP(A126,'Données projet'!$A$165:$I$185,4,0))</f>
        <v>100.6</v>
      </c>
      <c r="DX126" s="16">
        <f>IF(ISNA(VLOOKUP(A126,'Données projet'!$A$165:$I$185,5,0)),0%,VLOOKUP(A126,'Données projet'!$A$165:$I$185,5,0)*VLOOKUP('Données projet'!$B$14,Paramètres!$A$1:$I$89,7,0))</f>
        <v>0.53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202.76549131498871</v>
      </c>
      <c r="EB126" s="21">
        <f>EXP(-LN(2)/25)*EB125+(1-EXP(-LN(2)/25))/(LN(2)/25)*Calculateur!DW126*Calculateur!DY126*VLOOKUP('Données projet'!$B$14,Paramètres!$A$1:$I$89,3,0)*0.475*44/12</f>
        <v>0</v>
      </c>
      <c r="EC126" s="21">
        <f>EXP(-LN(2)/2)*EC125+(1-EXP(-LN(2)/2))/(LN(2)/2)*DW126*DZ126*VLOOKUP('Données projet'!$B$14,Paramètres!$A$1:$I$89,3,0)*0.475*44/12</f>
        <v>0</v>
      </c>
      <c r="ED126" s="22">
        <f t="shared" si="72"/>
        <v>202.76549131498871</v>
      </c>
      <c r="EE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319</v>
      </c>
      <c r="EK126" s="17">
        <f>EJ126*VLOOKUP('Données projet'!$B$15,Paramètres!$A$1:$I$89,3,0)*VLOOKUP('Données projet'!$B$15,Paramètres!$A$1:$I$89,5,0)</f>
        <v>253.79640000000001</v>
      </c>
      <c r="EL126" s="13">
        <f t="shared" si="99"/>
        <v>61.39816832228076</v>
      </c>
      <c r="EM126" s="20">
        <f t="shared" si="73"/>
        <v>548.96387316130563</v>
      </c>
      <c r="EN126" s="59">
        <f t="shared" si="74"/>
        <v>831.64615297815635</v>
      </c>
      <c r="EO126" s="59">
        <f ca="1">AVERAGE(OFFSET($EN$3,0,0,'Données projet'!$E$15+1,1))-AVERAGE(OFFSET($H$3,0,0,'Données projet'!$E$15+1,1))</f>
        <v>377.27600411578322</v>
      </c>
      <c r="EP126" s="59">
        <f t="shared" si="100"/>
        <v>364.58250627635425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>
        <f>EXP(-LN(2)/35)*EV125+(1-EXP(-LN(2)/35))/(LN(2)/35)*ER126*ES126*VLOOKUP('Données projet'!$B$15,Paramètres!$A$1:$I$89,3,0)*0.475*44/12</f>
        <v>22.689003038643282</v>
      </c>
      <c r="EW126" s="21">
        <f>EXP(-LN(2)/25)*EW125+(1-EXP(-LN(2)/25))/(LN(2)/25)*Calculateur!ER126*Calculateur!ET126*VLOOKUP('Données projet'!$B$15,Paramètres!$A$1:$I$89,3,0)*0.475*44/12</f>
        <v>0</v>
      </c>
      <c r="EX126" s="21">
        <f>EXP(-LN(2)/2)*EX125+(1-EXP(-LN(2)/2))/(LN(2)/2)*ER126*EU126*VLOOKUP('Données projet'!$B$15,Paramètres!$A$1:$I$89,3,0)*0.475*44/12</f>
        <v>0</v>
      </c>
      <c r="EY126" s="22">
        <f t="shared" si="75"/>
        <v>22.689003038643282</v>
      </c>
      <c r="EZ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319</v>
      </c>
      <c r="FF126" s="17">
        <f>FE126*VLOOKUP('Données projet'!$B$16,Paramètres!$A$1:$I$89,3,0)*VLOOKUP('Données projet'!$B$16,Paramètres!$A$1:$I$89,5,0)</f>
        <v>258.77280000000002</v>
      </c>
      <c r="FG126" s="13">
        <f t="shared" si="101"/>
        <v>62.460716522234691</v>
      </c>
      <c r="FH126" s="20">
        <f t="shared" si="76"/>
        <v>559.48170794289206</v>
      </c>
      <c r="FI126" s="59">
        <f t="shared" si="77"/>
        <v>842.16398775974267</v>
      </c>
      <c r="FJ126" s="59">
        <f ca="1">AVERAGE(OFFSET($FI$3,0,0,'Données projet'!$E$16+1,1))-AVERAGE(OFFSET($H$3,0,0,'Données projet'!$E$16+1,1))</f>
        <v>383.47399633251354</v>
      </c>
      <c r="FK126" s="59">
        <f t="shared" si="102"/>
        <v>370.49129421395628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>
        <f>EXP(-LN(2)/35)*FQ125+(1-EXP(-LN(2)/35))/(LN(2)/35)*FM126*FN126*VLOOKUP('Données projet'!$B$16,Paramètres!$A$1:$I$89,3,0)*0.475*44/12</f>
        <v>23.133885451165717</v>
      </c>
      <c r="FR126" s="21">
        <f>EXP(-LN(2)/25)*FR125+(1-EXP(-LN(2)/25))/(LN(2)/25)*Calculateur!FM126*Calculateur!FO126*VLOOKUP('Données projet'!$B$16,Paramètres!$A$1:$I$89,3,0)*0.475*44/12</f>
        <v>0</v>
      </c>
      <c r="FS126" s="21">
        <f>EXP(-LN(2)/2)*FS125+(1-EXP(-LN(2)/2))/(LN(2)/2)*FM126*FP126*VLOOKUP('Données projet'!$B$16,Paramètres!$A$1:$I$89,3,0)*0.475*44/12</f>
        <v>0</v>
      </c>
      <c r="FT126" s="22">
        <f t="shared" si="78"/>
        <v>23.133885451165717</v>
      </c>
      <c r="FU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>
        <f>VLOOKUP(A126,'Données projet'!$A$243:$I$263,2,0)</f>
        <v>328.09</v>
      </c>
      <c r="FX126" s="12">
        <f>VLOOKUP(A126,'Données projet'!$A$243:$I$263,9,0)</f>
        <v>-0.37249999999998806</v>
      </c>
      <c r="FY126" s="12">
        <f t="array" ref="FY126">INDEX(FX:FX,MIN(IF(ISNUMBER(FX126:FX322),ROW(FX126:FX322),"")))</f>
        <v>-0.37249999999998806</v>
      </c>
      <c r="FZ126" s="12">
        <f>IF('Données projet'!$A$244&gt;35,FZ125+FY126-GH125,IF(A126&lt;'Données projet'!$A$244,$FW$205^A126,IF(A126='Données projet'!$A$244,'Données projet'!$B$244,FZ125+FY126-GH125)))</f>
        <v>328.09000000000043</v>
      </c>
      <c r="GA126" s="17">
        <f>FZ126*VLOOKUP('Données projet'!$B$17,Paramètres!$A$1:$I$89,3,0)*VLOOKUP('Données projet'!$B$17,Paramètres!$A$1:$I$89,5,0)</f>
        <v>312.21044400000045</v>
      </c>
      <c r="GB126" s="13">
        <f t="shared" si="103"/>
        <v>73.730267790811482</v>
      </c>
      <c r="GC126" s="20">
        <f t="shared" si="79"/>
        <v>672.18007303566412</v>
      </c>
      <c r="GD126" s="59">
        <f t="shared" si="80"/>
        <v>954.86235285251473</v>
      </c>
      <c r="GE126" s="59">
        <f ca="1">AVERAGE(OFFSET($GD$3,0,0,'Données projet'!$E$17+1,1))-AVERAGE(OFFSET($H$3,0,0,'Données projet'!$E$17+1,1))</f>
        <v>592.58528889137358</v>
      </c>
      <c r="GF126" s="59">
        <f t="shared" si="104"/>
        <v>311.31528020403709</v>
      </c>
      <c r="GG126" s="15">
        <f>IF(ISNA(VLOOKUP(A126,'Données projet'!$A$243:$I$263,3,0)),0,VLOOKUP(A126,'Données projet'!$A$243:$I$263,3,0))</f>
        <v>12</v>
      </c>
      <c r="GH126" s="15">
        <f>IF(ISNA(VLOOKUP(A126,'Données projet'!$A$243:$I$263,4,0)),0,VLOOKUP(A126,'Données projet'!$A$243:$I$263,4,0))</f>
        <v>100.6</v>
      </c>
      <c r="GI126" s="16">
        <f>IF(ISNA(VLOOKUP(A126,'Données projet'!$A$243:$I$263,5,0)),0%,VLOOKUP(A126,'Données projet'!$A$243:$I$263,5,0)*VLOOKUP('Données projet'!$B$17,Paramètres!$A$1:$I$89,7,0))</f>
        <v>0.43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>
        <f>EXP(-LN(2)/35)*GL125+(1-EXP(-LN(2)/35))/(LN(2)/35)*GH126*GI126*VLOOKUP('Données projet'!$B$17,Paramètres!$A$1:$I$89,3,0)*0.475*44/12</f>
        <v>233.37160321159081</v>
      </c>
      <c r="GM126" s="21">
        <f>EXP(-LN(2)/25)*GM125+(1-EXP(-LN(2)/25))/(LN(2)/25)*Calculateur!GH126*Calculateur!GJ126*VLOOKUP('Données projet'!$B$17,Paramètres!$A$1:$I$89,3,0)*0.475*44/12</f>
        <v>0</v>
      </c>
      <c r="GN126" s="21">
        <f>EXP(-LN(2)/2)*GN125+(1-EXP(-LN(2)/2))/(LN(2)/2)*GH126*GK126*VLOOKUP('Données projet'!$B$17,Paramètres!$A$1:$I$89,3,0)*0.475*44/12</f>
        <v>0</v>
      </c>
      <c r="GO126" s="21">
        <f t="shared" si="81"/>
        <v>233.37160321159081</v>
      </c>
      <c r="GP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328.00000000000006</v>
      </c>
      <c r="GV126" s="17">
        <f>GU126*VLOOKUP('Données projet'!$B$18,Paramètres!$A$1:$I$89,3,0)*VLOOKUP('Données projet'!$B$18,Paramètres!$A$1:$I$89,5,0)</f>
        <v>255.84000000000006</v>
      </c>
      <c r="GW126" s="13">
        <f t="shared" si="105"/>
        <v>61.834803371075836</v>
      </c>
      <c r="GX126" s="20">
        <f t="shared" si="82"/>
        <v>553.28361587129041</v>
      </c>
      <c r="GY126" s="59">
        <f t="shared" si="83"/>
        <v>835.96589568814102</v>
      </c>
      <c r="GZ126" s="59">
        <f ca="1">AVERAGE(OFFSET($GY$3,0,0,'Données projet'!$E$18+1,1))-AVERAGE(OFFSET($H$3,0,0,'Données projet'!$E$18+1,1))</f>
        <v>308.85018589589453</v>
      </c>
      <c r="HA126" s="59">
        <f t="shared" si="106"/>
        <v>302.59481222418219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>
        <f>EXP(-LN(2)/35)*HG125+(1-EXP(-LN(2)/35))/(LN(2)/35)*HC126*HD126*VLOOKUP('Données projet'!$B$18,Paramètres!$A$1:$I$89,3,0)*0.475*44/12</f>
        <v>17.290740222591051</v>
      </c>
      <c r="HH126" s="21">
        <f>EXP(-LN(2)/25)*HH125+(1-EXP(-LN(2)/25))/(LN(2)/25)*Calculateur!HC126*Calculateur!HE126*VLOOKUP('Données projet'!$B$18,Paramètres!$A$1:$I$89,3,0)*0.475*44/12</f>
        <v>0</v>
      </c>
      <c r="HI126" s="21">
        <f>EXP(-LN(2)/2)*HI125+(1-EXP(-LN(2)/2))/(LN(2)/2)*HC126*HF126*VLOOKUP('Données projet'!$B$18,Paramètres!$A$1:$I$89,3,0)*0.475*44/12</f>
        <v>0</v>
      </c>
      <c r="HJ126" s="22">
        <f t="shared" si="84"/>
        <v>17.290740222591051</v>
      </c>
    </row>
    <row r="127" spans="1:218" x14ac:dyDescent="0.35">
      <c r="A127" s="10">
        <f t="shared" si="85"/>
        <v>124</v>
      </c>
      <c r="B127" s="72">
        <f>'Scénario référence'!$B$16*5+'Scénario référence'!$B$17*0+'Scénario référence'!$B$18*5</f>
        <v>5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66">
        <f t="shared" si="56"/>
        <v>183.33333333333334</v>
      </c>
      <c r="I127" s="6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0.19750000000000512</v>
      </c>
      <c r="N127" s="13">
        <f>IF('Données projet'!$A$36&gt;35,N126+M127-V126,IF(A127&lt;'Données projet'!$A$36,$K$205^A127,IF(A127='Données projet'!$A$36,'Données projet'!$B$36,N126+M127-V126)))</f>
        <v>227.68750000000043</v>
      </c>
      <c r="O127" s="13">
        <f>N127*VLOOKUP('Données projet'!$B$9,Paramètres!$A$1:$I$89,3,0)*VLOOKUP('Données projet'!$B$9,Paramètres!$A$1:$I$89,5,0)</f>
        <v>206.01165000000037</v>
      </c>
      <c r="P127" s="13">
        <f t="shared" si="87"/>
        <v>51.063060633166664</v>
      </c>
      <c r="Q127" s="20">
        <f t="shared" si="107"/>
        <v>447.73845435276593</v>
      </c>
      <c r="R127" s="59">
        <f t="shared" si="55"/>
        <v>730.60550613593932</v>
      </c>
      <c r="S127" s="59">
        <f ca="1">AVERAGE(OFFSET($R$3,0,0,'Données projet'!$E$9+1,1))-AVERAGE(OFFSET($H$3,0,0,'Données projet'!$E$9+1,1))</f>
        <v>567.42635821507474</v>
      </c>
      <c r="T127" s="59">
        <f t="shared" si="88"/>
        <v>299.04735309930152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217.54309914891127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217.54309914891127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0.19750000000000512</v>
      </c>
      <c r="AI127" s="13">
        <f>IF('Données projet'!$A$62&gt;35,AI126+AH127-AQ126,IF(A127&lt;'Données projet'!$A$62,$AF$205^A127,IF(A127='Données projet'!$A$62,'Données projet'!$B$62,AI126+AH127-AQ126)))</f>
        <v>227.68750000000043</v>
      </c>
      <c r="AJ127" s="13">
        <f>AI127*VLOOKUP('Données projet'!$B$10,Paramètres!$A$1:$I$89,3,0)*VLOOKUP('Données projet'!$B$10,Paramètres!$A$1:$I$89,5,0)</f>
        <v>230.87512500000042</v>
      </c>
      <c r="AK127" s="13">
        <f t="shared" si="89"/>
        <v>56.471862173466945</v>
      </c>
      <c r="AL127" s="20">
        <f t="shared" si="58"/>
        <v>500.46266932712228</v>
      </c>
      <c r="AM127" s="59">
        <f t="shared" si="59"/>
        <v>783.32972111029562</v>
      </c>
      <c r="AN127" s="59">
        <f ca="1">AVERAGE(OFFSET($AM$3,0,0,'Données projet'!$E$10+1,1))-AVERAGE(OFFSET($H$3,0,0,'Données projet'!$E$10+1,1))</f>
        <v>626.09203985591455</v>
      </c>
      <c r="AO127" s="59">
        <f t="shared" si="90"/>
        <v>327.65191296575199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243.79830077033165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243.79830077033165</v>
      </c>
      <c r="AY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404.00000000000017</v>
      </c>
      <c r="BE127" s="13">
        <f>BD127*VLOOKUP('Données projet'!$B$11,Paramètres!$A$1:$I$89,3,0)*VLOOKUP('Données projet'!$B$11,Paramètres!$A$1:$I$89,5,0)</f>
        <v>346.63200000000018</v>
      </c>
      <c r="BF127" s="13">
        <f t="shared" si="91"/>
        <v>80.868615263336864</v>
      </c>
      <c r="BG127" s="20">
        <f t="shared" si="61"/>
        <v>744.56357158364528</v>
      </c>
      <c r="BH127" s="59">
        <f t="shared" si="62"/>
        <v>1027.4306233668185</v>
      </c>
      <c r="BI127" s="59">
        <f ca="1">AVERAGE(OFFSET($BH$3,0,0,'Données projet'!$E$11+1,1))-AVERAGE(OFFSET($H$3,0,0,'Données projet'!$E$11+1,1))</f>
        <v>481.23392184981651</v>
      </c>
      <c r="BJ127" s="59">
        <f t="shared" si="92"/>
        <v>275.88160405468193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92.343046847553708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92.343046847553708</v>
      </c>
      <c r="BT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5.2499999999990337</v>
      </c>
      <c r="BZ127" s="13">
        <f>BY127*VLOOKUP('Données projet'!$B$12,Paramètres!$A$1:$I$89,3,0)*VLOOKUP('Données projet'!$B$12,Paramètres!$A$1:$I$89,5,0)</f>
        <v>2.4569999999995478</v>
      </c>
      <c r="CA127" s="13">
        <f t="shared" si="93"/>
        <v>1.0197977774625564</v>
      </c>
      <c r="CB127" s="20">
        <f t="shared" si="64"/>
        <v>6.0554227957464972</v>
      </c>
      <c r="CC127" s="59">
        <f t="shared" si="65"/>
        <v>288.92247457891983</v>
      </c>
      <c r="CD127" s="59">
        <f ca="1">AVERAGE(OFFSET($CC$3,0,0,'Données projet'!$E$12+1,1))-AVERAGE(OFFSET($H$3,0,0,'Données projet'!$E$12+1,1))</f>
        <v>331.86732359395467</v>
      </c>
      <c r="CE127" s="59">
        <f t="shared" si="94"/>
        <v>208.64489375183106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180.4659283123348</v>
      </c>
      <c r="CL127" s="21">
        <f>EXP(-LN(2)/25)*CL126+(1-EXP(-LN(2)/25))/(LN(2)/25)*Calculateur!CG127*Calculateur!CI127*VLOOKUP('Données projet'!$B$12,Paramètres!$A$1:$I$89,3,0)*0.475*44/12</f>
        <v>0</v>
      </c>
      <c r="CM127" s="21">
        <f>EXP(-LN(2)/2)*CM126+(1-EXP(-LN(2)/2))/(LN(2)/2)*CG127*CJ127*VLOOKUP('Données projet'!$B$12,Paramètres!$A$1:$I$89,3,0)*0.475*44/12</f>
        <v>0</v>
      </c>
      <c r="CN127" s="22">
        <f t="shared" si="66"/>
        <v>180.4659283123348</v>
      </c>
      <c r="CO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319</v>
      </c>
      <c r="CU127" s="17">
        <f>CT127*VLOOKUP('Données projet'!$B$13,Paramètres!$A$1:$I$89,3,0)*VLOOKUP('Données projet'!$B$13,Paramètres!$A$1:$I$89,5,0)</f>
        <v>233.89079999999998</v>
      </c>
      <c r="CV127" s="13">
        <f t="shared" si="95"/>
        <v>57.123140349023068</v>
      </c>
      <c r="CW127" s="20">
        <f t="shared" si="67"/>
        <v>506.84927944121517</v>
      </c>
      <c r="CX127" s="59">
        <f t="shared" si="68"/>
        <v>789.71633122438857</v>
      </c>
      <c r="CY127" s="59">
        <f ca="1">AVERAGE(OFFSET($CX$3,0,0,'Données projet'!$E$13+1,1))-AVERAGE(OFFSET($H$3,0,0,'Données projet'!$E$13+1,1))</f>
        <v>352.45777291109863</v>
      </c>
      <c r="CZ127" s="59">
        <f t="shared" si="96"/>
        <v>340.92165104349181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16.6316303559191</v>
      </c>
      <c r="DG127" s="21">
        <f>EXP(-LN(2)/25)*DG126+(1-EXP(-LN(2)/25))/(LN(2)/25)*Calculateur!DB127*Calculateur!DD127*VLOOKUP('Données projet'!$B$13,Paramètres!$A$1:$I$89,3,0)*0.475*44/12</f>
        <v>0</v>
      </c>
      <c r="DH127" s="21">
        <f>EXP(-LN(2)/2)*DH126+(1-EXP(-LN(2)/2))/(LN(2)/2)*DB127*DE127*VLOOKUP('Données projet'!$B$13,Paramètres!$A$1:$I$89,3,0)*0.475*44/12</f>
        <v>0</v>
      </c>
      <c r="DI127" s="22">
        <f t="shared" si="69"/>
        <v>16.6316303559191</v>
      </c>
      <c r="DJ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0.19750000000000512</v>
      </c>
      <c r="DO127" s="12">
        <f>IF('Données projet'!$A$166&gt;35,DO126+DN127-DW126,IF(A127&lt;'Données projet'!$A$166,$DL$205^A127,IF(A127='Données projet'!$A$166,'Données projet'!$B$166,DO126+DN127-DW126)))</f>
        <v>227.68750000000043</v>
      </c>
      <c r="DP127" s="17">
        <f>DO127*VLOOKUP('Données projet'!$B$14,Paramètres!$A$1:$I$89,3,0)*VLOOKUP('Données projet'!$B$14,Paramètres!$A$1:$I$89,5,0)</f>
        <v>152.73277500000029</v>
      </c>
      <c r="DQ127" s="13">
        <f t="shared" si="97"/>
        <v>39.198964476044708</v>
      </c>
      <c r="DR127" s="20">
        <f t="shared" si="70"/>
        <v>334.2811129207783</v>
      </c>
      <c r="DS127" s="59">
        <f t="shared" si="71"/>
        <v>617.14816470395158</v>
      </c>
      <c r="DT127" s="59">
        <f ca="1">AVERAGE(OFFSET($DS$3,0,0,'Données projet'!$E$14+1,1))-AVERAGE(OFFSET($H$3,0,0,'Données projet'!$E$14+1,1))</f>
        <v>441.20130048888439</v>
      </c>
      <c r="DU127" s="59">
        <f t="shared" si="98"/>
        <v>237.47732532183946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198.78938370503963</v>
      </c>
      <c r="EB127" s="21">
        <f>EXP(-LN(2)/25)*EB126+(1-EXP(-LN(2)/25))/(LN(2)/25)*Calculateur!DW127*Calculateur!DY127*VLOOKUP('Données projet'!$B$14,Paramètres!$A$1:$I$89,3,0)*0.475*44/12</f>
        <v>0</v>
      </c>
      <c r="EC127" s="21">
        <f>EXP(-LN(2)/2)*EC126+(1-EXP(-LN(2)/2))/(LN(2)/2)*DW127*DZ127*VLOOKUP('Données projet'!$B$14,Paramètres!$A$1:$I$89,3,0)*0.475*44/12</f>
        <v>0</v>
      </c>
      <c r="ED127" s="22">
        <f t="shared" si="72"/>
        <v>198.78938370503963</v>
      </c>
      <c r="EE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319</v>
      </c>
      <c r="EK127" s="17">
        <f>EJ127*VLOOKUP('Données projet'!$B$15,Paramètres!$A$1:$I$89,3,0)*VLOOKUP('Données projet'!$B$15,Paramètres!$A$1:$I$89,5,0)</f>
        <v>253.79640000000001</v>
      </c>
      <c r="EL127" s="13">
        <f t="shared" si="99"/>
        <v>61.39816832228076</v>
      </c>
      <c r="EM127" s="20">
        <f t="shared" si="73"/>
        <v>548.96387316130563</v>
      </c>
      <c r="EN127" s="59">
        <f t="shared" si="74"/>
        <v>831.83092494447897</v>
      </c>
      <c r="EO127" s="59">
        <f ca="1">AVERAGE(OFFSET($EN$3,0,0,'Données projet'!$E$15+1,1))-AVERAGE(OFFSET($H$3,0,0,'Données projet'!$E$15+1,1))</f>
        <v>377.27600411578322</v>
      </c>
      <c r="EP127" s="59">
        <f t="shared" si="100"/>
        <v>364.58250627635425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>
        <f>EXP(-LN(2)/35)*EV126+(1-EXP(-LN(2)/35))/(LN(2)/35)*ER127*ES127*VLOOKUP('Données projet'!$B$15,Paramètres!$A$1:$I$89,3,0)*0.475*44/12</f>
        <v>22.244085527980861</v>
      </c>
      <c r="EW127" s="21">
        <f>EXP(-LN(2)/25)*EW126+(1-EXP(-LN(2)/25))/(LN(2)/25)*Calculateur!ER127*Calculateur!ET127*VLOOKUP('Données projet'!$B$15,Paramètres!$A$1:$I$89,3,0)*0.475*44/12</f>
        <v>0</v>
      </c>
      <c r="EX127" s="21">
        <f>EXP(-LN(2)/2)*EX126+(1-EXP(-LN(2)/2))/(LN(2)/2)*ER127*EU127*VLOOKUP('Données projet'!$B$15,Paramètres!$A$1:$I$89,3,0)*0.475*44/12</f>
        <v>0</v>
      </c>
      <c r="EY127" s="22">
        <f t="shared" si="75"/>
        <v>22.244085527980861</v>
      </c>
      <c r="EZ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319</v>
      </c>
      <c r="FF127" s="17">
        <f>FE127*VLOOKUP('Données projet'!$B$16,Paramètres!$A$1:$I$89,3,0)*VLOOKUP('Données projet'!$B$16,Paramètres!$A$1:$I$89,5,0)</f>
        <v>258.77280000000002</v>
      </c>
      <c r="FG127" s="13">
        <f t="shared" si="101"/>
        <v>62.460716522234691</v>
      </c>
      <c r="FH127" s="20">
        <f t="shared" si="76"/>
        <v>559.48170794289206</v>
      </c>
      <c r="FI127" s="59">
        <f t="shared" si="77"/>
        <v>842.3487597260654</v>
      </c>
      <c r="FJ127" s="59">
        <f ca="1">AVERAGE(OFFSET($FI$3,0,0,'Données projet'!$E$16+1,1))-AVERAGE(OFFSET($H$3,0,0,'Données projet'!$E$16+1,1))</f>
        <v>383.47399633251354</v>
      </c>
      <c r="FK127" s="59">
        <f t="shared" si="102"/>
        <v>370.49129421395628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>
        <f>EXP(-LN(2)/35)*FQ126+(1-EXP(-LN(2)/35))/(LN(2)/35)*FM127*FN127*VLOOKUP('Données projet'!$B$16,Paramètres!$A$1:$I$89,3,0)*0.475*44/12</f>
        <v>22.68024406774521</v>
      </c>
      <c r="FR127" s="21">
        <f>EXP(-LN(2)/25)*FR126+(1-EXP(-LN(2)/25))/(LN(2)/25)*Calculateur!FM127*Calculateur!FO127*VLOOKUP('Données projet'!$B$16,Paramètres!$A$1:$I$89,3,0)*0.475*44/12</f>
        <v>0</v>
      </c>
      <c r="FS127" s="21">
        <f>EXP(-LN(2)/2)*FS126+(1-EXP(-LN(2)/2))/(LN(2)/2)*FM127*FP127*VLOOKUP('Données projet'!$B$16,Paramètres!$A$1:$I$89,3,0)*0.475*44/12</f>
        <v>0</v>
      </c>
      <c r="FT127" s="22">
        <f t="shared" si="78"/>
        <v>22.68024406774521</v>
      </c>
      <c r="FU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0.19750000000000512</v>
      </c>
      <c r="FZ127" s="12">
        <f>IF('Données projet'!$A$244&gt;35,FZ126+FY127-GH126,IF(A127&lt;'Données projet'!$A$244,$FW$205^A127,IF(A127='Données projet'!$A$244,'Données projet'!$B$244,FZ126+FY127-GH126)))</f>
        <v>227.68750000000043</v>
      </c>
      <c r="GA127" s="17">
        <f>FZ127*VLOOKUP('Données projet'!$B$17,Paramètres!$A$1:$I$89,3,0)*VLOOKUP('Données projet'!$B$17,Paramètres!$A$1:$I$89,5,0)</f>
        <v>216.66742500000041</v>
      </c>
      <c r="GB127" s="13">
        <f t="shared" si="103"/>
        <v>53.389924809030042</v>
      </c>
      <c r="GC127" s="20">
        <f t="shared" si="79"/>
        <v>470.34988425072794</v>
      </c>
      <c r="GD127" s="59">
        <f t="shared" si="80"/>
        <v>753.21693603390122</v>
      </c>
      <c r="GE127" s="59">
        <f ca="1">AVERAGE(OFFSET($GD$3,0,0,'Données projet'!$E$17+1,1))-AVERAGE(OFFSET($H$3,0,0,'Données projet'!$E$17+1,1))</f>
        <v>592.58528889137358</v>
      </c>
      <c r="GF127" s="59">
        <f t="shared" si="104"/>
        <v>311.31528020403709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>
        <f>EXP(-LN(2)/35)*GL126+(1-EXP(-LN(2)/35))/(LN(2)/35)*GH127*GI127*VLOOKUP('Données projet'!$B$17,Paramètres!$A$1:$I$89,3,0)*0.475*44/12</f>
        <v>228.79532841523431</v>
      </c>
      <c r="GM127" s="21">
        <f>EXP(-LN(2)/25)*GM126+(1-EXP(-LN(2)/25))/(LN(2)/25)*Calculateur!GH127*Calculateur!GJ127*VLOOKUP('Données projet'!$B$17,Paramètres!$A$1:$I$89,3,0)*0.475*44/12</f>
        <v>0</v>
      </c>
      <c r="GN127" s="21">
        <f>EXP(-LN(2)/2)*GN126+(1-EXP(-LN(2)/2))/(LN(2)/2)*GH127*GK127*VLOOKUP('Données projet'!$B$17,Paramètres!$A$1:$I$89,3,0)*0.475*44/12</f>
        <v>0</v>
      </c>
      <c r="GO127" s="21">
        <f t="shared" si="81"/>
        <v>228.79532841523431</v>
      </c>
      <c r="GP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328.00000000000006</v>
      </c>
      <c r="GV127" s="17">
        <f>GU127*VLOOKUP('Données projet'!$B$18,Paramètres!$A$1:$I$89,3,0)*VLOOKUP('Données projet'!$B$18,Paramètres!$A$1:$I$89,5,0)</f>
        <v>255.84000000000006</v>
      </c>
      <c r="GW127" s="13">
        <f t="shared" si="105"/>
        <v>61.834803371075836</v>
      </c>
      <c r="GX127" s="20">
        <f t="shared" si="82"/>
        <v>553.28361587129041</v>
      </c>
      <c r="GY127" s="59">
        <f t="shared" si="83"/>
        <v>836.15066765446375</v>
      </c>
      <c r="GZ127" s="59">
        <f ca="1">AVERAGE(OFFSET($GY$3,0,0,'Données projet'!$E$18+1,1))-AVERAGE(OFFSET($H$3,0,0,'Données projet'!$E$18+1,1))</f>
        <v>308.85018589589453</v>
      </c>
      <c r="HA127" s="59">
        <f t="shared" si="106"/>
        <v>302.59481222418219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>
        <f>EXP(-LN(2)/35)*HG126+(1-EXP(-LN(2)/35))/(LN(2)/35)*HC127*HD127*VLOOKUP('Données projet'!$B$18,Paramètres!$A$1:$I$89,3,0)*0.475*44/12</f>
        <v>16.951679353136214</v>
      </c>
      <c r="HH127" s="21">
        <f>EXP(-LN(2)/25)*HH126+(1-EXP(-LN(2)/25))/(LN(2)/25)*Calculateur!HC127*Calculateur!HE127*VLOOKUP('Données projet'!$B$18,Paramètres!$A$1:$I$89,3,0)*0.475*44/12</f>
        <v>0</v>
      </c>
      <c r="HI127" s="21">
        <f>EXP(-LN(2)/2)*HI126+(1-EXP(-LN(2)/2))/(LN(2)/2)*HC127*HF127*VLOOKUP('Données projet'!$B$18,Paramètres!$A$1:$I$89,3,0)*0.475*44/12</f>
        <v>0</v>
      </c>
      <c r="HJ127" s="22">
        <f t="shared" si="84"/>
        <v>16.951679353136214</v>
      </c>
    </row>
    <row r="128" spans="1:218" x14ac:dyDescent="0.35">
      <c r="A128" s="10">
        <f t="shared" si="85"/>
        <v>125</v>
      </c>
      <c r="B128" s="72">
        <f>'Scénario référence'!$B$16*5+'Scénario référence'!$B$17*0+'Scénario référence'!$B$18*5</f>
        <v>5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66">
        <f t="shared" si="56"/>
        <v>183.33333333333334</v>
      </c>
      <c r="I128" s="6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0.19750000000000512</v>
      </c>
      <c r="N128" s="13">
        <f>IF('Données projet'!$A$36&gt;35,N127+M128-V127,IF(A128&lt;'Données projet'!$A$36,$K$205^A128,IF(A128='Données projet'!$A$36,'Données projet'!$B$36,N127+M128-V127)))</f>
        <v>227.88500000000045</v>
      </c>
      <c r="O128" s="13">
        <f>N128*VLOOKUP('Données projet'!$B$9,Paramètres!$A$1:$I$89,3,0)*VLOOKUP('Données projet'!$B$9,Paramètres!$A$1:$I$89,5,0)</f>
        <v>206.19034800000037</v>
      </c>
      <c r="P128" s="13">
        <f t="shared" si="87"/>
        <v>51.102195921911175</v>
      </c>
      <c r="Q128" s="20">
        <f t="shared" si="107"/>
        <v>448.11784733066253</v>
      </c>
      <c r="R128" s="59">
        <f t="shared" si="55"/>
        <v>731.16646569963109</v>
      </c>
      <c r="S128" s="59">
        <f ca="1">AVERAGE(OFFSET($R$3,0,0,'Données projet'!$E$9+1,1))-AVERAGE(OFFSET($H$3,0,0,'Données projet'!$E$9+1,1))</f>
        <v>567.42635821507474</v>
      </c>
      <c r="T128" s="59">
        <f t="shared" si="88"/>
        <v>299.04735309930152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213.27721166278974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213.27721166278974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0.19750000000000512</v>
      </c>
      <c r="AI128" s="13">
        <f>IF('Données projet'!$A$62&gt;35,AI127+AH128-AQ127,IF(A128&lt;'Données projet'!$A$62,$AF$205^A128,IF(A128='Données projet'!$A$62,'Données projet'!$B$62,AI127+AH128-AQ127)))</f>
        <v>227.88500000000045</v>
      </c>
      <c r="AJ128" s="13">
        <f>AI128*VLOOKUP('Données projet'!$B$10,Paramètres!$A$1:$I$89,3,0)*VLOOKUP('Données projet'!$B$10,Paramètres!$A$1:$I$89,5,0)</f>
        <v>231.07539000000048</v>
      </c>
      <c r="AK128" s="13">
        <f t="shared" si="89"/>
        <v>56.515142826931459</v>
      </c>
      <c r="AL128" s="20">
        <f t="shared" si="58"/>
        <v>500.88684467357308</v>
      </c>
      <c r="AM128" s="59">
        <f t="shared" si="59"/>
        <v>783.93546304254164</v>
      </c>
      <c r="AN128" s="59">
        <f ca="1">AVERAGE(OFFSET($AM$3,0,0,'Données projet'!$E$10+1,1))-AVERAGE(OFFSET($H$3,0,0,'Données projet'!$E$10+1,1))</f>
        <v>626.09203985591455</v>
      </c>
      <c r="AO128" s="59">
        <f t="shared" si="90"/>
        <v>327.65191296575199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239.01756479450577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239.01756479450577</v>
      </c>
      <c r="AY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404.00000000000017</v>
      </c>
      <c r="BE128" s="13">
        <f>BD128*VLOOKUP('Données projet'!$B$11,Paramètres!$A$1:$I$89,3,0)*VLOOKUP('Données projet'!$B$11,Paramètres!$A$1:$I$89,5,0)</f>
        <v>346.63200000000018</v>
      </c>
      <c r="BF128" s="13">
        <f t="shared" si="91"/>
        <v>80.868615263336864</v>
      </c>
      <c r="BG128" s="20">
        <f t="shared" si="61"/>
        <v>744.56357158364528</v>
      </c>
      <c r="BH128" s="59">
        <f t="shared" si="62"/>
        <v>1027.6121899526138</v>
      </c>
      <c r="BI128" s="59">
        <f ca="1">AVERAGE(OFFSET($BH$3,0,0,'Données projet'!$E$11+1,1))-AVERAGE(OFFSET($H$3,0,0,'Données projet'!$E$11+1,1))</f>
        <v>481.23392184981651</v>
      </c>
      <c r="BJ128" s="59">
        <f t="shared" si="92"/>
        <v>275.88160405468193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90.532256022570252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90.532256022570252</v>
      </c>
      <c r="BT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5.2499999999990337</v>
      </c>
      <c r="BZ128" s="13">
        <f>BY128*VLOOKUP('Données projet'!$B$12,Paramètres!$A$1:$I$89,3,0)*VLOOKUP('Données projet'!$B$12,Paramètres!$A$1:$I$89,5,0)</f>
        <v>2.4569999999995478</v>
      </c>
      <c r="CA128" s="13">
        <f t="shared" si="93"/>
        <v>1.0197977774625564</v>
      </c>
      <c r="CB128" s="20">
        <f t="shared" si="64"/>
        <v>6.0554227957464972</v>
      </c>
      <c r="CC128" s="59">
        <f t="shared" si="65"/>
        <v>289.104041164715</v>
      </c>
      <c r="CD128" s="59">
        <f ca="1">AVERAGE(OFFSET($CC$3,0,0,'Données projet'!$E$12+1,1))-AVERAGE(OFFSET($H$3,0,0,'Données projet'!$E$12+1,1))</f>
        <v>331.86732359395467</v>
      </c>
      <c r="CE128" s="59">
        <f t="shared" si="94"/>
        <v>208.64489375183106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176.92710153147735</v>
      </c>
      <c r="CL128" s="21">
        <f>EXP(-LN(2)/25)*CL127+(1-EXP(-LN(2)/25))/(LN(2)/25)*Calculateur!CG128*Calculateur!CI128*VLOOKUP('Données projet'!$B$12,Paramètres!$A$1:$I$89,3,0)*0.475*44/12</f>
        <v>0</v>
      </c>
      <c r="CM128" s="21">
        <f>EXP(-LN(2)/2)*CM127+(1-EXP(-LN(2)/2))/(LN(2)/2)*CG128*CJ128*VLOOKUP('Données projet'!$B$12,Paramètres!$A$1:$I$89,3,0)*0.475*44/12</f>
        <v>0</v>
      </c>
      <c r="CN128" s="22">
        <f t="shared" si="66"/>
        <v>176.92710153147735</v>
      </c>
      <c r="CO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319</v>
      </c>
      <c r="CU128" s="17">
        <f>CT128*VLOOKUP('Données projet'!$B$13,Paramètres!$A$1:$I$89,3,0)*VLOOKUP('Données projet'!$B$13,Paramètres!$A$1:$I$89,5,0)</f>
        <v>233.89079999999998</v>
      </c>
      <c r="CV128" s="13">
        <f t="shared" si="95"/>
        <v>57.123140349023068</v>
      </c>
      <c r="CW128" s="20">
        <f t="shared" si="67"/>
        <v>506.84927944121517</v>
      </c>
      <c r="CX128" s="59">
        <f t="shared" si="68"/>
        <v>789.89789781018362</v>
      </c>
      <c r="CY128" s="59">
        <f ca="1">AVERAGE(OFFSET($CX$3,0,0,'Données projet'!$E$13+1,1))-AVERAGE(OFFSET($H$3,0,0,'Données projet'!$E$13+1,1))</f>
        <v>352.45777291109863</v>
      </c>
      <c r="CZ128" s="59">
        <f t="shared" si="96"/>
        <v>340.92165104349181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16.305494228932378</v>
      </c>
      <c r="DG128" s="21">
        <f>EXP(-LN(2)/25)*DG127+(1-EXP(-LN(2)/25))/(LN(2)/25)*Calculateur!DB128*Calculateur!DD128*VLOOKUP('Données projet'!$B$13,Paramètres!$A$1:$I$89,3,0)*0.475*44/12</f>
        <v>0</v>
      </c>
      <c r="DH128" s="21">
        <f>EXP(-LN(2)/2)*DH127+(1-EXP(-LN(2)/2))/(LN(2)/2)*DB128*DE128*VLOOKUP('Données projet'!$B$13,Paramètres!$A$1:$I$89,3,0)*0.475*44/12</f>
        <v>0</v>
      </c>
      <c r="DI128" s="22">
        <f t="shared" si="69"/>
        <v>16.305494228932378</v>
      </c>
      <c r="DJ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0.19750000000000512</v>
      </c>
      <c r="DO128" s="12">
        <f>IF('Données projet'!$A$166&gt;35,DO127+DN128-DW127,IF(A128&lt;'Données projet'!$A$166,$DL$205^A128,IF(A128='Données projet'!$A$166,'Données projet'!$B$166,DO127+DN128-DW127)))</f>
        <v>227.88500000000045</v>
      </c>
      <c r="DP128" s="17">
        <f>DO128*VLOOKUP('Données projet'!$B$14,Paramètres!$A$1:$I$89,3,0)*VLOOKUP('Données projet'!$B$14,Paramètres!$A$1:$I$89,5,0)</f>
        <v>152.8652580000003</v>
      </c>
      <c r="DQ128" s="13">
        <f t="shared" si="97"/>
        <v>39.229006991597707</v>
      </c>
      <c r="DR128" s="20">
        <f t="shared" si="70"/>
        <v>334.56417819369989</v>
      </c>
      <c r="DS128" s="59">
        <f t="shared" si="71"/>
        <v>617.61279656266834</v>
      </c>
      <c r="DT128" s="59">
        <f ca="1">AVERAGE(OFFSET($DS$3,0,0,'Données projet'!$E$14+1,1))-AVERAGE(OFFSET($H$3,0,0,'Données projet'!$E$14+1,1))</f>
        <v>441.20130048888439</v>
      </c>
      <c r="DU128" s="59">
        <f t="shared" si="98"/>
        <v>237.47732532183946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194.89124514013545</v>
      </c>
      <c r="EB128" s="21">
        <f>EXP(-LN(2)/25)*EB127+(1-EXP(-LN(2)/25))/(LN(2)/25)*Calculateur!DW128*Calculateur!DY128*VLOOKUP('Données projet'!$B$14,Paramètres!$A$1:$I$89,3,0)*0.475*44/12</f>
        <v>0</v>
      </c>
      <c r="EC128" s="21">
        <f>EXP(-LN(2)/2)*EC127+(1-EXP(-LN(2)/2))/(LN(2)/2)*DW128*DZ128*VLOOKUP('Données projet'!$B$14,Paramètres!$A$1:$I$89,3,0)*0.475*44/12</f>
        <v>0</v>
      </c>
      <c r="ED128" s="22">
        <f t="shared" si="72"/>
        <v>194.89124514013545</v>
      </c>
      <c r="EE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319</v>
      </c>
      <c r="EK128" s="17">
        <f>EJ128*VLOOKUP('Données projet'!$B$15,Paramètres!$A$1:$I$89,3,0)*VLOOKUP('Données projet'!$B$15,Paramètres!$A$1:$I$89,5,0)</f>
        <v>253.79640000000001</v>
      </c>
      <c r="EL128" s="13">
        <f t="shared" si="99"/>
        <v>61.39816832228076</v>
      </c>
      <c r="EM128" s="20">
        <f t="shared" si="73"/>
        <v>548.96387316130563</v>
      </c>
      <c r="EN128" s="59">
        <f t="shared" si="74"/>
        <v>832.01249153027413</v>
      </c>
      <c r="EO128" s="59">
        <f ca="1">AVERAGE(OFFSET($EN$3,0,0,'Données projet'!$E$15+1,1))-AVERAGE(OFFSET($H$3,0,0,'Données projet'!$E$15+1,1))</f>
        <v>377.27600411578322</v>
      </c>
      <c r="EP128" s="59">
        <f t="shared" si="100"/>
        <v>364.58250627635425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>
        <f>EXP(-LN(2)/35)*EV127+(1-EXP(-LN(2)/35))/(LN(2)/35)*ER128*ES128*VLOOKUP('Données projet'!$B$15,Paramètres!$A$1:$I$89,3,0)*0.475*44/12</f>
        <v>21.807892578329643</v>
      </c>
      <c r="EW128" s="21">
        <f>EXP(-LN(2)/25)*EW127+(1-EXP(-LN(2)/25))/(LN(2)/25)*Calculateur!ER128*Calculateur!ET128*VLOOKUP('Données projet'!$B$15,Paramètres!$A$1:$I$89,3,0)*0.475*44/12</f>
        <v>0</v>
      </c>
      <c r="EX128" s="21">
        <f>EXP(-LN(2)/2)*EX127+(1-EXP(-LN(2)/2))/(LN(2)/2)*ER128*EU128*VLOOKUP('Données projet'!$B$15,Paramètres!$A$1:$I$89,3,0)*0.475*44/12</f>
        <v>0</v>
      </c>
      <c r="EY128" s="22">
        <f t="shared" si="75"/>
        <v>21.807892578329643</v>
      </c>
      <c r="EZ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319</v>
      </c>
      <c r="FF128" s="17">
        <f>FE128*VLOOKUP('Données projet'!$B$16,Paramètres!$A$1:$I$89,3,0)*VLOOKUP('Données projet'!$B$16,Paramètres!$A$1:$I$89,5,0)</f>
        <v>258.77280000000002</v>
      </c>
      <c r="FG128" s="13">
        <f t="shared" si="101"/>
        <v>62.460716522234691</v>
      </c>
      <c r="FH128" s="20">
        <f t="shared" si="76"/>
        <v>559.48170794289206</v>
      </c>
      <c r="FI128" s="59">
        <f t="shared" si="77"/>
        <v>842.53032631186056</v>
      </c>
      <c r="FJ128" s="59">
        <f ca="1">AVERAGE(OFFSET($FI$3,0,0,'Données projet'!$E$16+1,1))-AVERAGE(OFFSET($H$3,0,0,'Données projet'!$E$16+1,1))</f>
        <v>383.47399633251354</v>
      </c>
      <c r="FK128" s="59">
        <f t="shared" si="102"/>
        <v>370.49129421395628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>
        <f>EXP(-LN(2)/35)*FQ127+(1-EXP(-LN(2)/35))/(LN(2)/35)*FM128*FN128*VLOOKUP('Données projet'!$B$16,Paramètres!$A$1:$I$89,3,0)*0.475*44/12</f>
        <v>22.235498315159656</v>
      </c>
      <c r="FR128" s="21">
        <f>EXP(-LN(2)/25)*FR127+(1-EXP(-LN(2)/25))/(LN(2)/25)*Calculateur!FM128*Calculateur!FO128*VLOOKUP('Données projet'!$B$16,Paramètres!$A$1:$I$89,3,0)*0.475*44/12</f>
        <v>0</v>
      </c>
      <c r="FS128" s="21">
        <f>EXP(-LN(2)/2)*FS127+(1-EXP(-LN(2)/2))/(LN(2)/2)*FM128*FP128*VLOOKUP('Données projet'!$B$16,Paramètres!$A$1:$I$89,3,0)*0.475*44/12</f>
        <v>0</v>
      </c>
      <c r="FT128" s="22">
        <f t="shared" si="78"/>
        <v>22.235498315159656</v>
      </c>
      <c r="FU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0.19750000000000512</v>
      </c>
      <c r="FZ128" s="12">
        <f>IF('Données projet'!$A$244&gt;35,FZ127+FY128-GH127,IF(A128&lt;'Données projet'!$A$244,$FW$205^A128,IF(A128='Données projet'!$A$244,'Données projet'!$B$244,FZ127+FY128-GH127)))</f>
        <v>227.88500000000045</v>
      </c>
      <c r="GA128" s="17">
        <f>FZ128*VLOOKUP('Données projet'!$B$17,Paramètres!$A$1:$I$89,3,0)*VLOOKUP('Données projet'!$B$17,Paramètres!$A$1:$I$89,5,0)</f>
        <v>216.8553660000004</v>
      </c>
      <c r="GB128" s="13">
        <f t="shared" si="103"/>
        <v>53.430843431955175</v>
      </c>
      <c r="GC128" s="20">
        <f t="shared" si="79"/>
        <v>470.74848142732253</v>
      </c>
      <c r="GD128" s="59">
        <f t="shared" si="80"/>
        <v>753.79709979629104</v>
      </c>
      <c r="GE128" s="59">
        <f ca="1">AVERAGE(OFFSET($GD$3,0,0,'Données projet'!$E$17+1,1))-AVERAGE(OFFSET($H$3,0,0,'Données projet'!$E$17+1,1))</f>
        <v>592.58528889137358</v>
      </c>
      <c r="GF128" s="59">
        <f t="shared" si="104"/>
        <v>311.31528020403709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>
        <f>EXP(-LN(2)/35)*GL127+(1-EXP(-LN(2)/35))/(LN(2)/35)*GH128*GI128*VLOOKUP('Données projet'!$B$17,Paramètres!$A$1:$I$89,3,0)*0.475*44/12</f>
        <v>224.30879157638233</v>
      </c>
      <c r="GM128" s="21">
        <f>EXP(-LN(2)/25)*GM127+(1-EXP(-LN(2)/25))/(LN(2)/25)*Calculateur!GH128*Calculateur!GJ128*VLOOKUP('Données projet'!$B$17,Paramètres!$A$1:$I$89,3,0)*0.475*44/12</f>
        <v>0</v>
      </c>
      <c r="GN128" s="21">
        <f>EXP(-LN(2)/2)*GN127+(1-EXP(-LN(2)/2))/(LN(2)/2)*GH128*GK128*VLOOKUP('Données projet'!$B$17,Paramètres!$A$1:$I$89,3,0)*0.475*44/12</f>
        <v>0</v>
      </c>
      <c r="GO128" s="21">
        <f t="shared" si="81"/>
        <v>224.30879157638233</v>
      </c>
      <c r="GP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328.00000000000006</v>
      </c>
      <c r="GV128" s="17">
        <f>GU128*VLOOKUP('Données projet'!$B$18,Paramètres!$A$1:$I$89,3,0)*VLOOKUP('Données projet'!$B$18,Paramètres!$A$1:$I$89,5,0)</f>
        <v>255.84000000000006</v>
      </c>
      <c r="GW128" s="13">
        <f t="shared" si="105"/>
        <v>61.834803371075836</v>
      </c>
      <c r="GX128" s="20">
        <f t="shared" si="82"/>
        <v>553.28361587129041</v>
      </c>
      <c r="GY128" s="59">
        <f t="shared" si="83"/>
        <v>836.33223424025891</v>
      </c>
      <c r="GZ128" s="59">
        <f ca="1">AVERAGE(OFFSET($GY$3,0,0,'Données projet'!$E$18+1,1))-AVERAGE(OFFSET($H$3,0,0,'Données projet'!$E$18+1,1))</f>
        <v>308.85018589589453</v>
      </c>
      <c r="HA128" s="59">
        <f t="shared" si="106"/>
        <v>302.59481222418219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>
        <f>EXP(-LN(2)/35)*HG127+(1-EXP(-LN(2)/35))/(LN(2)/35)*HC128*HD128*VLOOKUP('Données projet'!$B$18,Paramètres!$A$1:$I$89,3,0)*0.475*44/12</f>
        <v>16.619267260524676</v>
      </c>
      <c r="HH128" s="21">
        <f>EXP(-LN(2)/25)*HH127+(1-EXP(-LN(2)/25))/(LN(2)/25)*Calculateur!HC128*Calculateur!HE128*VLOOKUP('Données projet'!$B$18,Paramètres!$A$1:$I$89,3,0)*0.475*44/12</f>
        <v>0</v>
      </c>
      <c r="HI128" s="21">
        <f>EXP(-LN(2)/2)*HI127+(1-EXP(-LN(2)/2))/(LN(2)/2)*HC128*HF128*VLOOKUP('Données projet'!$B$18,Paramètres!$A$1:$I$89,3,0)*0.475*44/12</f>
        <v>0</v>
      </c>
      <c r="HJ128" s="22">
        <f t="shared" si="84"/>
        <v>16.619267260524676</v>
      </c>
    </row>
    <row r="129" spans="1:218" x14ac:dyDescent="0.35">
      <c r="A129" s="10">
        <f t="shared" si="85"/>
        <v>126</v>
      </c>
      <c r="B129" s="72">
        <f>'Scénario référence'!$B$16*5+'Scénario référence'!$B$17*0+'Scénario référence'!$B$18*5</f>
        <v>5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66">
        <f t="shared" si="56"/>
        <v>183.33333333333334</v>
      </c>
      <c r="I129" s="6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0.19750000000000512</v>
      </c>
      <c r="N129" s="13">
        <f>IF('Données projet'!$A$36&gt;35,N128+M129-V128,IF(A129&lt;'Données projet'!$A$36,$K$205^A129,IF(A129='Données projet'!$A$36,'Données projet'!$B$36,N128+M129-V128)))</f>
        <v>228.08250000000044</v>
      </c>
      <c r="O129" s="13">
        <f>N129*VLOOKUP('Données projet'!$B$9,Paramètres!$A$1:$I$89,3,0)*VLOOKUP('Données projet'!$B$9,Paramètres!$A$1:$I$89,5,0)</f>
        <v>206.3690460000004</v>
      </c>
      <c r="P129" s="13">
        <f t="shared" si="87"/>
        <v>51.141327262893078</v>
      </c>
      <c r="Q129" s="20">
        <f t="shared" si="107"/>
        <v>448.49723343287286</v>
      </c>
      <c r="R129" s="59">
        <f t="shared" si="55"/>
        <v>731.72426861329507</v>
      </c>
      <c r="S129" s="59">
        <f ca="1">AVERAGE(OFFSET($R$3,0,0,'Données projet'!$E$9+1,1))-AVERAGE(OFFSET($H$3,0,0,'Données projet'!$E$9+1,1))</f>
        <v>567.42635821507474</v>
      </c>
      <c r="T129" s="59">
        <f t="shared" si="88"/>
        <v>299.04735309930152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209.09497562833658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209.09497562833658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0.19750000000000512</v>
      </c>
      <c r="AI129" s="13">
        <f>IF('Données projet'!$A$62&gt;35,AI128+AH129-AQ128,IF(A129&lt;'Données projet'!$A$62,$AF$205^A129,IF(A129='Données projet'!$A$62,'Données projet'!$B$62,AI128+AH129-AQ128)))</f>
        <v>228.08250000000044</v>
      </c>
      <c r="AJ129" s="13">
        <f>AI129*VLOOKUP('Données projet'!$B$10,Paramètres!$A$1:$I$89,3,0)*VLOOKUP('Données projet'!$B$10,Paramètres!$A$1:$I$89,5,0)</f>
        <v>231.27565500000046</v>
      </c>
      <c r="AK129" s="13">
        <f t="shared" si="89"/>
        <v>56.558419114470617</v>
      </c>
      <c r="AL129" s="20">
        <f t="shared" si="58"/>
        <v>501.31101241603716</v>
      </c>
      <c r="AM129" s="59">
        <f t="shared" si="59"/>
        <v>784.53804759645936</v>
      </c>
      <c r="AN129" s="59">
        <f ca="1">AVERAGE(OFFSET($AM$3,0,0,'Données projet'!$E$10+1,1))-AVERAGE(OFFSET($H$3,0,0,'Données projet'!$E$10+1,1))</f>
        <v>626.09203985591455</v>
      </c>
      <c r="AO129" s="59">
        <f t="shared" si="90"/>
        <v>327.65191296575199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234.33057613520484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234.33057613520484</v>
      </c>
      <c r="AY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404.00000000000017</v>
      </c>
      <c r="BE129" s="13">
        <f>BD129*VLOOKUP('Données projet'!$B$11,Paramètres!$A$1:$I$89,3,0)*VLOOKUP('Données projet'!$B$11,Paramètres!$A$1:$I$89,5,0)</f>
        <v>346.63200000000018</v>
      </c>
      <c r="BF129" s="13">
        <f t="shared" si="91"/>
        <v>80.868615263336864</v>
      </c>
      <c r="BG129" s="20">
        <f t="shared" si="61"/>
        <v>744.56357158364528</v>
      </c>
      <c r="BH129" s="59">
        <f t="shared" si="62"/>
        <v>1027.7906067640674</v>
      </c>
      <c r="BI129" s="59">
        <f ca="1">AVERAGE(OFFSET($BH$3,0,0,'Données projet'!$E$11+1,1))-AVERAGE(OFFSET($H$3,0,0,'Données projet'!$E$11+1,1))</f>
        <v>481.23392184981651</v>
      </c>
      <c r="BJ129" s="59">
        <f t="shared" si="92"/>
        <v>275.88160405468193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88.756973701191384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88.756973701191384</v>
      </c>
      <c r="BT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5.2499999999990337</v>
      </c>
      <c r="BZ129" s="13">
        <f>BY129*VLOOKUP('Données projet'!$B$12,Paramètres!$A$1:$I$89,3,0)*VLOOKUP('Données projet'!$B$12,Paramètres!$A$1:$I$89,5,0)</f>
        <v>2.4569999999995478</v>
      </c>
      <c r="CA129" s="13">
        <f t="shared" si="93"/>
        <v>1.0197977774625564</v>
      </c>
      <c r="CB129" s="20">
        <f t="shared" si="64"/>
        <v>6.0554227957464972</v>
      </c>
      <c r="CC129" s="59">
        <f t="shared" si="65"/>
        <v>289.2824579761687</v>
      </c>
      <c r="CD129" s="59">
        <f ca="1">AVERAGE(OFFSET($CC$3,0,0,'Données projet'!$E$12+1,1))-AVERAGE(OFFSET($H$3,0,0,'Données projet'!$E$12+1,1))</f>
        <v>331.86732359395467</v>
      </c>
      <c r="CE129" s="59">
        <f t="shared" si="94"/>
        <v>208.64489375183106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173.45766898532131</v>
      </c>
      <c r="CL129" s="21">
        <f>EXP(-LN(2)/25)*CL128+(1-EXP(-LN(2)/25))/(LN(2)/25)*Calculateur!CG129*Calculateur!CI129*VLOOKUP('Données projet'!$B$12,Paramètres!$A$1:$I$89,3,0)*0.475*44/12</f>
        <v>0</v>
      </c>
      <c r="CM129" s="21">
        <f>EXP(-LN(2)/2)*CM128+(1-EXP(-LN(2)/2))/(LN(2)/2)*CG129*CJ129*VLOOKUP('Données projet'!$B$12,Paramètres!$A$1:$I$89,3,0)*0.475*44/12</f>
        <v>0</v>
      </c>
      <c r="CN129" s="22">
        <f t="shared" si="66"/>
        <v>173.45766898532131</v>
      </c>
      <c r="CO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319</v>
      </c>
      <c r="CU129" s="17">
        <f>CT129*VLOOKUP('Données projet'!$B$13,Paramètres!$A$1:$I$89,3,0)*VLOOKUP('Données projet'!$B$13,Paramètres!$A$1:$I$89,5,0)</f>
        <v>233.89079999999998</v>
      </c>
      <c r="CV129" s="13">
        <f t="shared" si="95"/>
        <v>57.123140349023068</v>
      </c>
      <c r="CW129" s="20">
        <f t="shared" si="67"/>
        <v>506.84927944121517</v>
      </c>
      <c r="CX129" s="59">
        <f t="shared" si="68"/>
        <v>790.07631462163738</v>
      </c>
      <c r="CY129" s="59">
        <f ca="1">AVERAGE(OFFSET($CX$3,0,0,'Données projet'!$E$13+1,1))-AVERAGE(OFFSET($H$3,0,0,'Données projet'!$E$13+1,1))</f>
        <v>352.45777291109863</v>
      </c>
      <c r="CZ129" s="59">
        <f t="shared" si="96"/>
        <v>340.92165104349181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15.985753432472471</v>
      </c>
      <c r="DG129" s="21">
        <f>EXP(-LN(2)/25)*DG128+(1-EXP(-LN(2)/25))/(LN(2)/25)*Calculateur!DB129*Calculateur!DD129*VLOOKUP('Données projet'!$B$13,Paramètres!$A$1:$I$89,3,0)*0.475*44/12</f>
        <v>0</v>
      </c>
      <c r="DH129" s="21">
        <f>EXP(-LN(2)/2)*DH128+(1-EXP(-LN(2)/2))/(LN(2)/2)*DB129*DE129*VLOOKUP('Données projet'!$B$13,Paramètres!$A$1:$I$89,3,0)*0.475*44/12</f>
        <v>0</v>
      </c>
      <c r="DI129" s="22">
        <f t="shared" si="69"/>
        <v>15.985753432472471</v>
      </c>
      <c r="DJ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0.19750000000000512</v>
      </c>
      <c r="DO129" s="12">
        <f>IF('Données projet'!$A$166&gt;35,DO128+DN129-DW128,IF(A129&lt;'Données projet'!$A$166,$DL$205^A129,IF(A129='Données projet'!$A$166,'Données projet'!$B$166,DO128+DN129-DW128)))</f>
        <v>228.08250000000044</v>
      </c>
      <c r="DP129" s="17">
        <f>DO129*VLOOKUP('Données projet'!$B$14,Paramètres!$A$1:$I$89,3,0)*VLOOKUP('Données projet'!$B$14,Paramètres!$A$1:$I$89,5,0)</f>
        <v>152.9977410000003</v>
      </c>
      <c r="DQ129" s="13">
        <f t="shared" si="97"/>
        <v>39.259046476619361</v>
      </c>
      <c r="DR129" s="20">
        <f t="shared" si="70"/>
        <v>334.84723818844589</v>
      </c>
      <c r="DS129" s="59">
        <f t="shared" si="71"/>
        <v>618.07427336886803</v>
      </c>
      <c r="DT129" s="59">
        <f ca="1">AVERAGE(OFFSET($DS$3,0,0,'Données projet'!$E$14+1,1))-AVERAGE(OFFSET($H$3,0,0,'Données projet'!$E$14+1,1))</f>
        <v>441.20130048888439</v>
      </c>
      <c r="DU129" s="59">
        <f t="shared" si="98"/>
        <v>237.47732532183946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191.0695466948593</v>
      </c>
      <c r="EB129" s="21">
        <f>EXP(-LN(2)/25)*EB128+(1-EXP(-LN(2)/25))/(LN(2)/25)*Calculateur!DW129*Calculateur!DY129*VLOOKUP('Données projet'!$B$14,Paramètres!$A$1:$I$89,3,0)*0.475*44/12</f>
        <v>0</v>
      </c>
      <c r="EC129" s="21">
        <f>EXP(-LN(2)/2)*EC128+(1-EXP(-LN(2)/2))/(LN(2)/2)*DW129*DZ129*VLOOKUP('Données projet'!$B$14,Paramètres!$A$1:$I$89,3,0)*0.475*44/12</f>
        <v>0</v>
      </c>
      <c r="ED129" s="22">
        <f t="shared" si="72"/>
        <v>191.0695466948593</v>
      </c>
      <c r="EE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319</v>
      </c>
      <c r="EK129" s="17">
        <f>EJ129*VLOOKUP('Données projet'!$B$15,Paramètres!$A$1:$I$89,3,0)*VLOOKUP('Données projet'!$B$15,Paramètres!$A$1:$I$89,5,0)</f>
        <v>253.79640000000001</v>
      </c>
      <c r="EL129" s="13">
        <f t="shared" si="99"/>
        <v>61.39816832228076</v>
      </c>
      <c r="EM129" s="20">
        <f t="shared" si="73"/>
        <v>548.96387316130563</v>
      </c>
      <c r="EN129" s="59">
        <f t="shared" si="74"/>
        <v>832.19090834172789</v>
      </c>
      <c r="EO129" s="59">
        <f ca="1">AVERAGE(OFFSET($EN$3,0,0,'Données projet'!$E$15+1,1))-AVERAGE(OFFSET($H$3,0,0,'Données projet'!$E$15+1,1))</f>
        <v>377.27600411578322</v>
      </c>
      <c r="EP129" s="59">
        <f t="shared" si="100"/>
        <v>364.58250627635425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>
        <f>EXP(-LN(2)/35)*EV128+(1-EXP(-LN(2)/35))/(LN(2)/35)*ER129*ES129*VLOOKUP('Données projet'!$B$15,Paramètres!$A$1:$I$89,3,0)*0.475*44/12</f>
        <v>21.380253106369658</v>
      </c>
      <c r="EW129" s="21">
        <f>EXP(-LN(2)/25)*EW128+(1-EXP(-LN(2)/25))/(LN(2)/25)*Calculateur!ER129*Calculateur!ET129*VLOOKUP('Données projet'!$B$15,Paramètres!$A$1:$I$89,3,0)*0.475*44/12</f>
        <v>0</v>
      </c>
      <c r="EX129" s="21">
        <f>EXP(-LN(2)/2)*EX128+(1-EXP(-LN(2)/2))/(LN(2)/2)*ER129*EU129*VLOOKUP('Données projet'!$B$15,Paramètres!$A$1:$I$89,3,0)*0.475*44/12</f>
        <v>0</v>
      </c>
      <c r="EY129" s="22">
        <f t="shared" si="75"/>
        <v>21.380253106369658</v>
      </c>
      <c r="EZ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319</v>
      </c>
      <c r="FF129" s="17">
        <f>FE129*VLOOKUP('Données projet'!$B$16,Paramètres!$A$1:$I$89,3,0)*VLOOKUP('Données projet'!$B$16,Paramètres!$A$1:$I$89,5,0)</f>
        <v>258.77280000000002</v>
      </c>
      <c r="FG129" s="13">
        <f t="shared" si="101"/>
        <v>62.460716522234691</v>
      </c>
      <c r="FH129" s="20">
        <f t="shared" si="76"/>
        <v>559.48170794289206</v>
      </c>
      <c r="FI129" s="59">
        <f t="shared" si="77"/>
        <v>842.70874312331421</v>
      </c>
      <c r="FJ129" s="59">
        <f ca="1">AVERAGE(OFFSET($FI$3,0,0,'Données projet'!$E$16+1,1))-AVERAGE(OFFSET($H$3,0,0,'Données projet'!$E$16+1,1))</f>
        <v>383.47399633251354</v>
      </c>
      <c r="FK129" s="59">
        <f t="shared" si="102"/>
        <v>370.49129421395628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>
        <f>EXP(-LN(2)/35)*FQ128+(1-EXP(-LN(2)/35))/(LN(2)/35)*FM129*FN129*VLOOKUP('Données projet'!$B$16,Paramètres!$A$1:$I$89,3,0)*0.475*44/12</f>
        <v>21.799473755514182</v>
      </c>
      <c r="FR129" s="21">
        <f>EXP(-LN(2)/25)*FR128+(1-EXP(-LN(2)/25))/(LN(2)/25)*Calculateur!FM129*Calculateur!FO129*VLOOKUP('Données projet'!$B$16,Paramètres!$A$1:$I$89,3,0)*0.475*44/12</f>
        <v>0</v>
      </c>
      <c r="FS129" s="21">
        <f>EXP(-LN(2)/2)*FS128+(1-EXP(-LN(2)/2))/(LN(2)/2)*FM129*FP129*VLOOKUP('Données projet'!$B$16,Paramètres!$A$1:$I$89,3,0)*0.475*44/12</f>
        <v>0</v>
      </c>
      <c r="FT129" s="22">
        <f t="shared" si="78"/>
        <v>21.799473755514182</v>
      </c>
      <c r="FU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0.19750000000000512</v>
      </c>
      <c r="FZ129" s="12">
        <f>IF('Données projet'!$A$244&gt;35,FZ128+FY129-GH128,IF(A129&lt;'Données projet'!$A$244,$FW$205^A129,IF(A129='Données projet'!$A$244,'Données projet'!$B$244,FZ128+FY129-GH128)))</f>
        <v>228.08250000000044</v>
      </c>
      <c r="GA129" s="17">
        <f>FZ129*VLOOKUP('Données projet'!$B$17,Paramètres!$A$1:$I$89,3,0)*VLOOKUP('Données projet'!$B$17,Paramètres!$A$1:$I$89,5,0)</f>
        <v>217.0433070000004</v>
      </c>
      <c r="GB129" s="13">
        <f t="shared" si="103"/>
        <v>53.471757927224203</v>
      </c>
      <c r="GC129" s="20">
        <f t="shared" si="79"/>
        <v>471.14707141491613</v>
      </c>
      <c r="GD129" s="59">
        <f t="shared" si="80"/>
        <v>754.37410659533839</v>
      </c>
      <c r="GE129" s="59">
        <f ca="1">AVERAGE(OFFSET($GD$3,0,0,'Données projet'!$E$17+1,1))-AVERAGE(OFFSET($H$3,0,0,'Données projet'!$E$17+1,1))</f>
        <v>592.58528889137358</v>
      </c>
      <c r="GF129" s="59">
        <f t="shared" si="104"/>
        <v>311.31528020403709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>
        <f>EXP(-LN(2)/35)*GL128+(1-EXP(-LN(2)/35))/(LN(2)/35)*GH129*GI129*VLOOKUP('Données projet'!$B$17,Paramètres!$A$1:$I$89,3,0)*0.475*44/12</f>
        <v>219.91023298842299</v>
      </c>
      <c r="GM129" s="21">
        <f>EXP(-LN(2)/25)*GM128+(1-EXP(-LN(2)/25))/(LN(2)/25)*Calculateur!GH129*Calculateur!GJ129*VLOOKUP('Données projet'!$B$17,Paramètres!$A$1:$I$89,3,0)*0.475*44/12</f>
        <v>0</v>
      </c>
      <c r="GN129" s="21">
        <f>EXP(-LN(2)/2)*GN128+(1-EXP(-LN(2)/2))/(LN(2)/2)*GH129*GK129*VLOOKUP('Données projet'!$B$17,Paramètres!$A$1:$I$89,3,0)*0.475*44/12</f>
        <v>0</v>
      </c>
      <c r="GO129" s="21">
        <f t="shared" si="81"/>
        <v>219.91023298842299</v>
      </c>
      <c r="GP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328.00000000000006</v>
      </c>
      <c r="GV129" s="17">
        <f>GU129*VLOOKUP('Données projet'!$B$18,Paramètres!$A$1:$I$89,3,0)*VLOOKUP('Données projet'!$B$18,Paramètres!$A$1:$I$89,5,0)</f>
        <v>255.84000000000006</v>
      </c>
      <c r="GW129" s="13">
        <f t="shared" si="105"/>
        <v>61.834803371075836</v>
      </c>
      <c r="GX129" s="20">
        <f t="shared" si="82"/>
        <v>553.28361587129041</v>
      </c>
      <c r="GY129" s="59">
        <f t="shared" si="83"/>
        <v>836.51065105171256</v>
      </c>
      <c r="GZ129" s="59">
        <f ca="1">AVERAGE(OFFSET($GY$3,0,0,'Données projet'!$E$18+1,1))-AVERAGE(OFFSET($H$3,0,0,'Données projet'!$E$18+1,1))</f>
        <v>308.85018589589453</v>
      </c>
      <c r="HA129" s="59">
        <f t="shared" si="106"/>
        <v>302.59481222418219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>
        <f>EXP(-LN(2)/35)*HG128+(1-EXP(-LN(2)/35))/(LN(2)/35)*HC129*HD129*VLOOKUP('Données projet'!$B$18,Paramètres!$A$1:$I$89,3,0)*0.475*44/12</f>
        <v>16.293373566297895</v>
      </c>
      <c r="HH129" s="21">
        <f>EXP(-LN(2)/25)*HH128+(1-EXP(-LN(2)/25))/(LN(2)/25)*Calculateur!HC129*Calculateur!HE129*VLOOKUP('Données projet'!$B$18,Paramètres!$A$1:$I$89,3,0)*0.475*44/12</f>
        <v>0</v>
      </c>
      <c r="HI129" s="21">
        <f>EXP(-LN(2)/2)*HI128+(1-EXP(-LN(2)/2))/(LN(2)/2)*HC129*HF129*VLOOKUP('Données projet'!$B$18,Paramètres!$A$1:$I$89,3,0)*0.475*44/12</f>
        <v>0</v>
      </c>
      <c r="HJ129" s="22">
        <f t="shared" si="84"/>
        <v>16.293373566297895</v>
      </c>
    </row>
    <row r="130" spans="1:218" x14ac:dyDescent="0.35">
      <c r="A130" s="10">
        <f t="shared" si="85"/>
        <v>127</v>
      </c>
      <c r="B130" s="72">
        <f>'Scénario référence'!$B$16*5+'Scénario référence'!$B$17*0+'Scénario référence'!$B$18*5</f>
        <v>5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66">
        <f t="shared" si="56"/>
        <v>183.33333333333334</v>
      </c>
      <c r="I130" s="6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>
        <f>VLOOKUP(A130,'Données projet'!$A$35:$I$55,2,0)</f>
        <v>228.28</v>
      </c>
      <c r="L130" s="12">
        <f>VLOOKUP(A130,'Données projet'!$A$35:$I$55,9,0)</f>
        <v>0.19750000000000512</v>
      </c>
      <c r="M130" s="12">
        <f t="array" ref="M130">INDEX(L:L,MIN(IF(ISNUMBER(L130:L326),ROW(L130:L326),"")))</f>
        <v>0.19750000000000512</v>
      </c>
      <c r="N130" s="13">
        <f>IF('Données projet'!$A$36&gt;35,N129+M130-V129,IF(A130&lt;'Données projet'!$A$36,$K$205^A130,IF(A130='Données projet'!$A$36,'Données projet'!$B$36,N129+M130-V129)))</f>
        <v>228.28000000000043</v>
      </c>
      <c r="O130" s="13">
        <f>N130*VLOOKUP('Données projet'!$B$9,Paramètres!$A$1:$I$89,3,0)*VLOOKUP('Données projet'!$B$9,Paramètres!$A$1:$I$89,5,0)</f>
        <v>206.54774400000036</v>
      </c>
      <c r="P130" s="13">
        <f t="shared" si="87"/>
        <v>51.180454659928444</v>
      </c>
      <c r="Q130" s="20">
        <f t="shared" si="107"/>
        <v>448.8766126660426</v>
      </c>
      <c r="R130" s="59">
        <f t="shared" si="55"/>
        <v>732.27896952512003</v>
      </c>
      <c r="S130" s="59">
        <f ca="1">AVERAGE(OFFSET($R$3,0,0,'Données projet'!$E$9+1,1))-AVERAGE(OFFSET($H$3,0,0,'Données projet'!$E$9+1,1))</f>
        <v>567.42635821507474</v>
      </c>
      <c r="T130" s="59">
        <f t="shared" si="88"/>
        <v>299.04735309930152</v>
      </c>
      <c r="U130" s="15">
        <f>IF(ISNA(VLOOKUP(A130,'Données projet'!$A$35:$I$55,3,0)),0,VLOOKUP(A130,'Données projet'!$A$35:$I$55,3,0))</f>
        <v>13</v>
      </c>
      <c r="V130" s="15">
        <f>IF(ISNA(VLOOKUP(A130,'Données projet'!$A$35:$I$55,4,0)),0,VLOOKUP(A130,'Données projet'!$A$35:$I$55,4,0))</f>
        <v>65.02</v>
      </c>
      <c r="W130" s="16">
        <f>IF(ISNA(VLOOKUP(A130,'Données projet'!$A$35:$I$55,5,0)),0%,VLOOKUP(A130,'Données projet'!$A$35:$I$55,5,0)*VLOOKUP('Données projet'!$B$9,Paramètres!$A$1:$I$89,7,0))</f>
        <v>0.43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232.95976996943133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232.95976996943133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>
        <f>VLOOKUP(A130,'Données projet'!$A$61:$I$81,2,0)</f>
        <v>228.28</v>
      </c>
      <c r="AG130" s="12">
        <f>VLOOKUP(A130,'Données projet'!$A$61:$I$81,9,0)</f>
        <v>0.19750000000000512</v>
      </c>
      <c r="AH130" s="12">
        <f t="array" ref="AH130">INDEX(AG:AG,MIN(IF(ISNUMBER(AG130:AG326),ROW(AG130:AG326),"")))</f>
        <v>0.19750000000000512</v>
      </c>
      <c r="AI130" s="13">
        <f>IF('Données projet'!$A$62&gt;35,AI129+AH130-AQ129,IF(A130&lt;'Données projet'!$A$62,$AF$205^A130,IF(A130='Données projet'!$A$62,'Données projet'!$B$62,AI129+AH130-AQ129)))</f>
        <v>228.28000000000043</v>
      </c>
      <c r="AJ130" s="13">
        <f>AI130*VLOOKUP('Données projet'!$B$10,Paramètres!$A$1:$I$89,3,0)*VLOOKUP('Données projet'!$B$10,Paramètres!$A$1:$I$89,5,0)</f>
        <v>231.47592000000046</v>
      </c>
      <c r="AK130" s="13">
        <f t="shared" si="89"/>
        <v>56.601691040304857</v>
      </c>
      <c r="AL130" s="20">
        <f t="shared" si="58"/>
        <v>501.73517256186511</v>
      </c>
      <c r="AM130" s="59">
        <f t="shared" si="59"/>
        <v>785.13752942094254</v>
      </c>
      <c r="AN130" s="59">
        <f ca="1">AVERAGE(OFFSET($AM$3,0,0,'Données projet'!$E$10+1,1))-AVERAGE(OFFSET($H$3,0,0,'Données projet'!$E$10+1,1))</f>
        <v>626.09203985591455</v>
      </c>
      <c r="AO130" s="59">
        <f t="shared" si="90"/>
        <v>327.65191296575199</v>
      </c>
      <c r="AP130" s="15">
        <f>IF(ISNA(VLOOKUP(A130,'Données projet'!$A$61:$I$81,3,0)),0,VLOOKUP(A130,'Données projet'!$A$61:$I$81,3,0))</f>
        <v>13</v>
      </c>
      <c r="AQ130" s="15">
        <f>IF(ISNA(VLOOKUP(A130,'Données projet'!$A$61:$I$81,4,0)),0,VLOOKUP(A130,'Données projet'!$A$61:$I$81,4,0))</f>
        <v>65.02</v>
      </c>
      <c r="AR130" s="16">
        <f>IF(ISNA(VLOOKUP(A130,'Données projet'!$A$61:$I$81,5,0)),0%,VLOOKUP(A130,'Données projet'!$A$61:$I$81,5,0)*VLOOKUP('Données projet'!$B$10,Paramètres!$A$1:$I$89,7,0))</f>
        <v>0.43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261.07560427608689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261.07560427608689</v>
      </c>
      <c r="AY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404.00000000000017</v>
      </c>
      <c r="BE130" s="13">
        <f>BD130*VLOOKUP('Données projet'!$B$11,Paramètres!$A$1:$I$89,3,0)*VLOOKUP('Données projet'!$B$11,Paramètres!$A$1:$I$89,5,0)</f>
        <v>346.63200000000018</v>
      </c>
      <c r="BF130" s="13">
        <f t="shared" si="91"/>
        <v>80.868615263336864</v>
      </c>
      <c r="BG130" s="20">
        <f t="shared" si="61"/>
        <v>744.56357158364528</v>
      </c>
      <c r="BH130" s="59">
        <f t="shared" si="62"/>
        <v>1027.9659284427228</v>
      </c>
      <c r="BI130" s="59">
        <f ca="1">AVERAGE(OFFSET($BH$3,0,0,'Données projet'!$E$11+1,1))-AVERAGE(OFFSET($H$3,0,0,'Données projet'!$E$11+1,1))</f>
        <v>481.23392184981651</v>
      </c>
      <c r="BJ130" s="59">
        <f t="shared" si="92"/>
        <v>275.88160405468193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87.016503583319448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87.016503583319448</v>
      </c>
      <c r="BT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5.2499999999990337</v>
      </c>
      <c r="BZ130" s="13">
        <f>BY130*VLOOKUP('Données projet'!$B$12,Paramètres!$A$1:$I$89,3,0)*VLOOKUP('Données projet'!$B$12,Paramètres!$A$1:$I$89,5,0)</f>
        <v>2.4569999999995478</v>
      </c>
      <c r="CA130" s="13">
        <f t="shared" si="93"/>
        <v>1.0197977774625564</v>
      </c>
      <c r="CB130" s="20">
        <f t="shared" si="64"/>
        <v>6.0554227957464972</v>
      </c>
      <c r="CC130" s="59">
        <f t="shared" si="65"/>
        <v>289.45777965482392</v>
      </c>
      <c r="CD130" s="59">
        <f ca="1">AVERAGE(OFFSET($CC$3,0,0,'Données projet'!$E$12+1,1))-AVERAGE(OFFSET($H$3,0,0,'Données projet'!$E$12+1,1))</f>
        <v>331.86732359395467</v>
      </c>
      <c r="CE130" s="59">
        <f t="shared" si="94"/>
        <v>208.64489375183106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170.05626989525047</v>
      </c>
      <c r="CL130" s="21">
        <f>EXP(-LN(2)/25)*CL129+(1-EXP(-LN(2)/25))/(LN(2)/25)*Calculateur!CG130*Calculateur!CI130*VLOOKUP('Données projet'!$B$12,Paramètres!$A$1:$I$89,3,0)*0.475*44/12</f>
        <v>0</v>
      </c>
      <c r="CM130" s="21">
        <f>EXP(-LN(2)/2)*CM129+(1-EXP(-LN(2)/2))/(LN(2)/2)*CG130*CJ130*VLOOKUP('Données projet'!$B$12,Paramètres!$A$1:$I$89,3,0)*0.475*44/12</f>
        <v>0</v>
      </c>
      <c r="CN130" s="22">
        <f t="shared" si="66"/>
        <v>170.05626989525047</v>
      </c>
      <c r="CO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319</v>
      </c>
      <c r="CU130" s="17">
        <f>CT130*VLOOKUP('Données projet'!$B$13,Paramètres!$A$1:$I$89,3,0)*VLOOKUP('Données projet'!$B$13,Paramètres!$A$1:$I$89,5,0)</f>
        <v>233.89079999999998</v>
      </c>
      <c r="CV130" s="13">
        <f t="shared" si="95"/>
        <v>57.123140349023068</v>
      </c>
      <c r="CW130" s="20">
        <f t="shared" si="67"/>
        <v>506.84927944121517</v>
      </c>
      <c r="CX130" s="59">
        <f t="shared" si="68"/>
        <v>790.2516363002926</v>
      </c>
      <c r="CY130" s="59">
        <f ca="1">AVERAGE(OFFSET($CX$3,0,0,'Données projet'!$E$13+1,1))-AVERAGE(OFFSET($H$3,0,0,'Données projet'!$E$13+1,1))</f>
        <v>352.45777291109863</v>
      </c>
      <c r="CZ130" s="59">
        <f t="shared" si="96"/>
        <v>340.92165104349181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15.672282558008513</v>
      </c>
      <c r="DG130" s="21">
        <f>EXP(-LN(2)/25)*DG129+(1-EXP(-LN(2)/25))/(LN(2)/25)*Calculateur!DB130*Calculateur!DD130*VLOOKUP('Données projet'!$B$13,Paramètres!$A$1:$I$89,3,0)*0.475*44/12</f>
        <v>0</v>
      </c>
      <c r="DH130" s="21">
        <f>EXP(-LN(2)/2)*DH129+(1-EXP(-LN(2)/2))/(LN(2)/2)*DB130*DE130*VLOOKUP('Données projet'!$B$13,Paramètres!$A$1:$I$89,3,0)*0.475*44/12</f>
        <v>0</v>
      </c>
      <c r="DI130" s="22">
        <f t="shared" si="69"/>
        <v>15.672282558008513</v>
      </c>
      <c r="DJ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>
        <f>VLOOKUP(A130,'Données projet'!$A$165:$I$185,2,0)</f>
        <v>228.28</v>
      </c>
      <c r="DM130" s="12">
        <f>VLOOKUP(A130,'Données projet'!$A$165:$I$185,9,0)</f>
        <v>0.19750000000000512</v>
      </c>
      <c r="DN130" s="12">
        <f t="array" ref="DN130">INDEX(DM:DM,MIN(IF(ISNUMBER(DM130:DM326),ROW(DM130:DM326),"")))</f>
        <v>0.19750000000000512</v>
      </c>
      <c r="DO130" s="12">
        <f>IF('Données projet'!$A$166&gt;35,DO129+DN130-DW129,IF(A130&lt;'Données projet'!$A$166,$DL$205^A130,IF(A130='Données projet'!$A$166,'Données projet'!$B$166,DO129+DN130-DW129)))</f>
        <v>228.28000000000043</v>
      </c>
      <c r="DP130" s="17">
        <f>DO130*VLOOKUP('Données projet'!$B$14,Paramètres!$A$1:$I$89,3,0)*VLOOKUP('Données projet'!$B$14,Paramètres!$A$1:$I$89,5,0)</f>
        <v>153.13022400000028</v>
      </c>
      <c r="DQ130" s="13">
        <f t="shared" si="97"/>
        <v>39.289082934039058</v>
      </c>
      <c r="DR130" s="20">
        <f t="shared" si="70"/>
        <v>335.1302929101185</v>
      </c>
      <c r="DS130" s="59">
        <f t="shared" si="71"/>
        <v>618.53264976919593</v>
      </c>
      <c r="DT130" s="59">
        <f ca="1">AVERAGE(OFFSET($DS$3,0,0,'Données projet'!$E$14+1,1))-AVERAGE(OFFSET($H$3,0,0,'Données projet'!$E$14+1,1))</f>
        <v>441.20130048888439</v>
      </c>
      <c r="DU130" s="59">
        <f t="shared" si="98"/>
        <v>237.47732532183946</v>
      </c>
      <c r="DV130" s="15">
        <f>IF(ISNA(VLOOKUP(A130,'Données projet'!$A$165:$I$185,3,0)),0,VLOOKUP(A130,'Données projet'!$A$165:$I$185,3,0))</f>
        <v>13</v>
      </c>
      <c r="DW130" s="15">
        <f>IF(ISNA(VLOOKUP(A130,'Données projet'!$A$165:$I$185,4,0)),0,VLOOKUP(A130,'Données projet'!$A$165:$I$185,4,0))</f>
        <v>65.02</v>
      </c>
      <c r="DX130" s="16">
        <f>IF(ISNA(VLOOKUP(A130,'Données projet'!$A$165:$I$185,5,0)),0%,VLOOKUP(A130,'Données projet'!$A$165:$I$185,5,0)*VLOOKUP('Données projet'!$B$14,Paramètres!$A$1:$I$89,7,0))</f>
        <v>0.53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212.87703117896311</v>
      </c>
      <c r="EB130" s="21">
        <f>EXP(-LN(2)/25)*EB129+(1-EXP(-LN(2)/25))/(LN(2)/25)*Calculateur!DW130*Calculateur!DY130*VLOOKUP('Données projet'!$B$14,Paramètres!$A$1:$I$89,3,0)*0.475*44/12</f>
        <v>0</v>
      </c>
      <c r="EC130" s="21">
        <f>EXP(-LN(2)/2)*EC129+(1-EXP(-LN(2)/2))/(LN(2)/2)*DW130*DZ130*VLOOKUP('Données projet'!$B$14,Paramètres!$A$1:$I$89,3,0)*0.475*44/12</f>
        <v>0</v>
      </c>
      <c r="ED130" s="22">
        <f t="shared" si="72"/>
        <v>212.87703117896311</v>
      </c>
      <c r="EE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319</v>
      </c>
      <c r="EK130" s="17">
        <f>EJ130*VLOOKUP('Données projet'!$B$15,Paramètres!$A$1:$I$89,3,0)*VLOOKUP('Données projet'!$B$15,Paramètres!$A$1:$I$89,5,0)</f>
        <v>253.79640000000001</v>
      </c>
      <c r="EL130" s="13">
        <f t="shared" si="99"/>
        <v>61.39816832228076</v>
      </c>
      <c r="EM130" s="20">
        <f t="shared" si="73"/>
        <v>548.96387316130563</v>
      </c>
      <c r="EN130" s="59">
        <f t="shared" si="74"/>
        <v>832.366230020383</v>
      </c>
      <c r="EO130" s="59">
        <f ca="1">AVERAGE(OFFSET($EN$3,0,0,'Données projet'!$E$15+1,1))-AVERAGE(OFFSET($H$3,0,0,'Données projet'!$E$15+1,1))</f>
        <v>377.27600411578322</v>
      </c>
      <c r="EP130" s="59">
        <f t="shared" si="100"/>
        <v>364.58250627635425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>
        <f>EXP(-LN(2)/35)*EV129+(1-EXP(-LN(2)/35))/(LN(2)/35)*ER130*ES130*VLOOKUP('Données projet'!$B$15,Paramètres!$A$1:$I$89,3,0)*0.475*44/12</f>
        <v>20.960999383620486</v>
      </c>
      <c r="EW130" s="21">
        <f>EXP(-LN(2)/25)*EW129+(1-EXP(-LN(2)/25))/(LN(2)/25)*Calculateur!ER130*Calculateur!ET130*VLOOKUP('Données projet'!$B$15,Paramètres!$A$1:$I$89,3,0)*0.475*44/12</f>
        <v>0</v>
      </c>
      <c r="EX130" s="21">
        <f>EXP(-LN(2)/2)*EX129+(1-EXP(-LN(2)/2))/(LN(2)/2)*ER130*EU130*VLOOKUP('Données projet'!$B$15,Paramètres!$A$1:$I$89,3,0)*0.475*44/12</f>
        <v>0</v>
      </c>
      <c r="EY130" s="22">
        <f t="shared" si="75"/>
        <v>20.960999383620486</v>
      </c>
      <c r="EZ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319</v>
      </c>
      <c r="FF130" s="17">
        <f>FE130*VLOOKUP('Données projet'!$B$16,Paramètres!$A$1:$I$89,3,0)*VLOOKUP('Données projet'!$B$16,Paramètres!$A$1:$I$89,5,0)</f>
        <v>258.77280000000002</v>
      </c>
      <c r="FG130" s="13">
        <f t="shared" si="101"/>
        <v>62.460716522234691</v>
      </c>
      <c r="FH130" s="20">
        <f t="shared" si="76"/>
        <v>559.48170794289206</v>
      </c>
      <c r="FI130" s="59">
        <f t="shared" si="77"/>
        <v>842.88406480196954</v>
      </c>
      <c r="FJ130" s="59">
        <f ca="1">AVERAGE(OFFSET($FI$3,0,0,'Données projet'!$E$16+1,1))-AVERAGE(OFFSET($H$3,0,0,'Données projet'!$E$16+1,1))</f>
        <v>383.47399633251354</v>
      </c>
      <c r="FK130" s="59">
        <f t="shared" si="102"/>
        <v>370.49129421395628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>
        <f>EXP(-LN(2)/35)*FQ129+(1-EXP(-LN(2)/35))/(LN(2)/35)*FM130*FN130*VLOOKUP('Données projet'!$B$16,Paramètres!$A$1:$I$89,3,0)*0.475*44/12</f>
        <v>21.371999371534631</v>
      </c>
      <c r="FR130" s="21">
        <f>EXP(-LN(2)/25)*FR129+(1-EXP(-LN(2)/25))/(LN(2)/25)*Calculateur!FM130*Calculateur!FO130*VLOOKUP('Données projet'!$B$16,Paramètres!$A$1:$I$89,3,0)*0.475*44/12</f>
        <v>0</v>
      </c>
      <c r="FS130" s="21">
        <f>EXP(-LN(2)/2)*FS129+(1-EXP(-LN(2)/2))/(LN(2)/2)*FM130*FP130*VLOOKUP('Données projet'!$B$16,Paramètres!$A$1:$I$89,3,0)*0.475*44/12</f>
        <v>0</v>
      </c>
      <c r="FT130" s="22">
        <f t="shared" si="78"/>
        <v>21.371999371534631</v>
      </c>
      <c r="FU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>
        <f>VLOOKUP(A130,'Données projet'!$A$243:$I$263,2,0)</f>
        <v>228.28</v>
      </c>
      <c r="FX130" s="12">
        <f>VLOOKUP(A130,'Données projet'!$A$243:$I$263,9,0)</f>
        <v>0.19750000000000512</v>
      </c>
      <c r="FY130" s="12">
        <f t="array" ref="FY130">INDEX(FX:FX,MIN(IF(ISNUMBER(FX130:FX326),ROW(FX130:FX326),"")))</f>
        <v>0.19750000000000512</v>
      </c>
      <c r="FZ130" s="12">
        <f>IF('Données projet'!$A$244&gt;35,FZ129+FY130-GH129,IF(A130&lt;'Données projet'!$A$244,$FW$205^A130,IF(A130='Données projet'!$A$244,'Données projet'!$B$244,FZ129+FY130-GH129)))</f>
        <v>228.28000000000043</v>
      </c>
      <c r="GA130" s="17">
        <f>FZ130*VLOOKUP('Données projet'!$B$17,Paramètres!$A$1:$I$89,3,0)*VLOOKUP('Données projet'!$B$17,Paramètres!$A$1:$I$89,5,0)</f>
        <v>217.23124800000039</v>
      </c>
      <c r="GB130" s="13">
        <f t="shared" si="103"/>
        <v>53.512668298827201</v>
      </c>
      <c r="GC130" s="20">
        <f t="shared" si="79"/>
        <v>471.54565422045795</v>
      </c>
      <c r="GD130" s="59">
        <f t="shared" si="80"/>
        <v>754.94801107953538</v>
      </c>
      <c r="GE130" s="59">
        <f ca="1">AVERAGE(OFFSET($GD$3,0,0,'Données projet'!$E$17+1,1))-AVERAGE(OFFSET($H$3,0,0,'Données projet'!$E$17+1,1))</f>
        <v>592.58528889137358</v>
      </c>
      <c r="GF130" s="59">
        <f t="shared" si="104"/>
        <v>311.31528020403709</v>
      </c>
      <c r="GG130" s="15">
        <f>IF(ISNA(VLOOKUP(A130,'Données projet'!$A$243:$I$263,3,0)),0,VLOOKUP(A130,'Données projet'!$A$243:$I$263,3,0))</f>
        <v>13</v>
      </c>
      <c r="GH130" s="15">
        <f>IF(ISNA(VLOOKUP(A130,'Données projet'!$A$243:$I$263,4,0)),0,VLOOKUP(A130,'Données projet'!$A$243:$I$263,4,0))</f>
        <v>65.02</v>
      </c>
      <c r="GI130" s="16">
        <f>IF(ISNA(VLOOKUP(A130,'Données projet'!$A$243:$I$263,5,0)),0%,VLOOKUP(A130,'Données projet'!$A$243:$I$263,5,0)*VLOOKUP('Données projet'!$B$17,Paramètres!$A$1:$I$89,7,0))</f>
        <v>0.43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>
        <f>EXP(-LN(2)/35)*GL129+(1-EXP(-LN(2)/35))/(LN(2)/35)*GH130*GI130*VLOOKUP('Données projet'!$B$17,Paramètres!$A$1:$I$89,3,0)*0.475*44/12</f>
        <v>245.00941324371229</v>
      </c>
      <c r="GM130" s="21">
        <f>EXP(-LN(2)/25)*GM129+(1-EXP(-LN(2)/25))/(LN(2)/25)*Calculateur!GH130*Calculateur!GJ130*VLOOKUP('Données projet'!$B$17,Paramètres!$A$1:$I$89,3,0)*0.475*44/12</f>
        <v>0</v>
      </c>
      <c r="GN130" s="21">
        <f>EXP(-LN(2)/2)*GN129+(1-EXP(-LN(2)/2))/(LN(2)/2)*GH130*GK130*VLOOKUP('Données projet'!$B$17,Paramètres!$A$1:$I$89,3,0)*0.475*44/12</f>
        <v>0</v>
      </c>
      <c r="GO130" s="21">
        <f t="shared" si="81"/>
        <v>245.00941324371229</v>
      </c>
      <c r="GP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328.00000000000006</v>
      </c>
      <c r="GV130" s="17">
        <f>GU130*VLOOKUP('Données projet'!$B$18,Paramètres!$A$1:$I$89,3,0)*VLOOKUP('Données projet'!$B$18,Paramètres!$A$1:$I$89,5,0)</f>
        <v>255.84000000000006</v>
      </c>
      <c r="GW130" s="13">
        <f t="shared" si="105"/>
        <v>61.834803371075836</v>
      </c>
      <c r="GX130" s="20">
        <f t="shared" si="82"/>
        <v>553.28361587129041</v>
      </c>
      <c r="GY130" s="59">
        <f t="shared" si="83"/>
        <v>836.68597273036789</v>
      </c>
      <c r="GZ130" s="59">
        <f ca="1">AVERAGE(OFFSET($GY$3,0,0,'Données projet'!$E$18+1,1))-AVERAGE(OFFSET($H$3,0,0,'Données projet'!$E$18+1,1))</f>
        <v>308.85018589589453</v>
      </c>
      <c r="HA130" s="59">
        <f t="shared" si="106"/>
        <v>302.59481222418219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>
        <f>EXP(-LN(2)/35)*HG129+(1-EXP(-LN(2)/35))/(LN(2)/35)*HC130*HD130*VLOOKUP('Données projet'!$B$18,Paramètres!$A$1:$I$89,3,0)*0.475*44/12</f>
        <v>15.973870448639374</v>
      </c>
      <c r="HH130" s="21">
        <f>EXP(-LN(2)/25)*HH129+(1-EXP(-LN(2)/25))/(LN(2)/25)*Calculateur!HC130*Calculateur!HE130*VLOOKUP('Données projet'!$B$18,Paramètres!$A$1:$I$89,3,0)*0.475*44/12</f>
        <v>0</v>
      </c>
      <c r="HI130" s="21">
        <f>EXP(-LN(2)/2)*HI129+(1-EXP(-LN(2)/2))/(LN(2)/2)*HC130*HF130*VLOOKUP('Données projet'!$B$18,Paramètres!$A$1:$I$89,3,0)*0.475*44/12</f>
        <v>0</v>
      </c>
      <c r="HJ130" s="22">
        <f t="shared" si="84"/>
        <v>15.973870448639374</v>
      </c>
    </row>
    <row r="131" spans="1:218" x14ac:dyDescent="0.35">
      <c r="A131" s="10">
        <f t="shared" si="85"/>
        <v>128</v>
      </c>
      <c r="B131" s="72">
        <f>'Scénario référence'!$B$16*5+'Scénario référence'!$B$17*0+'Scénario référence'!$B$18*5</f>
        <v>5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66">
        <f t="shared" si="56"/>
        <v>183.33333333333334</v>
      </c>
      <c r="I131" s="6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9.7500000000003695E-2</v>
      </c>
      <c r="N131" s="13">
        <f>IF('Données projet'!$A$36&gt;35,N130+M131-V130,IF(A131&lt;'Données projet'!$A$36,$K$205^A131,IF(A131='Données projet'!$A$36,'Données projet'!$B$36,N130+M131-V130)))</f>
        <v>163.35750000000041</v>
      </c>
      <c r="O131" s="13">
        <f>N131*VLOOKUP('Données projet'!$B$9,Paramètres!$A$1:$I$89,3,0)*VLOOKUP('Données projet'!$B$9,Paramètres!$A$1:$I$89,5,0)</f>
        <v>147.80586600000038</v>
      </c>
      <c r="P131" s="13">
        <f t="shared" si="87"/>
        <v>38.079533976001102</v>
      </c>
      <c r="Q131" s="20">
        <f t="shared" ref="Q131:Q153" si="108">(O131+P131)*0.475*44/12</f>
        <v>323.75040495820258</v>
      </c>
      <c r="R131" s="59">
        <f t="shared" ref="R131:R194" si="109">Q131+(I131+J131)*44/12</f>
        <v>607.32504205677105</v>
      </c>
      <c r="S131" s="59">
        <f ca="1">AVERAGE(OFFSET($R$3,0,0,'Données projet'!$E$9+1,1))-AVERAGE(OFFSET($H$3,0,0,'Données projet'!$E$9+1,1))</f>
        <v>567.42635821507474</v>
      </c>
      <c r="T131" s="59">
        <f t="shared" si="88"/>
        <v>299.04735309930152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228.3915709717601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228.3915709717601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9.7500000000003695E-2</v>
      </c>
      <c r="AI131" s="13">
        <f>IF('Données projet'!$A$62&gt;35,AI130+AH131-AQ130,IF(A131&lt;'Données projet'!$A$62,$AF$205^A131,IF(A131='Données projet'!$A$62,'Données projet'!$B$62,AI130+AH131-AQ130)))</f>
        <v>163.35750000000041</v>
      </c>
      <c r="AJ131" s="13">
        <f>AI131*VLOOKUP('Données projet'!$B$10,Paramètres!$A$1:$I$89,3,0)*VLOOKUP('Données projet'!$B$10,Paramètres!$A$1:$I$89,5,0)</f>
        <v>165.64450500000044</v>
      </c>
      <c r="AK131" s="13">
        <f t="shared" si="89"/>
        <v>42.113068971150504</v>
      </c>
      <c r="AL131" s="20">
        <f t="shared" si="58"/>
        <v>361.8444413330879</v>
      </c>
      <c r="AM131" s="59">
        <f t="shared" si="59"/>
        <v>645.41907843165643</v>
      </c>
      <c r="AN131" s="59">
        <f ca="1">AVERAGE(OFFSET($AM$3,0,0,'Données projet'!$E$10+1,1))-AVERAGE(OFFSET($H$3,0,0,'Données projet'!$E$10+1,1))</f>
        <v>626.09203985591455</v>
      </c>
      <c r="AO131" s="59">
        <f t="shared" si="90"/>
        <v>327.65191296575199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255.95607091662777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255.95607091662777</v>
      </c>
      <c r="AY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404.00000000000017</v>
      </c>
      <c r="BE131" s="13">
        <f>BD131*VLOOKUP('Données projet'!$B$11,Paramètres!$A$1:$I$89,3,0)*VLOOKUP('Données projet'!$B$11,Paramètres!$A$1:$I$89,5,0)</f>
        <v>346.63200000000018</v>
      </c>
      <c r="BF131" s="13">
        <f t="shared" si="91"/>
        <v>80.868615263336864</v>
      </c>
      <c r="BG131" s="20">
        <f t="shared" si="61"/>
        <v>744.56357158364528</v>
      </c>
      <c r="BH131" s="59">
        <f t="shared" si="62"/>
        <v>1028.1382086822139</v>
      </c>
      <c r="BI131" s="59">
        <f ca="1">AVERAGE(OFFSET($BH$3,0,0,'Données projet'!$E$11+1,1))-AVERAGE(OFFSET($H$3,0,0,'Données projet'!$E$11+1,1))</f>
        <v>481.23392184981651</v>
      </c>
      <c r="BJ131" s="59">
        <f t="shared" si="92"/>
        <v>275.88160405468193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85.310163022877035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85.310163022877035</v>
      </c>
      <c r="BT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5.2499999999990337</v>
      </c>
      <c r="BZ131" s="13">
        <f>BY131*VLOOKUP('Données projet'!$B$12,Paramètres!$A$1:$I$89,3,0)*VLOOKUP('Données projet'!$B$12,Paramètres!$A$1:$I$89,5,0)</f>
        <v>2.4569999999995478</v>
      </c>
      <c r="CA131" s="13">
        <f t="shared" si="93"/>
        <v>1.0197977774625564</v>
      </c>
      <c r="CB131" s="20">
        <f t="shared" si="64"/>
        <v>6.0554227957464972</v>
      </c>
      <c r="CC131" s="59">
        <f t="shared" si="65"/>
        <v>289.63005989431502</v>
      </c>
      <c r="CD131" s="59">
        <f ca="1">AVERAGE(OFFSET($CC$3,0,0,'Données projet'!$E$12+1,1))-AVERAGE(OFFSET($H$3,0,0,'Données projet'!$E$12+1,1))</f>
        <v>331.86732359395467</v>
      </c>
      <c r="CE131" s="59">
        <f t="shared" si="94"/>
        <v>208.64489375183106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166.72157016668734</v>
      </c>
      <c r="CL131" s="21">
        <f>EXP(-LN(2)/25)*CL130+(1-EXP(-LN(2)/25))/(LN(2)/25)*Calculateur!CG131*Calculateur!CI131*VLOOKUP('Données projet'!$B$12,Paramètres!$A$1:$I$89,3,0)*0.475*44/12</f>
        <v>0</v>
      </c>
      <c r="CM131" s="21">
        <f>EXP(-LN(2)/2)*CM130+(1-EXP(-LN(2)/2))/(LN(2)/2)*CG131*CJ131*VLOOKUP('Données projet'!$B$12,Paramètres!$A$1:$I$89,3,0)*0.475*44/12</f>
        <v>0</v>
      </c>
      <c r="CN131" s="22">
        <f t="shared" si="66"/>
        <v>166.72157016668734</v>
      </c>
      <c r="CO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319</v>
      </c>
      <c r="CU131" s="17">
        <f>CT131*VLOOKUP('Données projet'!$B$13,Paramètres!$A$1:$I$89,3,0)*VLOOKUP('Données projet'!$B$13,Paramètres!$A$1:$I$89,5,0)</f>
        <v>233.89079999999998</v>
      </c>
      <c r="CV131" s="13">
        <f t="shared" si="95"/>
        <v>57.123140349023068</v>
      </c>
      <c r="CW131" s="20">
        <f t="shared" si="67"/>
        <v>506.84927944121517</v>
      </c>
      <c r="CX131" s="59">
        <f t="shared" si="68"/>
        <v>790.4239165397837</v>
      </c>
      <c r="CY131" s="59">
        <f ca="1">AVERAGE(OFFSET($CX$3,0,0,'Données projet'!$E$13+1,1))-AVERAGE(OFFSET($H$3,0,0,'Données projet'!$E$13+1,1))</f>
        <v>352.45777291109863</v>
      </c>
      <c r="CZ131" s="59">
        <f t="shared" si="96"/>
        <v>340.92165104349181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15.364958656194439</v>
      </c>
      <c r="DG131" s="21">
        <f>EXP(-LN(2)/25)*DG130+(1-EXP(-LN(2)/25))/(LN(2)/25)*Calculateur!DB131*Calculateur!DD131*VLOOKUP('Données projet'!$B$13,Paramètres!$A$1:$I$89,3,0)*0.475*44/12</f>
        <v>0</v>
      </c>
      <c r="DH131" s="21">
        <f>EXP(-LN(2)/2)*DH130+(1-EXP(-LN(2)/2))/(LN(2)/2)*DB131*DE131*VLOOKUP('Données projet'!$B$13,Paramètres!$A$1:$I$89,3,0)*0.475*44/12</f>
        <v>0</v>
      </c>
      <c r="DI131" s="22">
        <f t="shared" si="69"/>
        <v>15.364958656194439</v>
      </c>
      <c r="DJ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9.7500000000003695E-2</v>
      </c>
      <c r="DO131" s="12">
        <f>IF('Données projet'!$A$166&gt;35,DO130+DN131-DW130,IF(A131&lt;'Données projet'!$A$166,$DL$205^A131,IF(A131='Données projet'!$A$166,'Données projet'!$B$166,DO130+DN131-DW130)))</f>
        <v>163.35750000000041</v>
      </c>
      <c r="DP131" s="17">
        <f>DO131*VLOOKUP('Données projet'!$B$14,Paramètres!$A$1:$I$89,3,0)*VLOOKUP('Données projet'!$B$14,Paramètres!$A$1:$I$89,5,0)</f>
        <v>109.58021100000029</v>
      </c>
      <c r="DQ131" s="13">
        <f t="shared" si="97"/>
        <v>29.232057011092596</v>
      </c>
      <c r="DR131" s="20">
        <f t="shared" si="70"/>
        <v>241.76470011932011</v>
      </c>
      <c r="DS131" s="59">
        <f t="shared" si="71"/>
        <v>525.33933721788867</v>
      </c>
      <c r="DT131" s="59">
        <f ca="1">AVERAGE(OFFSET($DS$3,0,0,'Données projet'!$E$14+1,1))-AVERAGE(OFFSET($H$3,0,0,'Données projet'!$E$14+1,1))</f>
        <v>441.20130048888439</v>
      </c>
      <c r="DU131" s="59">
        <f t="shared" si="98"/>
        <v>237.47732532183946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208.70264243971181</v>
      </c>
      <c r="EB131" s="21">
        <f>EXP(-LN(2)/25)*EB130+(1-EXP(-LN(2)/25))/(LN(2)/25)*Calculateur!DW131*Calculateur!DY131*VLOOKUP('Données projet'!$B$14,Paramètres!$A$1:$I$89,3,0)*0.475*44/12</f>
        <v>0</v>
      </c>
      <c r="EC131" s="21">
        <f>EXP(-LN(2)/2)*EC130+(1-EXP(-LN(2)/2))/(LN(2)/2)*DW131*DZ131*VLOOKUP('Données projet'!$B$14,Paramètres!$A$1:$I$89,3,0)*0.475*44/12</f>
        <v>0</v>
      </c>
      <c r="ED131" s="22">
        <f t="shared" si="72"/>
        <v>208.70264243971181</v>
      </c>
      <c r="EE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319</v>
      </c>
      <c r="EK131" s="17">
        <f>EJ131*VLOOKUP('Données projet'!$B$15,Paramètres!$A$1:$I$89,3,0)*VLOOKUP('Données projet'!$B$15,Paramètres!$A$1:$I$89,5,0)</f>
        <v>253.79640000000001</v>
      </c>
      <c r="EL131" s="13">
        <f t="shared" si="99"/>
        <v>61.39816832228076</v>
      </c>
      <c r="EM131" s="20">
        <f t="shared" si="73"/>
        <v>548.96387316130563</v>
      </c>
      <c r="EN131" s="59">
        <f t="shared" si="74"/>
        <v>832.5385102598741</v>
      </c>
      <c r="EO131" s="59">
        <f ca="1">AVERAGE(OFFSET($EN$3,0,0,'Données projet'!$E$15+1,1))-AVERAGE(OFFSET($H$3,0,0,'Données projet'!$E$15+1,1))</f>
        <v>377.27600411578322</v>
      </c>
      <c r="EP131" s="59">
        <f t="shared" si="100"/>
        <v>364.58250627635425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>
        <f>EXP(-LN(2)/35)*EV130+(1-EXP(-LN(2)/35))/(LN(2)/35)*ER131*ES131*VLOOKUP('Données projet'!$B$15,Paramètres!$A$1:$I$89,3,0)*0.475*44/12</f>
        <v>20.549966970654904</v>
      </c>
      <c r="EW131" s="21">
        <f>EXP(-LN(2)/25)*EW130+(1-EXP(-LN(2)/25))/(LN(2)/25)*Calculateur!ER131*Calculateur!ET131*VLOOKUP('Données projet'!$B$15,Paramètres!$A$1:$I$89,3,0)*0.475*44/12</f>
        <v>0</v>
      </c>
      <c r="EX131" s="21">
        <f>EXP(-LN(2)/2)*EX130+(1-EXP(-LN(2)/2))/(LN(2)/2)*ER131*EU131*VLOOKUP('Données projet'!$B$15,Paramètres!$A$1:$I$89,3,0)*0.475*44/12</f>
        <v>0</v>
      </c>
      <c r="EY131" s="22">
        <f t="shared" si="75"/>
        <v>20.549966970654904</v>
      </c>
      <c r="EZ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319</v>
      </c>
      <c r="FF131" s="17">
        <f>FE131*VLOOKUP('Données projet'!$B$16,Paramètres!$A$1:$I$89,3,0)*VLOOKUP('Données projet'!$B$16,Paramètres!$A$1:$I$89,5,0)</f>
        <v>258.77280000000002</v>
      </c>
      <c r="FG131" s="13">
        <f t="shared" si="101"/>
        <v>62.460716522234691</v>
      </c>
      <c r="FH131" s="20">
        <f t="shared" si="76"/>
        <v>559.48170794289206</v>
      </c>
      <c r="FI131" s="59">
        <f t="shared" si="77"/>
        <v>843.05634504146065</v>
      </c>
      <c r="FJ131" s="59">
        <f ca="1">AVERAGE(OFFSET($FI$3,0,0,'Données projet'!$E$16+1,1))-AVERAGE(OFFSET($H$3,0,0,'Données projet'!$E$16+1,1))</f>
        <v>383.47399633251354</v>
      </c>
      <c r="FK131" s="59">
        <f t="shared" si="102"/>
        <v>370.49129421395628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>
        <f>EXP(-LN(2)/35)*FQ130+(1-EXP(-LN(2)/35))/(LN(2)/35)*FM131*FN131*VLOOKUP('Données projet'!$B$16,Paramètres!$A$1:$I$89,3,0)*0.475*44/12</f>
        <v>20.952907499491292</v>
      </c>
      <c r="FR131" s="21">
        <f>EXP(-LN(2)/25)*FR130+(1-EXP(-LN(2)/25))/(LN(2)/25)*Calculateur!FM131*Calculateur!FO131*VLOOKUP('Données projet'!$B$16,Paramètres!$A$1:$I$89,3,0)*0.475*44/12</f>
        <v>0</v>
      </c>
      <c r="FS131" s="21">
        <f>EXP(-LN(2)/2)*FS130+(1-EXP(-LN(2)/2))/(LN(2)/2)*FM131*FP131*VLOOKUP('Données projet'!$B$16,Paramètres!$A$1:$I$89,3,0)*0.475*44/12</f>
        <v>0</v>
      </c>
      <c r="FT131" s="22">
        <f t="shared" si="78"/>
        <v>20.952907499491292</v>
      </c>
      <c r="FU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9.7500000000003695E-2</v>
      </c>
      <c r="FZ131" s="12">
        <f>IF('Données projet'!$A$244&gt;35,FZ130+FY131-GH130,IF(A131&lt;'Données projet'!$A$244,$FW$205^A131,IF(A131='Données projet'!$A$244,'Données projet'!$B$244,FZ130+FY131-GH130)))</f>
        <v>163.35750000000041</v>
      </c>
      <c r="GA131" s="17">
        <f>FZ131*VLOOKUP('Données projet'!$B$17,Paramètres!$A$1:$I$89,3,0)*VLOOKUP('Données projet'!$B$17,Paramètres!$A$1:$I$89,5,0)</f>
        <v>155.4509970000004</v>
      </c>
      <c r="GB131" s="13">
        <f t="shared" si="103"/>
        <v>39.81475905541555</v>
      </c>
      <c r="GC131" s="20">
        <f t="shared" si="79"/>
        <v>340.08785846318278</v>
      </c>
      <c r="GD131" s="59">
        <f t="shared" si="80"/>
        <v>623.66249556175126</v>
      </c>
      <c r="GE131" s="59">
        <f ca="1">AVERAGE(OFFSET($GD$3,0,0,'Données projet'!$E$17+1,1))-AVERAGE(OFFSET($H$3,0,0,'Données projet'!$E$17+1,1))</f>
        <v>592.58528889137358</v>
      </c>
      <c r="GF131" s="59">
        <f t="shared" si="104"/>
        <v>311.31528020403709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>
        <f>EXP(-LN(2)/35)*GL130+(1-EXP(-LN(2)/35))/(LN(2)/35)*GH131*GI131*VLOOKUP('Données projet'!$B$17,Paramètres!$A$1:$I$89,3,0)*0.475*44/12</f>
        <v>240.20492809098909</v>
      </c>
      <c r="GM131" s="21">
        <f>EXP(-LN(2)/25)*GM130+(1-EXP(-LN(2)/25))/(LN(2)/25)*Calculateur!GH131*Calculateur!GJ131*VLOOKUP('Données projet'!$B$17,Paramètres!$A$1:$I$89,3,0)*0.475*44/12</f>
        <v>0</v>
      </c>
      <c r="GN131" s="21">
        <f>EXP(-LN(2)/2)*GN130+(1-EXP(-LN(2)/2))/(LN(2)/2)*GH131*GK131*VLOOKUP('Données projet'!$B$17,Paramètres!$A$1:$I$89,3,0)*0.475*44/12</f>
        <v>0</v>
      </c>
      <c r="GO131" s="21">
        <f t="shared" si="81"/>
        <v>240.20492809098909</v>
      </c>
      <c r="GP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328.00000000000006</v>
      </c>
      <c r="GV131" s="17">
        <f>GU131*VLOOKUP('Données projet'!$B$18,Paramètres!$A$1:$I$89,3,0)*VLOOKUP('Données projet'!$B$18,Paramètres!$A$1:$I$89,5,0)</f>
        <v>255.84000000000006</v>
      </c>
      <c r="GW131" s="13">
        <f t="shared" si="105"/>
        <v>61.834803371075836</v>
      </c>
      <c r="GX131" s="20">
        <f t="shared" si="82"/>
        <v>553.28361587129041</v>
      </c>
      <c r="GY131" s="59">
        <f t="shared" si="83"/>
        <v>836.858252969859</v>
      </c>
      <c r="GZ131" s="59">
        <f ca="1">AVERAGE(OFFSET($GY$3,0,0,'Données projet'!$E$18+1,1))-AVERAGE(OFFSET($H$3,0,0,'Données projet'!$E$18+1,1))</f>
        <v>308.85018589589453</v>
      </c>
      <c r="HA131" s="59">
        <f t="shared" si="106"/>
        <v>302.59481222418219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>
        <f>EXP(-LN(2)/35)*HG130+(1-EXP(-LN(2)/35))/(LN(2)/35)*HC131*HD131*VLOOKUP('Données projet'!$B$18,Paramètres!$A$1:$I$89,3,0)*0.475*44/12</f>
        <v>15.660632592240479</v>
      </c>
      <c r="HH131" s="21">
        <f>EXP(-LN(2)/25)*HH130+(1-EXP(-LN(2)/25))/(LN(2)/25)*Calculateur!HC131*Calculateur!HE131*VLOOKUP('Données projet'!$B$18,Paramètres!$A$1:$I$89,3,0)*0.475*44/12</f>
        <v>0</v>
      </c>
      <c r="HI131" s="21">
        <f>EXP(-LN(2)/2)*HI130+(1-EXP(-LN(2)/2))/(LN(2)/2)*HC131*HF131*VLOOKUP('Données projet'!$B$18,Paramètres!$A$1:$I$89,3,0)*0.475*44/12</f>
        <v>0</v>
      </c>
      <c r="HJ131" s="22">
        <f t="shared" si="84"/>
        <v>15.660632592240479</v>
      </c>
    </row>
    <row r="132" spans="1:218" x14ac:dyDescent="0.35">
      <c r="A132" s="10">
        <f t="shared" si="85"/>
        <v>129</v>
      </c>
      <c r="B132" s="72">
        <f>'Scénario référence'!$B$16*5+'Scénario référence'!$B$17*0+'Scénario référence'!$B$18*5</f>
        <v>5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66">
        <f t="shared" ref="H132:H195" si="110">(B132+E132+F132)*44/12+(C132+D132)*0.475*44/12</f>
        <v>183.33333333333334</v>
      </c>
      <c r="I132" s="6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9.7500000000003695E-2</v>
      </c>
      <c r="N132" s="13">
        <f>IF('Données projet'!$A$36&gt;35,N131+M132-V131,IF(A132&lt;'Données projet'!$A$36,$K$205^A132,IF(A132='Données projet'!$A$36,'Données projet'!$B$36,N131+M132-V131)))</f>
        <v>163.45500000000041</v>
      </c>
      <c r="O132" s="13">
        <f>N132*VLOOKUP('Données projet'!$B$9,Paramètres!$A$1:$I$89,3,0)*VLOOKUP('Données projet'!$B$9,Paramètres!$A$1:$I$89,5,0)</f>
        <v>147.89408400000036</v>
      </c>
      <c r="P132" s="13">
        <f t="shared" si="87"/>
        <v>38.099615551686391</v>
      </c>
      <c r="Q132" s="20">
        <f t="shared" si="108"/>
        <v>323.93902671918772</v>
      </c>
      <c r="R132" s="59">
        <f t="shared" si="109"/>
        <v>607.68295538025313</v>
      </c>
      <c r="S132" s="59">
        <f ca="1">AVERAGE(OFFSET($R$3,0,0,'Données projet'!$E$9+1,1))-AVERAGE(OFFSET($H$3,0,0,'Données projet'!$E$9+1,1))</f>
        <v>567.42635821507474</v>
      </c>
      <c r="T132" s="59">
        <f t="shared" si="88"/>
        <v>299.04735309930152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223.91295157010694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223.91295157010694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9.7500000000003695E-2</v>
      </c>
      <c r="AI132" s="13">
        <f>IF('Données projet'!$A$62&gt;35,AI131+AH132-AQ131,IF(A132&lt;'Données projet'!$A$62,$AF$205^A132,IF(A132='Données projet'!$A$62,'Données projet'!$B$62,AI131+AH132-AQ131)))</f>
        <v>163.45500000000041</v>
      </c>
      <c r="AJ132" s="13">
        <f>AI132*VLOOKUP('Données projet'!$B$10,Paramètres!$A$1:$I$89,3,0)*VLOOKUP('Données projet'!$B$10,Paramètres!$A$1:$I$89,5,0)</f>
        <v>165.74337000000043</v>
      </c>
      <c r="AK132" s="13">
        <f t="shared" si="89"/>
        <v>42.135277666835059</v>
      </c>
      <c r="AL132" s="20">
        <f t="shared" ref="AL132:AL153" si="112">(AJ132+AK132)*0.475*44/12</f>
        <v>362.05531135307177</v>
      </c>
      <c r="AM132" s="59">
        <f t="shared" ref="AM132:AM195" si="113">AL132+(AD132+AE132)*44/12</f>
        <v>645.79924001413713</v>
      </c>
      <c r="AN132" s="59">
        <f ca="1">AVERAGE(OFFSET($AM$3,0,0,'Données projet'!$E$10+1,1))-AVERAGE(OFFSET($H$3,0,0,'Données projet'!$E$10+1,1))</f>
        <v>626.09203985591455</v>
      </c>
      <c r="AO132" s="59">
        <f t="shared" si="90"/>
        <v>327.65191296575199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250.93692848374062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250.93692848374062</v>
      </c>
      <c r="AY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404.00000000000017</v>
      </c>
      <c r="BE132" s="13">
        <f>BD132*VLOOKUP('Données projet'!$B$11,Paramètres!$A$1:$I$89,3,0)*VLOOKUP('Données projet'!$B$11,Paramètres!$A$1:$I$89,5,0)</f>
        <v>346.63200000000018</v>
      </c>
      <c r="BF132" s="13">
        <f t="shared" si="91"/>
        <v>80.868615263336864</v>
      </c>
      <c r="BG132" s="20">
        <f t="shared" ref="BG132:BG153" si="115">(BE132+BF132)*0.475*44/12</f>
        <v>744.56357158364528</v>
      </c>
      <c r="BH132" s="59">
        <f t="shared" ref="BH132:BH195" si="116">BG132+(AY132+AZ132)*44/12</f>
        <v>1028.3075002447106</v>
      </c>
      <c r="BI132" s="59">
        <f ca="1">AVERAGE(OFFSET($BH$3,0,0,'Données projet'!$E$11+1,1))-AVERAGE(OFFSET($H$3,0,0,'Données projet'!$E$11+1,1))</f>
        <v>481.23392184981651</v>
      </c>
      <c r="BJ132" s="59">
        <f t="shared" si="92"/>
        <v>275.88160405468193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83.637282760059918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83.637282760059918</v>
      </c>
      <c r="BT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5.2499999999990337</v>
      </c>
      <c r="BZ132" s="13">
        <f>BY132*VLOOKUP('Données projet'!$B$12,Paramètres!$A$1:$I$89,3,0)*VLOOKUP('Données projet'!$B$12,Paramètres!$A$1:$I$89,5,0)</f>
        <v>2.4569999999995478</v>
      </c>
      <c r="CA132" s="13">
        <f t="shared" si="93"/>
        <v>1.0197977774625564</v>
      </c>
      <c r="CB132" s="20">
        <f t="shared" ref="CB132:CB153" si="118">(BZ132+CA132)*0.475*44/12</f>
        <v>6.0554227957464972</v>
      </c>
      <c r="CC132" s="59">
        <f t="shared" ref="CC132:CC195" si="119">CB132+(BT132+BU132)*44/12</f>
        <v>289.79935145681185</v>
      </c>
      <c r="CD132" s="59">
        <f ca="1">AVERAGE(OFFSET($CC$3,0,0,'Données projet'!$E$12+1,1))-AVERAGE(OFFSET($H$3,0,0,'Données projet'!$E$12+1,1))</f>
        <v>331.86732359395467</v>
      </c>
      <c r="CE132" s="59">
        <f t="shared" si="94"/>
        <v>208.64489375183106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163.45226186583534</v>
      </c>
      <c r="CL132" s="21">
        <f>EXP(-LN(2)/25)*CL131+(1-EXP(-LN(2)/25))/(LN(2)/25)*Calculateur!CG132*Calculateur!CI132*VLOOKUP('Données projet'!$B$12,Paramètres!$A$1:$I$89,3,0)*0.475*44/12</f>
        <v>0</v>
      </c>
      <c r="CM132" s="21">
        <f>EXP(-LN(2)/2)*CM131+(1-EXP(-LN(2)/2))/(LN(2)/2)*CG132*CJ132*VLOOKUP('Données projet'!$B$12,Paramètres!$A$1:$I$89,3,0)*0.475*44/12</f>
        <v>0</v>
      </c>
      <c r="CN132" s="22">
        <f t="shared" ref="CN132:CN153" si="120">SUM(CK132:CM132)</f>
        <v>163.45226186583534</v>
      </c>
      <c r="CO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319</v>
      </c>
      <c r="CU132" s="17">
        <f>CT132*VLOOKUP('Données projet'!$B$13,Paramètres!$A$1:$I$89,3,0)*VLOOKUP('Données projet'!$B$13,Paramètres!$A$1:$I$89,5,0)</f>
        <v>233.89079999999998</v>
      </c>
      <c r="CV132" s="13">
        <f t="shared" si="95"/>
        <v>57.123140349023068</v>
      </c>
      <c r="CW132" s="20">
        <f t="shared" ref="CW132:CW153" si="121">(CU132+CV132)*0.475*44/12</f>
        <v>506.84927944121517</v>
      </c>
      <c r="CX132" s="59">
        <f t="shared" ref="CX132:CX195" si="122">CW132+(CO132+CP132)*44/12</f>
        <v>790.59320810228053</v>
      </c>
      <c r="CY132" s="59">
        <f ca="1">AVERAGE(OFFSET($CX$3,0,0,'Données projet'!$E$13+1,1))-AVERAGE(OFFSET($H$3,0,0,'Données projet'!$E$13+1,1))</f>
        <v>352.45777291109863</v>
      </c>
      <c r="CZ132" s="59">
        <f t="shared" si="96"/>
        <v>340.92165104349181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15.063661188645868</v>
      </c>
      <c r="DG132" s="21">
        <f>EXP(-LN(2)/25)*DG131+(1-EXP(-LN(2)/25))/(LN(2)/25)*Calculateur!DB132*Calculateur!DD132*VLOOKUP('Données projet'!$B$13,Paramètres!$A$1:$I$89,3,0)*0.475*44/12</f>
        <v>0</v>
      </c>
      <c r="DH132" s="21">
        <f>EXP(-LN(2)/2)*DH131+(1-EXP(-LN(2)/2))/(LN(2)/2)*DB132*DE132*VLOOKUP('Données projet'!$B$13,Paramètres!$A$1:$I$89,3,0)*0.475*44/12</f>
        <v>0</v>
      </c>
      <c r="DI132" s="22">
        <f t="shared" ref="DI132:DI153" si="123">SUM(DF132:DH132)</f>
        <v>15.063661188645868</v>
      </c>
      <c r="DJ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9.7500000000003695E-2</v>
      </c>
      <c r="DO132" s="12">
        <f>IF('Données projet'!$A$166&gt;35,DO131+DN132-DW131,IF(A132&lt;'Données projet'!$A$166,$DL$205^A132,IF(A132='Données projet'!$A$166,'Données projet'!$B$166,DO131+DN132-DW131)))</f>
        <v>163.45500000000041</v>
      </c>
      <c r="DP132" s="17">
        <f>DO132*VLOOKUP('Données projet'!$B$14,Paramètres!$A$1:$I$89,3,0)*VLOOKUP('Données projet'!$B$14,Paramètres!$A$1:$I$89,5,0)</f>
        <v>109.64561400000028</v>
      </c>
      <c r="DQ132" s="13">
        <f t="shared" si="97"/>
        <v>29.247472792327603</v>
      </c>
      <c r="DR132" s="20">
        <f t="shared" ref="DR132:DR153" si="124">(DP132+DQ132)*0.475*44/12</f>
        <v>241.90545949663775</v>
      </c>
      <c r="DS132" s="59">
        <f t="shared" ref="DS132:DS195" si="125">DR132+(DJ132+DK132)*44/12</f>
        <v>525.64938815770313</v>
      </c>
      <c r="DT132" s="59">
        <f ca="1">AVERAGE(OFFSET($DS$3,0,0,'Données projet'!$E$14+1,1))-AVERAGE(OFFSET($H$3,0,0,'Données projet'!$E$14+1,1))</f>
        <v>441.20130048888439</v>
      </c>
      <c r="DU132" s="59">
        <f t="shared" si="98"/>
        <v>237.47732532183946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204.61011091751152</v>
      </c>
      <c r="EB132" s="21">
        <f>EXP(-LN(2)/25)*EB131+(1-EXP(-LN(2)/25))/(LN(2)/25)*Calculateur!DW132*Calculateur!DY132*VLOOKUP('Données projet'!$B$14,Paramètres!$A$1:$I$89,3,0)*0.475*44/12</f>
        <v>0</v>
      </c>
      <c r="EC132" s="21">
        <f>EXP(-LN(2)/2)*EC131+(1-EXP(-LN(2)/2))/(LN(2)/2)*DW132*DZ132*VLOOKUP('Données projet'!$B$14,Paramètres!$A$1:$I$89,3,0)*0.475*44/12</f>
        <v>0</v>
      </c>
      <c r="ED132" s="22">
        <f t="shared" ref="ED132:ED153" si="126">SUM(EA132:EC132)</f>
        <v>204.61011091751152</v>
      </c>
      <c r="EE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319</v>
      </c>
      <c r="EK132" s="17">
        <f>EJ132*VLOOKUP('Données projet'!$B$15,Paramètres!$A$1:$I$89,3,0)*VLOOKUP('Données projet'!$B$15,Paramètres!$A$1:$I$89,5,0)</f>
        <v>253.79640000000001</v>
      </c>
      <c r="EL132" s="13">
        <f t="shared" si="99"/>
        <v>61.39816832228076</v>
      </c>
      <c r="EM132" s="20">
        <f t="shared" ref="EM132:EM153" si="127">(EK132+EL132)*0.475*44/12</f>
        <v>548.96387316130563</v>
      </c>
      <c r="EN132" s="59">
        <f t="shared" ref="EN132:EN195" si="128">EM132+(EE132+EF132)*44/12</f>
        <v>832.70780182237104</v>
      </c>
      <c r="EO132" s="59">
        <f ca="1">AVERAGE(OFFSET($EN$3,0,0,'Données projet'!$E$15+1,1))-AVERAGE(OFFSET($H$3,0,0,'Données projet'!$E$15+1,1))</f>
        <v>377.27600411578322</v>
      </c>
      <c r="EP132" s="59">
        <f t="shared" si="100"/>
        <v>364.58250627635425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>
        <f>EXP(-LN(2)/35)*EV131+(1-EXP(-LN(2)/35))/(LN(2)/35)*ER132*ES132*VLOOKUP('Données projet'!$B$15,Paramètres!$A$1:$I$89,3,0)*0.475*44/12</f>
        <v>20.146994652602558</v>
      </c>
      <c r="EW132" s="21">
        <f>EXP(-LN(2)/25)*EW131+(1-EXP(-LN(2)/25))/(LN(2)/25)*Calculateur!ER132*Calculateur!ET132*VLOOKUP('Données projet'!$B$15,Paramètres!$A$1:$I$89,3,0)*0.475*44/12</f>
        <v>0</v>
      </c>
      <c r="EX132" s="21">
        <f>EXP(-LN(2)/2)*EX131+(1-EXP(-LN(2)/2))/(LN(2)/2)*ER132*EU132*VLOOKUP('Données projet'!$B$15,Paramètres!$A$1:$I$89,3,0)*0.475*44/12</f>
        <v>0</v>
      </c>
      <c r="EY132" s="22">
        <f t="shared" ref="EY132:EY153" si="129">SUM(EV132:EX132)</f>
        <v>20.146994652602558</v>
      </c>
      <c r="EZ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319</v>
      </c>
      <c r="FF132" s="17">
        <f>FE132*VLOOKUP('Données projet'!$B$16,Paramètres!$A$1:$I$89,3,0)*VLOOKUP('Données projet'!$B$16,Paramètres!$A$1:$I$89,5,0)</f>
        <v>258.77280000000002</v>
      </c>
      <c r="FG132" s="13">
        <f t="shared" si="101"/>
        <v>62.460716522234691</v>
      </c>
      <c r="FH132" s="20">
        <f t="shared" ref="FH132:FH153" si="130">(FF132+FG132)*0.475*44/12</f>
        <v>559.48170794289206</v>
      </c>
      <c r="FI132" s="59">
        <f t="shared" ref="FI132:FI195" si="131">FH132+(EZ132+FA132)*44/12</f>
        <v>843.22563660395735</v>
      </c>
      <c r="FJ132" s="59">
        <f ca="1">AVERAGE(OFFSET($FI$3,0,0,'Données projet'!$E$16+1,1))-AVERAGE(OFFSET($H$3,0,0,'Données projet'!$E$16+1,1))</f>
        <v>383.47399633251354</v>
      </c>
      <c r="FK132" s="59">
        <f t="shared" si="102"/>
        <v>370.49129421395628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>
        <f>EXP(-LN(2)/35)*FQ131+(1-EXP(-LN(2)/35))/(LN(2)/35)*FM132*FN132*VLOOKUP('Données projet'!$B$16,Paramètres!$A$1:$I$89,3,0)*0.475*44/12</f>
        <v>20.542033763437921</v>
      </c>
      <c r="FR132" s="21">
        <f>EXP(-LN(2)/25)*FR131+(1-EXP(-LN(2)/25))/(LN(2)/25)*Calculateur!FM132*Calculateur!FO132*VLOOKUP('Données projet'!$B$16,Paramètres!$A$1:$I$89,3,0)*0.475*44/12</f>
        <v>0</v>
      </c>
      <c r="FS132" s="21">
        <f>EXP(-LN(2)/2)*FS131+(1-EXP(-LN(2)/2))/(LN(2)/2)*FM132*FP132*VLOOKUP('Données projet'!$B$16,Paramètres!$A$1:$I$89,3,0)*0.475*44/12</f>
        <v>0</v>
      </c>
      <c r="FT132" s="22">
        <f t="shared" ref="FT132:FT153" si="132">SUM(FQ132:FS132)</f>
        <v>20.542033763437921</v>
      </c>
      <c r="FU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9.7500000000003695E-2</v>
      </c>
      <c r="FZ132" s="12">
        <f>IF('Données projet'!$A$244&gt;35,FZ131+FY132-GH131,IF(A132&lt;'Données projet'!$A$244,$FW$205^A132,IF(A132='Données projet'!$A$244,'Données projet'!$B$244,FZ131+FY132-GH131)))</f>
        <v>163.45500000000041</v>
      </c>
      <c r="GA132" s="17">
        <f>FZ132*VLOOKUP('Données projet'!$B$17,Paramètres!$A$1:$I$89,3,0)*VLOOKUP('Données projet'!$B$17,Paramètres!$A$1:$I$89,5,0)</f>
        <v>155.5437780000004</v>
      </c>
      <c r="GB132" s="13">
        <f t="shared" si="103"/>
        <v>39.83575571724095</v>
      </c>
      <c r="GC132" s="20">
        <f t="shared" ref="GC132:GC153" si="133">(GA132+GB132)*0.475*44/12</f>
        <v>340.28602122419534</v>
      </c>
      <c r="GD132" s="59">
        <f t="shared" ref="GD132:GD195" si="134">GC132+(FU132+FV132)*44/12</f>
        <v>624.02994988526075</v>
      </c>
      <c r="GE132" s="59">
        <f ca="1">AVERAGE(OFFSET($GD$3,0,0,'Données projet'!$E$17+1,1))-AVERAGE(OFFSET($H$3,0,0,'Données projet'!$E$17+1,1))</f>
        <v>592.58528889137358</v>
      </c>
      <c r="GF132" s="59">
        <f t="shared" si="104"/>
        <v>311.31528020403709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>
        <f>EXP(-LN(2)/35)*GL131+(1-EXP(-LN(2)/35))/(LN(2)/35)*GH132*GI132*VLOOKUP('Données projet'!$B$17,Paramètres!$A$1:$I$89,3,0)*0.475*44/12</f>
        <v>235.49465596166422</v>
      </c>
      <c r="GM132" s="21">
        <f>EXP(-LN(2)/25)*GM131+(1-EXP(-LN(2)/25))/(LN(2)/25)*Calculateur!GH132*Calculateur!GJ132*VLOOKUP('Données projet'!$B$17,Paramètres!$A$1:$I$89,3,0)*0.475*44/12</f>
        <v>0</v>
      </c>
      <c r="GN132" s="21">
        <f>EXP(-LN(2)/2)*GN131+(1-EXP(-LN(2)/2))/(LN(2)/2)*GH132*GK132*VLOOKUP('Données projet'!$B$17,Paramètres!$A$1:$I$89,3,0)*0.475*44/12</f>
        <v>0</v>
      </c>
      <c r="GO132" s="21">
        <f t="shared" ref="GO132:GO153" si="135">SUM(GL132:GN132)</f>
        <v>235.49465596166422</v>
      </c>
      <c r="GP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328.00000000000006</v>
      </c>
      <c r="GV132" s="17">
        <f>GU132*VLOOKUP('Données projet'!$B$18,Paramètres!$A$1:$I$89,3,0)*VLOOKUP('Données projet'!$B$18,Paramètres!$A$1:$I$89,5,0)</f>
        <v>255.84000000000006</v>
      </c>
      <c r="GW132" s="13">
        <f t="shared" si="105"/>
        <v>61.834803371075836</v>
      </c>
      <c r="GX132" s="20">
        <f t="shared" ref="GX132:GX153" si="136">(GV132+GW132)*0.475*44/12</f>
        <v>553.28361587129041</v>
      </c>
      <c r="GY132" s="59">
        <f t="shared" ref="GY132:GY195" si="137">GX132+(GP132+GQ132)*44/12</f>
        <v>837.02754453235571</v>
      </c>
      <c r="GZ132" s="59">
        <f ca="1">AVERAGE(OFFSET($GY$3,0,0,'Données projet'!$E$18+1,1))-AVERAGE(OFFSET($H$3,0,0,'Données projet'!$E$18+1,1))</f>
        <v>308.85018589589453</v>
      </c>
      <c r="HA132" s="59">
        <f t="shared" si="106"/>
        <v>302.59481222418219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>
        <f>EXP(-LN(2)/35)*HG131+(1-EXP(-LN(2)/35))/(LN(2)/35)*HC132*HD132*VLOOKUP('Données projet'!$B$18,Paramètres!$A$1:$I$89,3,0)*0.475*44/12</f>
        <v>15.353537139149338</v>
      </c>
      <c r="HH132" s="21">
        <f>EXP(-LN(2)/25)*HH131+(1-EXP(-LN(2)/25))/(LN(2)/25)*Calculateur!HC132*Calculateur!HE132*VLOOKUP('Données projet'!$B$18,Paramètres!$A$1:$I$89,3,0)*0.475*44/12</f>
        <v>0</v>
      </c>
      <c r="HI132" s="21">
        <f>EXP(-LN(2)/2)*HI131+(1-EXP(-LN(2)/2))/(LN(2)/2)*HC132*HF132*VLOOKUP('Données projet'!$B$18,Paramètres!$A$1:$I$89,3,0)*0.475*44/12</f>
        <v>0</v>
      </c>
      <c r="HJ132" s="22">
        <f t="shared" ref="HJ132:HJ153" si="138">SUM(HG132:HI132)</f>
        <v>15.353537139149338</v>
      </c>
    </row>
    <row r="133" spans="1:218" x14ac:dyDescent="0.35">
      <c r="A133" s="10">
        <f t="shared" ref="A133:A152" si="139">A132+1</f>
        <v>130</v>
      </c>
      <c r="B133" s="72">
        <f>'Scénario référence'!$B$16*5+'Scénario référence'!$B$17*0+'Scénario référence'!$B$18*5</f>
        <v>5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66">
        <f t="shared" si="110"/>
        <v>183.33333333333334</v>
      </c>
      <c r="I133" s="6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9.7500000000003695E-2</v>
      </c>
      <c r="N133" s="13">
        <f>IF('Données projet'!$A$36&gt;35,N132+M133-V132,IF(A133&lt;'Données projet'!$A$36,$K$205^A133,IF(A133='Données projet'!$A$36,'Données projet'!$B$36,N132+M133-V132)))</f>
        <v>163.55250000000041</v>
      </c>
      <c r="O133" s="13">
        <f>N133*VLOOKUP('Données projet'!$B$9,Paramètres!$A$1:$I$89,3,0)*VLOOKUP('Données projet'!$B$9,Paramètres!$A$1:$I$89,5,0)</f>
        <v>147.98230200000037</v>
      </c>
      <c r="P133" s="13">
        <f t="shared" ref="P133:P196" si="141">EXP(-1.0587+0.8836*LN(O133)+0.284)</f>
        <v>38.119695733116984</v>
      </c>
      <c r="Q133" s="20">
        <f t="shared" si="108"/>
        <v>324.127646051846</v>
      </c>
      <c r="R133" s="59">
        <f t="shared" si="109"/>
        <v>608.03792944527811</v>
      </c>
      <c r="S133" s="59">
        <f ca="1">AVERAGE(OFFSET($R$3,0,0,'Données projet'!$E$9+1,1))-AVERAGE(OFFSET($H$3,0,0,'Données projet'!$E$9+1,1))</f>
        <v>567.42635821507474</v>
      </c>
      <c r="T133" s="59">
        <f t="shared" ref="T133:T196" si="142">$T$3</f>
        <v>299.04735309930152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219.5221551632321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219.5221551632321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9.7500000000003695E-2</v>
      </c>
      <c r="AI133" s="13">
        <f>IF('Données projet'!$A$62&gt;35,AI132+AH133-AQ132,IF(A133&lt;'Données projet'!$A$62,$AF$205^A133,IF(A133='Données projet'!$A$62,'Données projet'!$B$62,AI132+AH133-AQ132)))</f>
        <v>163.55250000000041</v>
      </c>
      <c r="AJ133" s="13">
        <f>AI133*VLOOKUP('Données projet'!$B$10,Paramètres!$A$1:$I$89,3,0)*VLOOKUP('Données projet'!$B$10,Paramètres!$A$1:$I$89,5,0)</f>
        <v>165.84223500000041</v>
      </c>
      <c r="AK133" s="13">
        <f t="shared" ref="AK133:AK153" si="143">EXP(-1.0587+0.8836*LN(AJ133)+0.284)</f>
        <v>42.157484820579974</v>
      </c>
      <c r="AL133" s="20">
        <f t="shared" si="112"/>
        <v>362.26617868751083</v>
      </c>
      <c r="AM133" s="59">
        <f t="shared" si="113"/>
        <v>646.17646208094288</v>
      </c>
      <c r="AN133" s="59">
        <f ca="1">AVERAGE(OFFSET($AM$3,0,0,'Données projet'!$E$10+1,1))-AVERAGE(OFFSET($H$3,0,0,'Données projet'!$E$10+1,1))</f>
        <v>626.09203985591455</v>
      </c>
      <c r="AO133" s="59">
        <f t="shared" ref="AO133:AO196" si="144">$AO$3</f>
        <v>327.65191296575199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246.01620837258778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246.01620837258778</v>
      </c>
      <c r="AY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404.00000000000017</v>
      </c>
      <c r="BE133" s="13">
        <f>BD133*VLOOKUP('Données projet'!$B$11,Paramètres!$A$1:$I$89,3,0)*VLOOKUP('Données projet'!$B$11,Paramètres!$A$1:$I$89,5,0)</f>
        <v>346.63200000000018</v>
      </c>
      <c r="BF133" s="13">
        <f t="shared" ref="BF133:BF153" si="145">EXP(-1.0587+0.8836*LN(BE133)+0.284)</f>
        <v>80.868615263336864</v>
      </c>
      <c r="BG133" s="20">
        <f t="shared" si="115"/>
        <v>744.56357158364528</v>
      </c>
      <c r="BH133" s="59">
        <f t="shared" si="116"/>
        <v>1028.4738549770773</v>
      </c>
      <c r="BI133" s="59">
        <f ca="1">AVERAGE(OFFSET($BH$3,0,0,'Données projet'!$E$11+1,1))-AVERAGE(OFFSET($H$3,0,0,'Données projet'!$E$11+1,1))</f>
        <v>481.23392184981651</v>
      </c>
      <c r="BJ133" s="59">
        <f t="shared" ref="BJ133:BJ196" si="146">$BJ$3</f>
        <v>275.88160405468193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81.99720665884044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81.99720665884044</v>
      </c>
      <c r="BT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5.2499999999990337</v>
      </c>
      <c r="BZ133" s="13">
        <f>BY133*VLOOKUP('Données projet'!$B$12,Paramètres!$A$1:$I$89,3,0)*VLOOKUP('Données projet'!$B$12,Paramètres!$A$1:$I$89,5,0)</f>
        <v>2.4569999999995478</v>
      </c>
      <c r="CA133" s="13">
        <f t="shared" ref="CA133:CA153" si="147">EXP(-1.0587+0.8836*LN(BZ133)+0.284)</f>
        <v>1.0197977774625564</v>
      </c>
      <c r="CB133" s="20">
        <f t="shared" si="118"/>
        <v>6.0554227957464972</v>
      </c>
      <c r="CC133" s="59">
        <f t="shared" si="119"/>
        <v>289.9657061891786</v>
      </c>
      <c r="CD133" s="59">
        <f ca="1">AVERAGE(OFFSET($CC$3,0,0,'Données projet'!$E$12+1,1))-AVERAGE(OFFSET($H$3,0,0,'Données projet'!$E$12+1,1))</f>
        <v>331.86732359395467</v>
      </c>
      <c r="CE133" s="59">
        <f t="shared" ref="CE133:CE196" si="148">$CE$3</f>
        <v>208.64489375183106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160.24706270668187</v>
      </c>
      <c r="CL133" s="21">
        <f>EXP(-LN(2)/25)*CL132+(1-EXP(-LN(2)/25))/(LN(2)/25)*Calculateur!CG133*Calculateur!CI133*VLOOKUP('Données projet'!$B$12,Paramètres!$A$1:$I$89,3,0)*0.475*44/12</f>
        <v>0</v>
      </c>
      <c r="CM133" s="21">
        <f>EXP(-LN(2)/2)*CM132+(1-EXP(-LN(2)/2))/(LN(2)/2)*CG133*CJ133*VLOOKUP('Données projet'!$B$12,Paramètres!$A$1:$I$89,3,0)*0.475*44/12</f>
        <v>0</v>
      </c>
      <c r="CN133" s="22">
        <f t="shared" si="120"/>
        <v>160.24706270668187</v>
      </c>
      <c r="CO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319</v>
      </c>
      <c r="CU133" s="17">
        <f>CT133*VLOOKUP('Données projet'!$B$13,Paramètres!$A$1:$I$89,3,0)*VLOOKUP('Données projet'!$B$13,Paramètres!$A$1:$I$89,5,0)</f>
        <v>233.89079999999998</v>
      </c>
      <c r="CV133" s="13">
        <f t="shared" ref="CV133:CV153" si="149">EXP(-1.0587+0.8836*LN(CU133)+0.284)</f>
        <v>57.123140349023068</v>
      </c>
      <c r="CW133" s="20">
        <f t="shared" si="121"/>
        <v>506.84927944121517</v>
      </c>
      <c r="CX133" s="59">
        <f t="shared" si="122"/>
        <v>790.75956283464734</v>
      </c>
      <c r="CY133" s="59">
        <f ca="1">AVERAGE(OFFSET($CX$3,0,0,'Données projet'!$E$13+1,1))-AVERAGE(OFFSET($H$3,0,0,'Données projet'!$E$13+1,1))</f>
        <v>352.45777291109863</v>
      </c>
      <c r="CZ133" s="59">
        <f t="shared" ref="CZ133:CZ196" si="150">$CZ$3</f>
        <v>340.92165104349181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14.768271980662616</v>
      </c>
      <c r="DG133" s="21">
        <f>EXP(-LN(2)/25)*DG132+(1-EXP(-LN(2)/25))/(LN(2)/25)*Calculateur!DB133*Calculateur!DD133*VLOOKUP('Données projet'!$B$13,Paramètres!$A$1:$I$89,3,0)*0.475*44/12</f>
        <v>0</v>
      </c>
      <c r="DH133" s="21">
        <f>EXP(-LN(2)/2)*DH132+(1-EXP(-LN(2)/2))/(LN(2)/2)*DB133*DE133*VLOOKUP('Données projet'!$B$13,Paramètres!$A$1:$I$89,3,0)*0.475*44/12</f>
        <v>0</v>
      </c>
      <c r="DI133" s="22">
        <f t="shared" si="123"/>
        <v>14.768271980662616</v>
      </c>
      <c r="DJ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9.7500000000003695E-2</v>
      </c>
      <c r="DO133" s="12">
        <f>IF('Données projet'!$A$166&gt;35,DO132+DN133-DW132,IF(A133&lt;'Données projet'!$A$166,$DL$205^A133,IF(A133='Données projet'!$A$166,'Données projet'!$B$166,DO132+DN133-DW132)))</f>
        <v>163.55250000000041</v>
      </c>
      <c r="DP133" s="17">
        <f>DO133*VLOOKUP('Données projet'!$B$14,Paramètres!$A$1:$I$89,3,0)*VLOOKUP('Données projet'!$B$14,Paramètres!$A$1:$I$89,5,0)</f>
        <v>109.71101700000028</v>
      </c>
      <c r="DQ133" s="13">
        <f t="shared" ref="DQ133:DQ153" si="151">EXP(-1.0587+0.8836*LN(DP133)+0.284)</f>
        <v>29.262887503251875</v>
      </c>
      <c r="DR133" s="20">
        <f t="shared" si="124"/>
        <v>242.0462170098308</v>
      </c>
      <c r="DS133" s="59">
        <f t="shared" si="125"/>
        <v>525.95650040326291</v>
      </c>
      <c r="DT133" s="59">
        <f ca="1">AVERAGE(OFFSET($DS$3,0,0,'Données projet'!$E$14+1,1))-AVERAGE(OFFSET($H$3,0,0,'Données projet'!$E$14+1,1))</f>
        <v>441.20130048888439</v>
      </c>
      <c r="DU133" s="59">
        <f t="shared" ref="DU133:DU196" si="152">$DU$3</f>
        <v>237.47732532183946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200.59783144226381</v>
      </c>
      <c r="EB133" s="21">
        <f>EXP(-LN(2)/25)*EB132+(1-EXP(-LN(2)/25))/(LN(2)/25)*Calculateur!DW133*Calculateur!DY133*VLOOKUP('Données projet'!$B$14,Paramètres!$A$1:$I$89,3,0)*0.475*44/12</f>
        <v>0</v>
      </c>
      <c r="EC133" s="21">
        <f>EXP(-LN(2)/2)*EC132+(1-EXP(-LN(2)/2))/(LN(2)/2)*DW133*DZ133*VLOOKUP('Données projet'!$B$14,Paramètres!$A$1:$I$89,3,0)*0.475*44/12</f>
        <v>0</v>
      </c>
      <c r="ED133" s="22">
        <f t="shared" si="126"/>
        <v>200.59783144226381</v>
      </c>
      <c r="EE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319</v>
      </c>
      <c r="EK133" s="17">
        <f>EJ133*VLOOKUP('Données projet'!$B$15,Paramètres!$A$1:$I$89,3,0)*VLOOKUP('Données projet'!$B$15,Paramètres!$A$1:$I$89,5,0)</f>
        <v>253.79640000000001</v>
      </c>
      <c r="EL133" s="13">
        <f t="shared" ref="EL133:EL153" si="153">EXP(-1.0587+0.8836*LN(EK133)+0.284)</f>
        <v>61.39816832228076</v>
      </c>
      <c r="EM133" s="20">
        <f t="shared" si="127"/>
        <v>548.96387316130563</v>
      </c>
      <c r="EN133" s="59">
        <f t="shared" si="128"/>
        <v>832.87415655473774</v>
      </c>
      <c r="EO133" s="59">
        <f ca="1">AVERAGE(OFFSET($EN$3,0,0,'Données projet'!$E$15+1,1))-AVERAGE(OFFSET($H$3,0,0,'Données projet'!$E$15+1,1))</f>
        <v>377.27600411578322</v>
      </c>
      <c r="EP133" s="59">
        <f t="shared" ref="EP133:EP196" si="154">$EP$3</f>
        <v>364.58250627635425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>
        <f>EXP(-LN(2)/35)*EV132+(1-EXP(-LN(2)/35))/(LN(2)/35)*ER133*ES133*VLOOKUP('Données projet'!$B$15,Paramètres!$A$1:$I$89,3,0)*0.475*44/12</f>
        <v>19.751924375918374</v>
      </c>
      <c r="EW133" s="21">
        <f>EXP(-LN(2)/25)*EW132+(1-EXP(-LN(2)/25))/(LN(2)/25)*Calculateur!ER133*Calculateur!ET133*VLOOKUP('Données projet'!$B$15,Paramètres!$A$1:$I$89,3,0)*0.475*44/12</f>
        <v>0</v>
      </c>
      <c r="EX133" s="21">
        <f>EXP(-LN(2)/2)*EX132+(1-EXP(-LN(2)/2))/(LN(2)/2)*ER133*EU133*VLOOKUP('Données projet'!$B$15,Paramètres!$A$1:$I$89,3,0)*0.475*44/12</f>
        <v>0</v>
      </c>
      <c r="EY133" s="22">
        <f t="shared" si="129"/>
        <v>19.751924375918374</v>
      </c>
      <c r="EZ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319</v>
      </c>
      <c r="FF133" s="17">
        <f>FE133*VLOOKUP('Données projet'!$B$16,Paramètres!$A$1:$I$89,3,0)*VLOOKUP('Données projet'!$B$16,Paramètres!$A$1:$I$89,5,0)</f>
        <v>258.77280000000002</v>
      </c>
      <c r="FG133" s="13">
        <f t="shared" ref="FG133:FG153" si="155">EXP(-1.0587+0.8836*LN(FF133)+0.284)</f>
        <v>62.460716522234691</v>
      </c>
      <c r="FH133" s="20">
        <f t="shared" si="130"/>
        <v>559.48170794289206</v>
      </c>
      <c r="FI133" s="59">
        <f t="shared" si="131"/>
        <v>843.39199133632417</v>
      </c>
      <c r="FJ133" s="59">
        <f ca="1">AVERAGE(OFFSET($FI$3,0,0,'Données projet'!$E$16+1,1))-AVERAGE(OFFSET($H$3,0,0,'Données projet'!$E$16+1,1))</f>
        <v>383.47399633251354</v>
      </c>
      <c r="FK133" s="59">
        <f t="shared" ref="FK133:FK196" si="156">$FK$3</f>
        <v>370.49129421395628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>
        <f>EXP(-LN(2)/35)*FQ132+(1-EXP(-LN(2)/35))/(LN(2)/35)*FM133*FN133*VLOOKUP('Données projet'!$B$16,Paramètres!$A$1:$I$89,3,0)*0.475*44/12</f>
        <v>20.139217010740325</v>
      </c>
      <c r="FR133" s="21">
        <f>EXP(-LN(2)/25)*FR132+(1-EXP(-LN(2)/25))/(LN(2)/25)*Calculateur!FM133*Calculateur!FO133*VLOOKUP('Données projet'!$B$16,Paramètres!$A$1:$I$89,3,0)*0.475*44/12</f>
        <v>0</v>
      </c>
      <c r="FS133" s="21">
        <f>EXP(-LN(2)/2)*FS132+(1-EXP(-LN(2)/2))/(LN(2)/2)*FM133*FP133*VLOOKUP('Données projet'!$B$16,Paramètres!$A$1:$I$89,3,0)*0.475*44/12</f>
        <v>0</v>
      </c>
      <c r="FT133" s="22">
        <f t="shared" si="132"/>
        <v>20.139217010740325</v>
      </c>
      <c r="FU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9.7500000000003695E-2</v>
      </c>
      <c r="FZ133" s="12">
        <f>IF('Données projet'!$A$244&gt;35,FZ132+FY133-GH132,IF(A133&lt;'Données projet'!$A$244,$FW$205^A133,IF(A133='Données projet'!$A$244,'Données projet'!$B$244,FZ132+FY133-GH132)))</f>
        <v>163.55250000000041</v>
      </c>
      <c r="GA133" s="17">
        <f>FZ133*VLOOKUP('Données projet'!$B$17,Paramètres!$A$1:$I$89,3,0)*VLOOKUP('Données projet'!$B$17,Paramètres!$A$1:$I$89,5,0)</f>
        <v>155.63655900000037</v>
      </c>
      <c r="GB133" s="13">
        <f t="shared" ref="GB133:GB153" si="157">EXP(-1.0587+0.8836*LN(GA133)+0.284)</f>
        <v>39.856750921277595</v>
      </c>
      <c r="GC133" s="20">
        <f t="shared" si="133"/>
        <v>340.48418144622576</v>
      </c>
      <c r="GD133" s="59">
        <f t="shared" si="134"/>
        <v>624.39446483965787</v>
      </c>
      <c r="GE133" s="59">
        <f ca="1">AVERAGE(OFFSET($GD$3,0,0,'Données projet'!$E$17+1,1))-AVERAGE(OFFSET($H$3,0,0,'Données projet'!$E$17+1,1))</f>
        <v>592.58528889137358</v>
      </c>
      <c r="GF133" s="59">
        <f t="shared" ref="GF133:GF196" si="158">$GF$3</f>
        <v>311.31528020403709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>
        <f>EXP(-LN(2)/35)*GL132+(1-EXP(-LN(2)/35))/(LN(2)/35)*GH133*GI133*VLOOKUP('Données projet'!$B$17,Paramètres!$A$1:$I$89,3,0)*0.475*44/12</f>
        <v>230.87674939581308</v>
      </c>
      <c r="GM133" s="21">
        <f>EXP(-LN(2)/25)*GM132+(1-EXP(-LN(2)/25))/(LN(2)/25)*Calculateur!GH133*Calculateur!GJ133*VLOOKUP('Données projet'!$B$17,Paramètres!$A$1:$I$89,3,0)*0.475*44/12</f>
        <v>0</v>
      </c>
      <c r="GN133" s="21">
        <f>EXP(-LN(2)/2)*GN132+(1-EXP(-LN(2)/2))/(LN(2)/2)*GH133*GK133*VLOOKUP('Données projet'!$B$17,Paramètres!$A$1:$I$89,3,0)*0.475*44/12</f>
        <v>0</v>
      </c>
      <c r="GO133" s="21">
        <f t="shared" si="135"/>
        <v>230.87674939581308</v>
      </c>
      <c r="GP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328.00000000000006</v>
      </c>
      <c r="GV133" s="17">
        <f>GU133*VLOOKUP('Données projet'!$B$18,Paramètres!$A$1:$I$89,3,0)*VLOOKUP('Données projet'!$B$18,Paramètres!$A$1:$I$89,5,0)</f>
        <v>255.84000000000006</v>
      </c>
      <c r="GW133" s="13">
        <f t="shared" ref="GW133:GW153" si="159">EXP(-1.0587+0.8836*LN(GV133)+0.284)</f>
        <v>61.834803371075836</v>
      </c>
      <c r="GX133" s="20">
        <f t="shared" si="136"/>
        <v>553.28361587129041</v>
      </c>
      <c r="GY133" s="59">
        <f t="shared" si="137"/>
        <v>837.19389926472252</v>
      </c>
      <c r="GZ133" s="59">
        <f ca="1">AVERAGE(OFFSET($GY$3,0,0,'Données projet'!$E$18+1,1))-AVERAGE(OFFSET($H$3,0,0,'Données projet'!$E$18+1,1))</f>
        <v>308.85018589589453</v>
      </c>
      <c r="HA133" s="59">
        <f t="shared" ref="HA133:HA196" si="160">$HA$3</f>
        <v>302.59481222418219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>
        <f>EXP(-LN(2)/35)*HG132+(1-EXP(-LN(2)/35))/(LN(2)/35)*HC133*HD133*VLOOKUP('Données projet'!$B$18,Paramètres!$A$1:$I$89,3,0)*0.475*44/12</f>
        <v>15.052463640583584</v>
      </c>
      <c r="HH133" s="21">
        <f>EXP(-LN(2)/25)*HH132+(1-EXP(-LN(2)/25))/(LN(2)/25)*Calculateur!HC133*Calculateur!HE133*VLOOKUP('Données projet'!$B$18,Paramètres!$A$1:$I$89,3,0)*0.475*44/12</f>
        <v>0</v>
      </c>
      <c r="HI133" s="21">
        <f>EXP(-LN(2)/2)*HI132+(1-EXP(-LN(2)/2))/(LN(2)/2)*HC133*HF133*VLOOKUP('Données projet'!$B$18,Paramètres!$A$1:$I$89,3,0)*0.475*44/12</f>
        <v>0</v>
      </c>
      <c r="HJ133" s="22">
        <f t="shared" si="138"/>
        <v>15.052463640583584</v>
      </c>
    </row>
    <row r="134" spans="1:218" x14ac:dyDescent="0.35">
      <c r="A134" s="10">
        <f t="shared" si="139"/>
        <v>131</v>
      </c>
      <c r="B134" s="72">
        <f>'Scénario référence'!$B$16*5+'Scénario référence'!$B$17*0+'Scénario référence'!$B$18*5</f>
        <v>5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66">
        <f t="shared" si="110"/>
        <v>183.33333333333334</v>
      </c>
      <c r="I134" s="6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>
        <f>VLOOKUP(A134,'Données projet'!$A$35:$I$55,2,0)</f>
        <v>163.65</v>
      </c>
      <c r="L134" s="12">
        <f>VLOOKUP(A134,'Données projet'!$A$35:$I$55,9,0)</f>
        <v>9.7500000000003695E-2</v>
      </c>
      <c r="M134" s="12">
        <f t="array" ref="M134">INDEX(L:L,MIN(IF(ISNUMBER(L134:L330),ROW(L134:L330),"")))</f>
        <v>9.7500000000003695E-2</v>
      </c>
      <c r="N134" s="13">
        <f>IF('Données projet'!$A$36&gt;35,N133+M134-V133,IF(A134&lt;'Données projet'!$A$36,$K$205^A134,IF(A134='Données projet'!$A$36,'Données projet'!$B$36,N133+M134-V133)))</f>
        <v>163.6500000000004</v>
      </c>
      <c r="O134" s="13">
        <f>N134*VLOOKUP('Données projet'!$B$9,Paramètres!$A$1:$I$89,3,0)*VLOOKUP('Données projet'!$B$9,Paramètres!$A$1:$I$89,5,0)</f>
        <v>148.07052000000036</v>
      </c>
      <c r="P134" s="13">
        <f t="shared" si="141"/>
        <v>38.139774521220701</v>
      </c>
      <c r="Q134" s="20">
        <f t="shared" si="108"/>
        <v>324.3162629577933</v>
      </c>
      <c r="R134" s="59">
        <f t="shared" si="109"/>
        <v>608.39001520089903</v>
      </c>
      <c r="S134" s="59">
        <f ca="1">AVERAGE(OFFSET($R$3,0,0,'Données projet'!$E$9+1,1))-AVERAGE(OFFSET($H$3,0,0,'Données projet'!$E$9+1,1))</f>
        <v>567.42635821507474</v>
      </c>
      <c r="T134" s="59">
        <f t="shared" si="142"/>
        <v>299.04735309930152</v>
      </c>
      <c r="U134" s="15">
        <f>IF(ISNA(VLOOKUP(A134,'Données projet'!$A$35:$I$55,3,0)),0,VLOOKUP(A134,'Données projet'!$A$35:$I$55,3,0))</f>
        <v>14</v>
      </c>
      <c r="V134" s="15">
        <f>IF(ISNA(VLOOKUP(A134,'Données projet'!$A$35:$I$55,4,0)),0,VLOOKUP(A134,'Données projet'!$A$35:$I$55,4,0))</f>
        <v>143.84</v>
      </c>
      <c r="W134" s="16">
        <f>IF(ISNA(VLOOKUP(A134,'Données projet'!$A$35:$I$55,5,0)),0%,VLOOKUP(A134,'Données projet'!$A$35:$I$55,5,0)*VLOOKUP('Données projet'!$B$9,Paramètres!$A$1:$I$89,7,0))</f>
        <v>0.43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277.08286059427138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277.08286059427138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>
        <f>VLOOKUP(A134,'Données projet'!$A$61:$I$81,2,0)</f>
        <v>163.65</v>
      </c>
      <c r="AG134" s="12">
        <f>VLOOKUP(A134,'Données projet'!$A$61:$I$81,9,0)</f>
        <v>9.7500000000003695E-2</v>
      </c>
      <c r="AH134" s="12">
        <f t="array" ref="AH134">INDEX(AG:AG,MIN(IF(ISNUMBER(AG134:AG330),ROW(AG134:AG330),"")))</f>
        <v>9.7500000000003695E-2</v>
      </c>
      <c r="AI134" s="13">
        <f>IF('Données projet'!$A$62&gt;35,AI133+AH134-AQ133,IF(A134&lt;'Données projet'!$A$62,$AF$205^A134,IF(A134='Données projet'!$A$62,'Données projet'!$B$62,AI133+AH134-AQ133)))</f>
        <v>163.6500000000004</v>
      </c>
      <c r="AJ134" s="13">
        <f>AI134*VLOOKUP('Données projet'!$B$10,Paramètres!$A$1:$I$89,3,0)*VLOOKUP('Données projet'!$B$10,Paramètres!$A$1:$I$89,5,0)</f>
        <v>165.94110000000043</v>
      </c>
      <c r="AK134" s="13">
        <f t="shared" si="143"/>
        <v>42.179690433411352</v>
      </c>
      <c r="AL134" s="20">
        <f t="shared" si="112"/>
        <v>362.47704333819223</v>
      </c>
      <c r="AM134" s="59">
        <f t="shared" si="113"/>
        <v>646.55079558129796</v>
      </c>
      <c r="AN134" s="59">
        <f ca="1">AVERAGE(OFFSET($AM$3,0,0,'Données projet'!$E$10+1,1))-AVERAGE(OFFSET($H$3,0,0,'Données projet'!$E$10+1,1))</f>
        <v>626.09203985591455</v>
      </c>
      <c r="AO134" s="59">
        <f t="shared" si="144"/>
        <v>327.65191296575199</v>
      </c>
      <c r="AP134" s="15">
        <f>IF(ISNA(VLOOKUP(A134,'Données projet'!$A$61:$I$81,3,0)),0,VLOOKUP(A134,'Données projet'!$A$61:$I$81,3,0))</f>
        <v>14</v>
      </c>
      <c r="AQ134" s="15">
        <f>IF(ISNA(VLOOKUP(A134,'Données projet'!$A$61:$I$81,4,0)),0,VLOOKUP(A134,'Données projet'!$A$61:$I$81,4,0))</f>
        <v>143.84</v>
      </c>
      <c r="AR134" s="16">
        <f>IF(ISNA(VLOOKUP(A134,'Données projet'!$A$61:$I$81,5,0)),0%,VLOOKUP(A134,'Données projet'!$A$61:$I$81,5,0)*VLOOKUP('Données projet'!$B$10,Paramètres!$A$1:$I$89,7,0))</f>
        <v>0.43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310.52389549358008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310.52389549358008</v>
      </c>
      <c r="AY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404.00000000000017</v>
      </c>
      <c r="BE134" s="13">
        <f>BD134*VLOOKUP('Données projet'!$B$11,Paramètres!$A$1:$I$89,3,0)*VLOOKUP('Données projet'!$B$11,Paramètres!$A$1:$I$89,5,0)</f>
        <v>346.63200000000018</v>
      </c>
      <c r="BF134" s="13">
        <f t="shared" si="145"/>
        <v>80.868615263336864</v>
      </c>
      <c r="BG134" s="20">
        <f t="shared" si="115"/>
        <v>744.56357158364528</v>
      </c>
      <c r="BH134" s="59">
        <f t="shared" si="116"/>
        <v>1028.6373238267511</v>
      </c>
      <c r="BI134" s="59">
        <f ca="1">AVERAGE(OFFSET($BH$3,0,0,'Données projet'!$E$11+1,1))-AVERAGE(OFFSET($H$3,0,0,'Données projet'!$E$11+1,1))</f>
        <v>481.23392184981651</v>
      </c>
      <c r="BJ134" s="59">
        <f t="shared" si="146"/>
        <v>275.88160405468193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80.389291449618227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80.389291449618227</v>
      </c>
      <c r="BT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5.2499999999990337</v>
      </c>
      <c r="BZ134" s="13">
        <f>BY134*VLOOKUP('Données projet'!$B$12,Paramètres!$A$1:$I$89,3,0)*VLOOKUP('Données projet'!$B$12,Paramètres!$A$1:$I$89,5,0)</f>
        <v>2.4569999999995478</v>
      </c>
      <c r="CA134" s="13">
        <f t="shared" si="147"/>
        <v>1.0197977774625564</v>
      </c>
      <c r="CB134" s="20">
        <f t="shared" si="118"/>
        <v>6.0554227957464972</v>
      </c>
      <c r="CC134" s="59">
        <f t="shared" si="119"/>
        <v>290.12917503885222</v>
      </c>
      <c r="CD134" s="59">
        <f ca="1">AVERAGE(OFFSET($CC$3,0,0,'Données projet'!$E$12+1,1))-AVERAGE(OFFSET($H$3,0,0,'Données projet'!$E$12+1,1))</f>
        <v>331.86732359395467</v>
      </c>
      <c r="CE134" s="59">
        <f t="shared" si="148"/>
        <v>208.64489375183106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157.10471554806097</v>
      </c>
      <c r="CL134" s="21">
        <f>EXP(-LN(2)/25)*CL133+(1-EXP(-LN(2)/25))/(LN(2)/25)*Calculateur!CG134*Calculateur!CI134*VLOOKUP('Données projet'!$B$12,Paramètres!$A$1:$I$89,3,0)*0.475*44/12</f>
        <v>0</v>
      </c>
      <c r="CM134" s="21">
        <f>EXP(-LN(2)/2)*CM133+(1-EXP(-LN(2)/2))/(LN(2)/2)*CG134*CJ134*VLOOKUP('Données projet'!$B$12,Paramètres!$A$1:$I$89,3,0)*0.475*44/12</f>
        <v>0</v>
      </c>
      <c r="CN134" s="22">
        <f t="shared" si="120"/>
        <v>157.10471554806097</v>
      </c>
      <c r="CO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319</v>
      </c>
      <c r="CU134" s="17">
        <f>CT134*VLOOKUP('Données projet'!$B$13,Paramètres!$A$1:$I$89,3,0)*VLOOKUP('Données projet'!$B$13,Paramètres!$A$1:$I$89,5,0)</f>
        <v>233.89079999999998</v>
      </c>
      <c r="CV134" s="13">
        <f t="shared" si="149"/>
        <v>57.123140349023068</v>
      </c>
      <c r="CW134" s="20">
        <f t="shared" si="121"/>
        <v>506.84927944121517</v>
      </c>
      <c r="CX134" s="59">
        <f t="shared" si="122"/>
        <v>790.9230316843209</v>
      </c>
      <c r="CY134" s="59">
        <f ca="1">AVERAGE(OFFSET($CX$3,0,0,'Données projet'!$E$13+1,1))-AVERAGE(OFFSET($H$3,0,0,'Données projet'!$E$13+1,1))</f>
        <v>352.45777291109863</v>
      </c>
      <c r="CZ134" s="59">
        <f t="shared" si="150"/>
        <v>340.92165104349181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14.478675174878289</v>
      </c>
      <c r="DG134" s="21">
        <f>EXP(-LN(2)/25)*DG133+(1-EXP(-LN(2)/25))/(LN(2)/25)*Calculateur!DB134*Calculateur!DD134*VLOOKUP('Données projet'!$B$13,Paramètres!$A$1:$I$89,3,0)*0.475*44/12</f>
        <v>0</v>
      </c>
      <c r="DH134" s="21">
        <f>EXP(-LN(2)/2)*DH133+(1-EXP(-LN(2)/2))/(LN(2)/2)*DB134*DE134*VLOOKUP('Données projet'!$B$13,Paramètres!$A$1:$I$89,3,0)*0.475*44/12</f>
        <v>0</v>
      </c>
      <c r="DI134" s="22">
        <f t="shared" si="123"/>
        <v>14.478675174878289</v>
      </c>
      <c r="DJ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>
        <f>VLOOKUP(A134,'Données projet'!$A$165:$I$185,2,0)</f>
        <v>163.65</v>
      </c>
      <c r="DM134" s="12">
        <f>VLOOKUP(A134,'Données projet'!$A$165:$I$185,9,0)</f>
        <v>9.7500000000003695E-2</v>
      </c>
      <c r="DN134" s="12">
        <f t="array" ref="DN134">INDEX(DM:DM,MIN(IF(ISNUMBER(DM134:DM330),ROW(DM134:DM330),"")))</f>
        <v>9.7500000000003695E-2</v>
      </c>
      <c r="DO134" s="12">
        <f>IF('Données projet'!$A$166&gt;35,DO133+DN134-DW133,IF(A134&lt;'Données projet'!$A$166,$DL$205^A134,IF(A134='Données projet'!$A$166,'Données projet'!$B$166,DO133+DN134-DW133)))</f>
        <v>163.6500000000004</v>
      </c>
      <c r="DP134" s="17">
        <f>DO134*VLOOKUP('Données projet'!$B$14,Paramètres!$A$1:$I$89,3,0)*VLOOKUP('Données projet'!$B$14,Paramètres!$A$1:$I$89,5,0)</f>
        <v>109.77642000000027</v>
      </c>
      <c r="DQ134" s="13">
        <f t="shared" si="151"/>
        <v>29.278301144577728</v>
      </c>
      <c r="DR134" s="20">
        <f t="shared" si="124"/>
        <v>242.18697266013999</v>
      </c>
      <c r="DS134" s="59">
        <f t="shared" si="125"/>
        <v>526.26072490324577</v>
      </c>
      <c r="DT134" s="59">
        <f ca="1">AVERAGE(OFFSET($DS$3,0,0,'Données projet'!$E$14+1,1))-AVERAGE(OFFSET($H$3,0,0,'Données projet'!$E$14+1,1))</f>
        <v>441.20130048888439</v>
      </c>
      <c r="DU134" s="59">
        <f t="shared" si="152"/>
        <v>237.47732532183946</v>
      </c>
      <c r="DV134" s="15">
        <f>IF(ISNA(VLOOKUP(A134,'Données projet'!$A$165:$I$185,3,0)),0,VLOOKUP(A134,'Données projet'!$A$165:$I$185,3,0))</f>
        <v>14</v>
      </c>
      <c r="DW134" s="15">
        <f>IF(ISNA(VLOOKUP(A134,'Données projet'!$A$165:$I$185,4,0)),0,VLOOKUP(A134,'Données projet'!$A$165:$I$185,4,0))</f>
        <v>143.84</v>
      </c>
      <c r="DX134" s="16">
        <f>IF(ISNA(VLOOKUP(A134,'Données projet'!$A$165:$I$185,5,0)),0%,VLOOKUP(A134,'Données projet'!$A$165:$I$185,5,0)*VLOOKUP('Données projet'!$B$14,Paramètres!$A$1:$I$89,7,0))</f>
        <v>0.53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253.19640709476525</v>
      </c>
      <c r="EB134" s="21">
        <f>EXP(-LN(2)/25)*EB133+(1-EXP(-LN(2)/25))/(LN(2)/25)*Calculateur!DW134*Calculateur!DY134*VLOOKUP('Données projet'!$B$14,Paramètres!$A$1:$I$89,3,0)*0.475*44/12</f>
        <v>0</v>
      </c>
      <c r="EC134" s="21">
        <f>EXP(-LN(2)/2)*EC133+(1-EXP(-LN(2)/2))/(LN(2)/2)*DW134*DZ134*VLOOKUP('Données projet'!$B$14,Paramètres!$A$1:$I$89,3,0)*0.475*44/12</f>
        <v>0</v>
      </c>
      <c r="ED134" s="22">
        <f t="shared" si="126"/>
        <v>253.19640709476525</v>
      </c>
      <c r="EE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319</v>
      </c>
      <c r="EK134" s="17">
        <f>EJ134*VLOOKUP('Données projet'!$B$15,Paramètres!$A$1:$I$89,3,0)*VLOOKUP('Données projet'!$B$15,Paramètres!$A$1:$I$89,5,0)</f>
        <v>253.79640000000001</v>
      </c>
      <c r="EL134" s="13">
        <f t="shared" si="153"/>
        <v>61.39816832228076</v>
      </c>
      <c r="EM134" s="20">
        <f t="shared" si="127"/>
        <v>548.96387316130563</v>
      </c>
      <c r="EN134" s="59">
        <f t="shared" si="128"/>
        <v>833.0376254044113</v>
      </c>
      <c r="EO134" s="59">
        <f ca="1">AVERAGE(OFFSET($EN$3,0,0,'Données projet'!$E$15+1,1))-AVERAGE(OFFSET($H$3,0,0,'Données projet'!$E$15+1,1))</f>
        <v>377.27600411578322</v>
      </c>
      <c r="EP134" s="59">
        <f t="shared" si="154"/>
        <v>364.58250627635425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>
        <f>EXP(-LN(2)/35)*EV133+(1-EXP(-LN(2)/35))/(LN(2)/35)*ER134*ES134*VLOOKUP('Données projet'!$B$15,Paramètres!$A$1:$I$89,3,0)*0.475*44/12</f>
        <v>19.364601186390892</v>
      </c>
      <c r="EW134" s="21">
        <f>EXP(-LN(2)/25)*EW133+(1-EXP(-LN(2)/25))/(LN(2)/25)*Calculateur!ER134*Calculateur!ET134*VLOOKUP('Données projet'!$B$15,Paramètres!$A$1:$I$89,3,0)*0.475*44/12</f>
        <v>0</v>
      </c>
      <c r="EX134" s="21">
        <f>EXP(-LN(2)/2)*EX133+(1-EXP(-LN(2)/2))/(LN(2)/2)*ER134*EU134*VLOOKUP('Données projet'!$B$15,Paramètres!$A$1:$I$89,3,0)*0.475*44/12</f>
        <v>0</v>
      </c>
      <c r="EY134" s="22">
        <f t="shared" si="129"/>
        <v>19.364601186390892</v>
      </c>
      <c r="EZ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319</v>
      </c>
      <c r="FF134" s="17">
        <f>FE134*VLOOKUP('Données projet'!$B$16,Paramètres!$A$1:$I$89,3,0)*VLOOKUP('Données projet'!$B$16,Paramètres!$A$1:$I$89,5,0)</f>
        <v>258.77280000000002</v>
      </c>
      <c r="FG134" s="13">
        <f t="shared" si="155"/>
        <v>62.460716522234691</v>
      </c>
      <c r="FH134" s="20">
        <f t="shared" si="130"/>
        <v>559.48170794289206</v>
      </c>
      <c r="FI134" s="59">
        <f t="shared" si="131"/>
        <v>843.55546018599784</v>
      </c>
      <c r="FJ134" s="59">
        <f ca="1">AVERAGE(OFFSET($FI$3,0,0,'Données projet'!$E$16+1,1))-AVERAGE(OFFSET($H$3,0,0,'Données projet'!$E$16+1,1))</f>
        <v>383.47399633251354</v>
      </c>
      <c r="FK134" s="59">
        <f t="shared" si="156"/>
        <v>370.49129421395628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>
        <f>EXP(-LN(2)/35)*FQ133+(1-EXP(-LN(2)/35))/(LN(2)/35)*FM134*FN134*VLOOKUP('Données projet'!$B$16,Paramètres!$A$1:$I$89,3,0)*0.475*44/12</f>
        <v>19.744299248869169</v>
      </c>
      <c r="FR134" s="21">
        <f>EXP(-LN(2)/25)*FR133+(1-EXP(-LN(2)/25))/(LN(2)/25)*Calculateur!FM134*Calculateur!FO134*VLOOKUP('Données projet'!$B$16,Paramètres!$A$1:$I$89,3,0)*0.475*44/12</f>
        <v>0</v>
      </c>
      <c r="FS134" s="21">
        <f>EXP(-LN(2)/2)*FS133+(1-EXP(-LN(2)/2))/(LN(2)/2)*FM134*FP134*VLOOKUP('Données projet'!$B$16,Paramètres!$A$1:$I$89,3,0)*0.475*44/12</f>
        <v>0</v>
      </c>
      <c r="FT134" s="22">
        <f t="shared" si="132"/>
        <v>19.744299248869169</v>
      </c>
      <c r="FU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>
        <f>VLOOKUP(A134,'Données projet'!$A$243:$I$263,2,0)</f>
        <v>163.65</v>
      </c>
      <c r="FX134" s="12">
        <f>VLOOKUP(A134,'Données projet'!$A$243:$I$263,9,0)</f>
        <v>9.7500000000003695E-2</v>
      </c>
      <c r="FY134" s="12">
        <f t="array" ref="FY134">INDEX(FX:FX,MIN(IF(ISNUMBER(FX134:FX330),ROW(FX134:FX330),"")))</f>
        <v>9.7500000000003695E-2</v>
      </c>
      <c r="FZ134" s="12">
        <f>IF('Données projet'!$A$244&gt;35,FZ133+FY134-GH133,IF(A134&lt;'Données projet'!$A$244,$FW$205^A134,IF(A134='Données projet'!$A$244,'Données projet'!$B$244,FZ133+FY134-GH133)))</f>
        <v>163.6500000000004</v>
      </c>
      <c r="GA134" s="17">
        <f>FZ134*VLOOKUP('Données projet'!$B$17,Paramètres!$A$1:$I$89,3,0)*VLOOKUP('Données projet'!$B$17,Paramètres!$A$1:$I$89,5,0)</f>
        <v>155.72934000000038</v>
      </c>
      <c r="GB134" s="13">
        <f t="shared" si="157"/>
        <v>39.877744668495708</v>
      </c>
      <c r="GC134" s="20">
        <f t="shared" si="133"/>
        <v>340.68233913096401</v>
      </c>
      <c r="GD134" s="59">
        <f t="shared" si="134"/>
        <v>624.75609137406968</v>
      </c>
      <c r="GE134" s="59">
        <f ca="1">AVERAGE(OFFSET($GD$3,0,0,'Données projet'!$E$17+1,1))-AVERAGE(OFFSET($H$3,0,0,'Données projet'!$E$17+1,1))</f>
        <v>592.58528889137358</v>
      </c>
      <c r="GF134" s="59">
        <f t="shared" si="158"/>
        <v>311.31528020403709</v>
      </c>
      <c r="GG134" s="15">
        <f>IF(ISNA(VLOOKUP(A134,'Données projet'!$A$243:$I$263,3,0)),0,VLOOKUP(A134,'Données projet'!$A$243:$I$263,3,0))</f>
        <v>14</v>
      </c>
      <c r="GH134" s="15">
        <f>IF(ISNA(VLOOKUP(A134,'Données projet'!$A$243:$I$263,4,0)),0,VLOOKUP(A134,'Données projet'!$A$243:$I$263,4,0))</f>
        <v>143.84</v>
      </c>
      <c r="GI134" s="16">
        <f>IF(ISNA(VLOOKUP(A134,'Données projet'!$A$243:$I$263,5,0)),0%,VLOOKUP(A134,'Données projet'!$A$243:$I$263,5,0)*VLOOKUP('Données projet'!$B$17,Paramètres!$A$1:$I$89,7,0))</f>
        <v>0.43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>
        <f>EXP(-LN(2)/35)*GL133+(1-EXP(-LN(2)/35))/(LN(2)/35)*GH134*GI134*VLOOKUP('Données projet'!$B$17,Paramètres!$A$1:$I$89,3,0)*0.475*44/12</f>
        <v>291.41473269397511</v>
      </c>
      <c r="GM134" s="21">
        <f>EXP(-LN(2)/25)*GM133+(1-EXP(-LN(2)/25))/(LN(2)/25)*Calculateur!GH134*Calculateur!GJ134*VLOOKUP('Données projet'!$B$17,Paramètres!$A$1:$I$89,3,0)*0.475*44/12</f>
        <v>0</v>
      </c>
      <c r="GN134" s="21">
        <f>EXP(-LN(2)/2)*GN133+(1-EXP(-LN(2)/2))/(LN(2)/2)*GH134*GK134*VLOOKUP('Données projet'!$B$17,Paramètres!$A$1:$I$89,3,0)*0.475*44/12</f>
        <v>0</v>
      </c>
      <c r="GO134" s="21">
        <f t="shared" si="135"/>
        <v>291.41473269397511</v>
      </c>
      <c r="GP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328.00000000000006</v>
      </c>
      <c r="GV134" s="17">
        <f>GU134*VLOOKUP('Données projet'!$B$18,Paramètres!$A$1:$I$89,3,0)*VLOOKUP('Données projet'!$B$18,Paramètres!$A$1:$I$89,5,0)</f>
        <v>255.84000000000006</v>
      </c>
      <c r="GW134" s="13">
        <f t="shared" si="159"/>
        <v>61.834803371075836</v>
      </c>
      <c r="GX134" s="20">
        <f t="shared" si="136"/>
        <v>553.28361587129041</v>
      </c>
      <c r="GY134" s="59">
        <f t="shared" si="137"/>
        <v>837.35736811439619</v>
      </c>
      <c r="GZ134" s="59">
        <f ca="1">AVERAGE(OFFSET($GY$3,0,0,'Données projet'!$E$18+1,1))-AVERAGE(OFFSET($H$3,0,0,'Données projet'!$E$18+1,1))</f>
        <v>308.85018589589453</v>
      </c>
      <c r="HA134" s="59">
        <f t="shared" si="160"/>
        <v>302.59481222418219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>
        <f>EXP(-LN(2)/35)*HG133+(1-EXP(-LN(2)/35))/(LN(2)/35)*HC134*HD134*VLOOKUP('Données projet'!$B$18,Paramètres!$A$1:$I$89,3,0)*0.475*44/12</f>
        <v>14.757294009688003</v>
      </c>
      <c r="HH134" s="21">
        <f>EXP(-LN(2)/25)*HH133+(1-EXP(-LN(2)/25))/(LN(2)/25)*Calculateur!HC134*Calculateur!HE134*VLOOKUP('Données projet'!$B$18,Paramètres!$A$1:$I$89,3,0)*0.475*44/12</f>
        <v>0</v>
      </c>
      <c r="HI134" s="21">
        <f>EXP(-LN(2)/2)*HI133+(1-EXP(-LN(2)/2))/(LN(2)/2)*HC134*HF134*VLOOKUP('Données projet'!$B$18,Paramètres!$A$1:$I$89,3,0)*0.475*44/12</f>
        <v>0</v>
      </c>
      <c r="HJ134" s="22">
        <f t="shared" si="138"/>
        <v>14.757294009688003</v>
      </c>
    </row>
    <row r="135" spans="1:218" x14ac:dyDescent="0.35">
      <c r="A135" s="10">
        <f t="shared" si="139"/>
        <v>132</v>
      </c>
      <c r="B135" s="72">
        <f>'Scénario référence'!$B$16*5+'Scénario référence'!$B$17*0+'Scénario référence'!$B$18*5</f>
        <v>5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66">
        <f t="shared" si="110"/>
        <v>183.33333333333334</v>
      </c>
      <c r="I135" s="6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19.8100000000004</v>
      </c>
      <c r="O135" s="13">
        <f>N135*VLOOKUP('Données projet'!$B$9,Paramètres!$A$1:$I$89,3,0)*VLOOKUP('Données projet'!$B$9,Paramètres!$A$1:$I$89,5,0)</f>
        <v>17.924088000000364</v>
      </c>
      <c r="P135" s="13">
        <f t="shared" si="141"/>
        <v>5.9032212091029486</v>
      </c>
      <c r="Q135" s="20">
        <f t="shared" si="108"/>
        <v>41.499230205854936</v>
      </c>
      <c r="R135" s="59">
        <f t="shared" si="109"/>
        <v>325.73361547955409</v>
      </c>
      <c r="S135" s="59">
        <f ca="1">AVERAGE(OFFSET($R$3,0,0,'Données projet'!$E$9+1,1))-AVERAGE(OFFSET($H$3,0,0,'Données projet'!$E$9+1,1))</f>
        <v>567.42635821507474</v>
      </c>
      <c r="T135" s="59">
        <f t="shared" si="142"/>
        <v>299.04735309930152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271.64943470187495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271.64943470187495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19.8100000000004</v>
      </c>
      <c r="AJ135" s="13">
        <f>AI135*VLOOKUP('Données projet'!$B$10,Paramètres!$A$1:$I$89,3,0)*VLOOKUP('Données projet'!$B$10,Paramètres!$A$1:$I$89,5,0)</f>
        <v>20.08734000000041</v>
      </c>
      <c r="AK135" s="13">
        <f t="shared" si="143"/>
        <v>6.5285137703520215</v>
      </c>
      <c r="AL135" s="20">
        <f t="shared" si="112"/>
        <v>46.355945316697152</v>
      </c>
      <c r="AM135" s="59">
        <f t="shared" si="113"/>
        <v>330.59033059039632</v>
      </c>
      <c r="AN135" s="59">
        <f ca="1">AVERAGE(OFFSET($AM$3,0,0,'Données projet'!$E$10+1,1))-AVERAGE(OFFSET($H$3,0,0,'Données projet'!$E$10+1,1))</f>
        <v>626.09203985591455</v>
      </c>
      <c r="AO135" s="59">
        <f t="shared" si="144"/>
        <v>327.65191296575199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304.43471130382545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304.43471130382545</v>
      </c>
      <c r="AY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404.00000000000017</v>
      </c>
      <c r="BE135" s="13">
        <f>BD135*VLOOKUP('Données projet'!$B$11,Paramètres!$A$1:$I$89,3,0)*VLOOKUP('Données projet'!$B$11,Paramètres!$A$1:$I$89,5,0)</f>
        <v>346.63200000000018</v>
      </c>
      <c r="BF135" s="13">
        <f t="shared" si="145"/>
        <v>80.868615263336864</v>
      </c>
      <c r="BG135" s="20">
        <f t="shared" si="115"/>
        <v>744.56357158364528</v>
      </c>
      <c r="BH135" s="59">
        <f t="shared" si="116"/>
        <v>1028.7979568573444</v>
      </c>
      <c r="BI135" s="59">
        <f ca="1">AVERAGE(OFFSET($BH$3,0,0,'Données projet'!$E$11+1,1))-AVERAGE(OFFSET($H$3,0,0,'Données projet'!$E$11+1,1))</f>
        <v>481.23392184981651</v>
      </c>
      <c r="BJ135" s="59">
        <f t="shared" si="146"/>
        <v>275.88160405468193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78.812906476917433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78.812906476917433</v>
      </c>
      <c r="BT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5.2499999999990337</v>
      </c>
      <c r="BZ135" s="13">
        <f>BY135*VLOOKUP('Données projet'!$B$12,Paramètres!$A$1:$I$89,3,0)*VLOOKUP('Données projet'!$B$12,Paramètres!$A$1:$I$89,5,0)</f>
        <v>2.4569999999995478</v>
      </c>
      <c r="CA135" s="13">
        <f t="shared" si="147"/>
        <v>1.0197977774625564</v>
      </c>
      <c r="CB135" s="20">
        <f t="shared" si="118"/>
        <v>6.0554227957464972</v>
      </c>
      <c r="CC135" s="59">
        <f t="shared" si="119"/>
        <v>290.28980806944566</v>
      </c>
      <c r="CD135" s="59">
        <f ca="1">AVERAGE(OFFSET($CC$3,0,0,'Données projet'!$E$12+1,1))-AVERAGE(OFFSET($H$3,0,0,'Données projet'!$E$12+1,1))</f>
        <v>331.86732359395467</v>
      </c>
      <c r="CE135" s="59">
        <f t="shared" si="148"/>
        <v>208.64489375183106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154.02398790057811</v>
      </c>
      <c r="CL135" s="21">
        <f>EXP(-LN(2)/25)*CL134+(1-EXP(-LN(2)/25))/(LN(2)/25)*Calculateur!CG135*Calculateur!CI135*VLOOKUP('Données projet'!$B$12,Paramètres!$A$1:$I$89,3,0)*0.475*44/12</f>
        <v>0</v>
      </c>
      <c r="CM135" s="21">
        <f>EXP(-LN(2)/2)*CM134+(1-EXP(-LN(2)/2))/(LN(2)/2)*CG135*CJ135*VLOOKUP('Données projet'!$B$12,Paramètres!$A$1:$I$89,3,0)*0.475*44/12</f>
        <v>0</v>
      </c>
      <c r="CN135" s="22">
        <f t="shared" si="120"/>
        <v>154.02398790057811</v>
      </c>
      <c r="CO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319</v>
      </c>
      <c r="CU135" s="17">
        <f>CT135*VLOOKUP('Données projet'!$B$13,Paramètres!$A$1:$I$89,3,0)*VLOOKUP('Données projet'!$B$13,Paramètres!$A$1:$I$89,5,0)</f>
        <v>233.89079999999998</v>
      </c>
      <c r="CV135" s="13">
        <f t="shared" si="149"/>
        <v>57.123140349023068</v>
      </c>
      <c r="CW135" s="20">
        <f t="shared" si="121"/>
        <v>506.84927944121517</v>
      </c>
      <c r="CX135" s="59">
        <f t="shared" si="122"/>
        <v>791.08366471491433</v>
      </c>
      <c r="CY135" s="59">
        <f ca="1">AVERAGE(OFFSET($CX$3,0,0,'Données projet'!$E$13+1,1))-AVERAGE(OFFSET($H$3,0,0,'Données projet'!$E$13+1,1))</f>
        <v>352.45777291109863</v>
      </c>
      <c r="CZ135" s="59">
        <f t="shared" si="150"/>
        <v>340.92165104349181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14.194757185818782</v>
      </c>
      <c r="DG135" s="21">
        <f>EXP(-LN(2)/25)*DG134+(1-EXP(-LN(2)/25))/(LN(2)/25)*Calculateur!DB135*Calculateur!DD135*VLOOKUP('Données projet'!$B$13,Paramètres!$A$1:$I$89,3,0)*0.475*44/12</f>
        <v>0</v>
      </c>
      <c r="DH135" s="21">
        <f>EXP(-LN(2)/2)*DH134+(1-EXP(-LN(2)/2))/(LN(2)/2)*DB135*DE135*VLOOKUP('Données projet'!$B$13,Paramètres!$A$1:$I$89,3,0)*0.475*44/12</f>
        <v>0</v>
      </c>
      <c r="DI135" s="22">
        <f t="shared" si="123"/>
        <v>14.194757185818782</v>
      </c>
      <c r="DJ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19.8100000000004</v>
      </c>
      <c r="DP135" s="17">
        <f>DO135*VLOOKUP('Données projet'!$B$14,Paramètres!$A$1:$I$89,3,0)*VLOOKUP('Données projet'!$B$14,Paramètres!$A$1:$I$89,5,0)</f>
        <v>13.288548000000269</v>
      </c>
      <c r="DQ135" s="13">
        <f t="shared" si="151"/>
        <v>4.531654695205642</v>
      </c>
      <c r="DR135" s="20">
        <f t="shared" si="124"/>
        <v>31.036853027483627</v>
      </c>
      <c r="DS135" s="59">
        <f t="shared" si="125"/>
        <v>315.27123830118279</v>
      </c>
      <c r="DT135" s="59">
        <f ca="1">AVERAGE(OFFSET($DS$3,0,0,'Données projet'!$E$14+1,1))-AVERAGE(OFFSET($H$3,0,0,'Données projet'!$E$14+1,1))</f>
        <v>441.20130048888439</v>
      </c>
      <c r="DU135" s="59">
        <f t="shared" si="152"/>
        <v>237.47732532183946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248.23137998619609</v>
      </c>
      <c r="EB135" s="21">
        <f>EXP(-LN(2)/25)*EB134+(1-EXP(-LN(2)/25))/(LN(2)/25)*Calculateur!DW135*Calculateur!DY135*VLOOKUP('Données projet'!$B$14,Paramètres!$A$1:$I$89,3,0)*0.475*44/12</f>
        <v>0</v>
      </c>
      <c r="EC135" s="21">
        <f>EXP(-LN(2)/2)*EC134+(1-EXP(-LN(2)/2))/(LN(2)/2)*DW135*DZ135*VLOOKUP('Données projet'!$B$14,Paramètres!$A$1:$I$89,3,0)*0.475*44/12</f>
        <v>0</v>
      </c>
      <c r="ED135" s="22">
        <f t="shared" si="126"/>
        <v>248.23137998619609</v>
      </c>
      <c r="EE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319</v>
      </c>
      <c r="EK135" s="17">
        <f>EJ135*VLOOKUP('Données projet'!$B$15,Paramètres!$A$1:$I$89,3,0)*VLOOKUP('Données projet'!$B$15,Paramètres!$A$1:$I$89,5,0)</f>
        <v>253.79640000000001</v>
      </c>
      <c r="EL135" s="13">
        <f t="shared" si="153"/>
        <v>61.39816832228076</v>
      </c>
      <c r="EM135" s="20">
        <f t="shared" si="127"/>
        <v>548.96387316130563</v>
      </c>
      <c r="EN135" s="59">
        <f t="shared" si="128"/>
        <v>833.19825843500485</v>
      </c>
      <c r="EO135" s="59">
        <f ca="1">AVERAGE(OFFSET($EN$3,0,0,'Données projet'!$E$15+1,1))-AVERAGE(OFFSET($H$3,0,0,'Données projet'!$E$15+1,1))</f>
        <v>377.27600411578322</v>
      </c>
      <c r="EP135" s="59">
        <f t="shared" si="154"/>
        <v>364.58250627635425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>
        <f>EXP(-LN(2)/35)*EV134+(1-EXP(-LN(2)/35))/(LN(2)/35)*ER135*ES135*VLOOKUP('Données projet'!$B$15,Paramètres!$A$1:$I$89,3,0)*0.475*44/12</f>
        <v>18.984873168366228</v>
      </c>
      <c r="EW135" s="21">
        <f>EXP(-LN(2)/25)*EW134+(1-EXP(-LN(2)/25))/(LN(2)/25)*Calculateur!ER135*Calculateur!ET135*VLOOKUP('Données projet'!$B$15,Paramètres!$A$1:$I$89,3,0)*0.475*44/12</f>
        <v>0</v>
      </c>
      <c r="EX135" s="21">
        <f>EXP(-LN(2)/2)*EX134+(1-EXP(-LN(2)/2))/(LN(2)/2)*ER135*EU135*VLOOKUP('Données projet'!$B$15,Paramètres!$A$1:$I$89,3,0)*0.475*44/12</f>
        <v>0</v>
      </c>
      <c r="EY135" s="22">
        <f t="shared" si="129"/>
        <v>18.984873168366228</v>
      </c>
      <c r="EZ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319</v>
      </c>
      <c r="FF135" s="17">
        <f>FE135*VLOOKUP('Données projet'!$B$16,Paramètres!$A$1:$I$89,3,0)*VLOOKUP('Données projet'!$B$16,Paramètres!$A$1:$I$89,5,0)</f>
        <v>258.77280000000002</v>
      </c>
      <c r="FG135" s="13">
        <f t="shared" si="155"/>
        <v>62.460716522234691</v>
      </c>
      <c r="FH135" s="20">
        <f t="shared" si="130"/>
        <v>559.48170794289206</v>
      </c>
      <c r="FI135" s="59">
        <f t="shared" si="131"/>
        <v>843.71609321659116</v>
      </c>
      <c r="FJ135" s="59">
        <f ca="1">AVERAGE(OFFSET($FI$3,0,0,'Données projet'!$E$16+1,1))-AVERAGE(OFFSET($H$3,0,0,'Données projet'!$E$16+1,1))</f>
        <v>383.47399633251354</v>
      </c>
      <c r="FK135" s="59">
        <f t="shared" si="156"/>
        <v>370.49129421395628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>
        <f>EXP(-LN(2)/35)*FQ134+(1-EXP(-LN(2)/35))/(LN(2)/35)*FM135*FN135*VLOOKUP('Données projet'!$B$16,Paramètres!$A$1:$I$89,3,0)*0.475*44/12</f>
        <v>19.357125583432254</v>
      </c>
      <c r="FR135" s="21">
        <f>EXP(-LN(2)/25)*FR134+(1-EXP(-LN(2)/25))/(LN(2)/25)*Calculateur!FM135*Calculateur!FO135*VLOOKUP('Données projet'!$B$16,Paramètres!$A$1:$I$89,3,0)*0.475*44/12</f>
        <v>0</v>
      </c>
      <c r="FS135" s="21">
        <f>EXP(-LN(2)/2)*FS134+(1-EXP(-LN(2)/2))/(LN(2)/2)*FM135*FP135*VLOOKUP('Données projet'!$B$16,Paramètres!$A$1:$I$89,3,0)*0.475*44/12</f>
        <v>0</v>
      </c>
      <c r="FT135" s="22">
        <f t="shared" si="132"/>
        <v>19.357125583432254</v>
      </c>
      <c r="FU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19.8100000000004</v>
      </c>
      <c r="GA135" s="17">
        <f>FZ135*VLOOKUP('Données projet'!$B$17,Paramètres!$A$1:$I$89,3,0)*VLOOKUP('Données projet'!$B$17,Paramètres!$A$1:$I$89,5,0)</f>
        <v>18.851196000000382</v>
      </c>
      <c r="GB135" s="13">
        <f t="shared" si="157"/>
        <v>6.172221809210666</v>
      </c>
      <c r="GC135" s="20">
        <f t="shared" si="133"/>
        <v>43.582452684375909</v>
      </c>
      <c r="GD135" s="59">
        <f t="shared" si="134"/>
        <v>327.8168379580751</v>
      </c>
      <c r="GE135" s="59">
        <f ca="1">AVERAGE(OFFSET($GD$3,0,0,'Données projet'!$E$17+1,1))-AVERAGE(OFFSET($H$3,0,0,'Données projet'!$E$17+1,1))</f>
        <v>592.58528889137358</v>
      </c>
      <c r="GF135" s="59">
        <f t="shared" si="158"/>
        <v>311.31528020403709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>
        <f>EXP(-LN(2)/35)*GL134+(1-EXP(-LN(2)/35))/(LN(2)/35)*GH135*GI135*VLOOKUP('Données projet'!$B$17,Paramètres!$A$1:$I$89,3,0)*0.475*44/12</f>
        <v>285.70026753128229</v>
      </c>
      <c r="GM135" s="21">
        <f>EXP(-LN(2)/25)*GM134+(1-EXP(-LN(2)/25))/(LN(2)/25)*Calculateur!GH135*Calculateur!GJ135*VLOOKUP('Données projet'!$B$17,Paramètres!$A$1:$I$89,3,0)*0.475*44/12</f>
        <v>0</v>
      </c>
      <c r="GN135" s="21">
        <f>EXP(-LN(2)/2)*GN134+(1-EXP(-LN(2)/2))/(LN(2)/2)*GH135*GK135*VLOOKUP('Données projet'!$B$17,Paramètres!$A$1:$I$89,3,0)*0.475*44/12</f>
        <v>0</v>
      </c>
      <c r="GO135" s="21">
        <f t="shared" si="135"/>
        <v>285.70026753128229</v>
      </c>
      <c r="GP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328.00000000000006</v>
      </c>
      <c r="GV135" s="17">
        <f>GU135*VLOOKUP('Données projet'!$B$18,Paramètres!$A$1:$I$89,3,0)*VLOOKUP('Données projet'!$B$18,Paramètres!$A$1:$I$89,5,0)</f>
        <v>255.84000000000006</v>
      </c>
      <c r="GW135" s="13">
        <f t="shared" si="159"/>
        <v>61.834803371075836</v>
      </c>
      <c r="GX135" s="20">
        <f t="shared" si="136"/>
        <v>553.28361587129041</v>
      </c>
      <c r="GY135" s="59">
        <f t="shared" si="137"/>
        <v>837.51800114498951</v>
      </c>
      <c r="GZ135" s="59">
        <f ca="1">AVERAGE(OFFSET($GY$3,0,0,'Données projet'!$E$18+1,1))-AVERAGE(OFFSET($H$3,0,0,'Données projet'!$E$18+1,1))</f>
        <v>308.85018589589453</v>
      </c>
      <c r="HA135" s="59">
        <f t="shared" si="160"/>
        <v>302.59481222418219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>
        <f>EXP(-LN(2)/35)*HG134+(1-EXP(-LN(2)/35))/(LN(2)/35)*HC135*HD135*VLOOKUP('Données projet'!$B$18,Paramètres!$A$1:$I$89,3,0)*0.475*44/12</f>
        <v>14.467912475218586</v>
      </c>
      <c r="HH135" s="21">
        <f>EXP(-LN(2)/25)*HH134+(1-EXP(-LN(2)/25))/(LN(2)/25)*Calculateur!HC135*Calculateur!HE135*VLOOKUP('Données projet'!$B$18,Paramètres!$A$1:$I$89,3,0)*0.475*44/12</f>
        <v>0</v>
      </c>
      <c r="HI135" s="21">
        <f>EXP(-LN(2)/2)*HI134+(1-EXP(-LN(2)/2))/(LN(2)/2)*HC135*HF135*VLOOKUP('Données projet'!$B$18,Paramètres!$A$1:$I$89,3,0)*0.475*44/12</f>
        <v>0</v>
      </c>
      <c r="HJ135" s="22">
        <f t="shared" si="138"/>
        <v>14.467912475218586</v>
      </c>
    </row>
    <row r="136" spans="1:218" x14ac:dyDescent="0.35">
      <c r="A136" s="10">
        <f t="shared" si="139"/>
        <v>133</v>
      </c>
      <c r="B136" s="72">
        <f>'Scénario référence'!$B$16*5+'Scénario référence'!$B$17*0+'Scénario référence'!$B$18*5</f>
        <v>5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66">
        <f t="shared" si="110"/>
        <v>183.33333333333334</v>
      </c>
      <c r="I136" s="6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19.8100000000004</v>
      </c>
      <c r="O136" s="13">
        <f>N136*VLOOKUP('Données projet'!$B$9,Paramètres!$A$1:$I$89,3,0)*VLOOKUP('Données projet'!$B$9,Paramètres!$A$1:$I$89,5,0)</f>
        <v>17.924088000000364</v>
      </c>
      <c r="P136" s="13">
        <f t="shared" si="141"/>
        <v>5.9032212091029486</v>
      </c>
      <c r="Q136" s="20">
        <f t="shared" si="108"/>
        <v>41.499230205854936</v>
      </c>
      <c r="R136" s="59">
        <f t="shared" si="109"/>
        <v>325.89146188618832</v>
      </c>
      <c r="S136" s="59">
        <f ca="1">AVERAGE(OFFSET($R$3,0,0,'Données projet'!$E$9+1,1))-AVERAGE(OFFSET($H$3,0,0,'Données projet'!$E$9+1,1))</f>
        <v>567.42635821507474</v>
      </c>
      <c r="T136" s="59">
        <f t="shared" si="142"/>
        <v>299.04735309930152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266.32255497716585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266.32255497716585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19.8100000000004</v>
      </c>
      <c r="AJ136" s="13">
        <f>AI136*VLOOKUP('Données projet'!$B$10,Paramètres!$A$1:$I$89,3,0)*VLOOKUP('Données projet'!$B$10,Paramètres!$A$1:$I$89,5,0)</f>
        <v>20.08734000000041</v>
      </c>
      <c r="AK136" s="13">
        <f t="shared" si="143"/>
        <v>6.5285137703520215</v>
      </c>
      <c r="AL136" s="20">
        <f t="shared" si="112"/>
        <v>46.355945316697152</v>
      </c>
      <c r="AM136" s="59">
        <f t="shared" si="113"/>
        <v>330.74817699703055</v>
      </c>
      <c r="AN136" s="59">
        <f ca="1">AVERAGE(OFFSET($AM$3,0,0,'Données projet'!$E$10+1,1))-AVERAGE(OFFSET($H$3,0,0,'Données projet'!$E$10+1,1))</f>
        <v>626.09203985591455</v>
      </c>
      <c r="AO136" s="59">
        <f t="shared" si="144"/>
        <v>327.65191296575199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298.46493230199627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298.46493230199627</v>
      </c>
      <c r="AY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404.00000000000017</v>
      </c>
      <c r="BE136" s="13">
        <f>BD136*VLOOKUP('Données projet'!$B$11,Paramètres!$A$1:$I$89,3,0)*VLOOKUP('Données projet'!$B$11,Paramètres!$A$1:$I$89,5,0)</f>
        <v>346.63200000000018</v>
      </c>
      <c r="BF136" s="13">
        <f t="shared" si="145"/>
        <v>80.868615263336864</v>
      </c>
      <c r="BG136" s="20">
        <f t="shared" si="115"/>
        <v>744.56357158364528</v>
      </c>
      <c r="BH136" s="59">
        <f t="shared" si="116"/>
        <v>1028.9558032639786</v>
      </c>
      <c r="BI136" s="59">
        <f ca="1">AVERAGE(OFFSET($BH$3,0,0,'Données projet'!$E$11+1,1))-AVERAGE(OFFSET($H$3,0,0,'Données projet'!$E$11+1,1))</f>
        <v>481.23392184981651</v>
      </c>
      <c r="BJ136" s="59">
        <f t="shared" si="146"/>
        <v>275.88160405468193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77.267433452031398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77.267433452031398</v>
      </c>
      <c r="BT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5.2499999999990337</v>
      </c>
      <c r="BZ136" s="13">
        <f>BY136*VLOOKUP('Données projet'!$B$12,Paramètres!$A$1:$I$89,3,0)*VLOOKUP('Données projet'!$B$12,Paramètres!$A$1:$I$89,5,0)</f>
        <v>2.4569999999995478</v>
      </c>
      <c r="CA136" s="13">
        <f t="shared" si="147"/>
        <v>1.0197977774625564</v>
      </c>
      <c r="CB136" s="20">
        <f t="shared" si="118"/>
        <v>6.0554227957464972</v>
      </c>
      <c r="CC136" s="59">
        <f t="shared" si="119"/>
        <v>290.44765447607989</v>
      </c>
      <c r="CD136" s="59">
        <f ca="1">AVERAGE(OFFSET($CC$3,0,0,'Données projet'!$E$12+1,1))-AVERAGE(OFFSET($H$3,0,0,'Données projet'!$E$12+1,1))</f>
        <v>331.86732359395467</v>
      </c>
      <c r="CE136" s="59">
        <f t="shared" si="148"/>
        <v>208.64489375183106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151.00367144320407</v>
      </c>
      <c r="CL136" s="21">
        <f>EXP(-LN(2)/25)*CL135+(1-EXP(-LN(2)/25))/(LN(2)/25)*Calculateur!CG136*Calculateur!CI136*VLOOKUP('Données projet'!$B$12,Paramètres!$A$1:$I$89,3,0)*0.475*44/12</f>
        <v>0</v>
      </c>
      <c r="CM136" s="21">
        <f>EXP(-LN(2)/2)*CM135+(1-EXP(-LN(2)/2))/(LN(2)/2)*CG136*CJ136*VLOOKUP('Données projet'!$B$12,Paramètres!$A$1:$I$89,3,0)*0.475*44/12</f>
        <v>0</v>
      </c>
      <c r="CN136" s="22">
        <f t="shared" si="120"/>
        <v>151.00367144320407</v>
      </c>
      <c r="CO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319</v>
      </c>
      <c r="CU136" s="17">
        <f>CT136*VLOOKUP('Données projet'!$B$13,Paramètres!$A$1:$I$89,3,0)*VLOOKUP('Données projet'!$B$13,Paramètres!$A$1:$I$89,5,0)</f>
        <v>233.89079999999998</v>
      </c>
      <c r="CV136" s="13">
        <f t="shared" si="149"/>
        <v>57.123140349023068</v>
      </c>
      <c r="CW136" s="20">
        <f t="shared" si="121"/>
        <v>506.84927944121517</v>
      </c>
      <c r="CX136" s="59">
        <f t="shared" si="122"/>
        <v>791.24151112154857</v>
      </c>
      <c r="CY136" s="59">
        <f ca="1">AVERAGE(OFFSET($CX$3,0,0,'Données projet'!$E$13+1,1))-AVERAGE(OFFSET($H$3,0,0,'Données projet'!$E$13+1,1))</f>
        <v>352.45777291109863</v>
      </c>
      <c r="CZ136" s="59">
        <f t="shared" si="150"/>
        <v>340.92165104349181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13.916406655351858</v>
      </c>
      <c r="DG136" s="21">
        <f>EXP(-LN(2)/25)*DG135+(1-EXP(-LN(2)/25))/(LN(2)/25)*Calculateur!DB136*Calculateur!DD136*VLOOKUP('Données projet'!$B$13,Paramètres!$A$1:$I$89,3,0)*0.475*44/12</f>
        <v>0</v>
      </c>
      <c r="DH136" s="21">
        <f>EXP(-LN(2)/2)*DH135+(1-EXP(-LN(2)/2))/(LN(2)/2)*DB136*DE136*VLOOKUP('Données projet'!$B$13,Paramètres!$A$1:$I$89,3,0)*0.475*44/12</f>
        <v>0</v>
      </c>
      <c r="DI136" s="22">
        <f t="shared" si="123"/>
        <v>13.916406655351858</v>
      </c>
      <c r="DJ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19.8100000000004</v>
      </c>
      <c r="DP136" s="17">
        <f>DO136*VLOOKUP('Données projet'!$B$14,Paramètres!$A$1:$I$89,3,0)*VLOOKUP('Données projet'!$B$14,Paramètres!$A$1:$I$89,5,0)</f>
        <v>13.288548000000269</v>
      </c>
      <c r="DQ136" s="13">
        <f t="shared" si="151"/>
        <v>4.531654695205642</v>
      </c>
      <c r="DR136" s="20">
        <f t="shared" si="124"/>
        <v>31.036853027483627</v>
      </c>
      <c r="DS136" s="59">
        <f t="shared" si="125"/>
        <v>315.42908470781703</v>
      </c>
      <c r="DT136" s="59">
        <f ca="1">AVERAGE(OFFSET($DS$3,0,0,'Données projet'!$E$14+1,1))-AVERAGE(OFFSET($H$3,0,0,'Données projet'!$E$14+1,1))</f>
        <v>441.20130048888439</v>
      </c>
      <c r="DU136" s="59">
        <f t="shared" si="152"/>
        <v>237.47732532183946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243.36371403085846</v>
      </c>
      <c r="EB136" s="21">
        <f>EXP(-LN(2)/25)*EB135+(1-EXP(-LN(2)/25))/(LN(2)/25)*Calculateur!DW136*Calculateur!DY136*VLOOKUP('Données projet'!$B$14,Paramètres!$A$1:$I$89,3,0)*0.475*44/12</f>
        <v>0</v>
      </c>
      <c r="EC136" s="21">
        <f>EXP(-LN(2)/2)*EC135+(1-EXP(-LN(2)/2))/(LN(2)/2)*DW136*DZ136*VLOOKUP('Données projet'!$B$14,Paramètres!$A$1:$I$89,3,0)*0.475*44/12</f>
        <v>0</v>
      </c>
      <c r="ED136" s="22">
        <f t="shared" si="126"/>
        <v>243.36371403085846</v>
      </c>
      <c r="EE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319</v>
      </c>
      <c r="EK136" s="17">
        <f>EJ136*VLOOKUP('Données projet'!$B$15,Paramètres!$A$1:$I$89,3,0)*VLOOKUP('Données projet'!$B$15,Paramètres!$A$1:$I$89,5,0)</f>
        <v>253.79640000000001</v>
      </c>
      <c r="EL136" s="13">
        <f t="shared" si="153"/>
        <v>61.39816832228076</v>
      </c>
      <c r="EM136" s="20">
        <f t="shared" si="127"/>
        <v>548.96387316130563</v>
      </c>
      <c r="EN136" s="59">
        <f t="shared" si="128"/>
        <v>833.35610484163908</v>
      </c>
      <c r="EO136" s="59">
        <f ca="1">AVERAGE(OFFSET($EN$3,0,0,'Données projet'!$E$15+1,1))-AVERAGE(OFFSET($H$3,0,0,'Données projet'!$E$15+1,1))</f>
        <v>377.27600411578322</v>
      </c>
      <c r="EP136" s="59">
        <f t="shared" si="154"/>
        <v>364.58250627635425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>
        <f>EXP(-LN(2)/35)*EV135+(1-EXP(-LN(2)/35))/(LN(2)/35)*ER136*ES136*VLOOKUP('Données projet'!$B$15,Paramètres!$A$1:$I$89,3,0)*0.475*44/12</f>
        <v>18.612591385163807</v>
      </c>
      <c r="EW136" s="21">
        <f>EXP(-LN(2)/25)*EW135+(1-EXP(-LN(2)/25))/(LN(2)/25)*Calculateur!ER136*Calculateur!ET136*VLOOKUP('Données projet'!$B$15,Paramètres!$A$1:$I$89,3,0)*0.475*44/12</f>
        <v>0</v>
      </c>
      <c r="EX136" s="21">
        <f>EXP(-LN(2)/2)*EX135+(1-EXP(-LN(2)/2))/(LN(2)/2)*ER136*EU136*VLOOKUP('Données projet'!$B$15,Paramètres!$A$1:$I$89,3,0)*0.475*44/12</f>
        <v>0</v>
      </c>
      <c r="EY136" s="22">
        <f t="shared" si="129"/>
        <v>18.612591385163807</v>
      </c>
      <c r="EZ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319</v>
      </c>
      <c r="FF136" s="17">
        <f>FE136*VLOOKUP('Données projet'!$B$16,Paramètres!$A$1:$I$89,3,0)*VLOOKUP('Données projet'!$B$16,Paramètres!$A$1:$I$89,5,0)</f>
        <v>258.77280000000002</v>
      </c>
      <c r="FG136" s="13">
        <f t="shared" si="155"/>
        <v>62.460716522234691</v>
      </c>
      <c r="FH136" s="20">
        <f t="shared" si="130"/>
        <v>559.48170794289206</v>
      </c>
      <c r="FI136" s="59">
        <f t="shared" si="131"/>
        <v>843.8739396232254</v>
      </c>
      <c r="FJ136" s="59">
        <f ca="1">AVERAGE(OFFSET($FI$3,0,0,'Données projet'!$E$16+1,1))-AVERAGE(OFFSET($H$3,0,0,'Données projet'!$E$16+1,1))</f>
        <v>383.47399633251354</v>
      </c>
      <c r="FK136" s="59">
        <f t="shared" si="156"/>
        <v>370.49129421395628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>
        <f>EXP(-LN(2)/35)*FQ135+(1-EXP(-LN(2)/35))/(LN(2)/35)*FM136*FN136*VLOOKUP('Données projet'!$B$16,Paramètres!$A$1:$I$89,3,0)*0.475*44/12</f>
        <v>18.977544157421939</v>
      </c>
      <c r="FR136" s="21">
        <f>EXP(-LN(2)/25)*FR135+(1-EXP(-LN(2)/25))/(LN(2)/25)*Calculateur!FM136*Calculateur!FO136*VLOOKUP('Données projet'!$B$16,Paramètres!$A$1:$I$89,3,0)*0.475*44/12</f>
        <v>0</v>
      </c>
      <c r="FS136" s="21">
        <f>EXP(-LN(2)/2)*FS135+(1-EXP(-LN(2)/2))/(LN(2)/2)*FM136*FP136*VLOOKUP('Données projet'!$B$16,Paramètres!$A$1:$I$89,3,0)*0.475*44/12</f>
        <v>0</v>
      </c>
      <c r="FT136" s="22">
        <f t="shared" si="132"/>
        <v>18.977544157421939</v>
      </c>
      <c r="FU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19.8100000000004</v>
      </c>
      <c r="GA136" s="17">
        <f>FZ136*VLOOKUP('Données projet'!$B$17,Paramètres!$A$1:$I$89,3,0)*VLOOKUP('Données projet'!$B$17,Paramètres!$A$1:$I$89,5,0)</f>
        <v>18.851196000000382</v>
      </c>
      <c r="GB136" s="13">
        <f t="shared" si="157"/>
        <v>6.172221809210666</v>
      </c>
      <c r="GC136" s="20">
        <f t="shared" si="133"/>
        <v>43.582452684375909</v>
      </c>
      <c r="GD136" s="59">
        <f t="shared" si="134"/>
        <v>327.97468436470933</v>
      </c>
      <c r="GE136" s="59">
        <f ca="1">AVERAGE(OFFSET($GD$3,0,0,'Données projet'!$E$17+1,1))-AVERAGE(OFFSET($H$3,0,0,'Données projet'!$E$17+1,1))</f>
        <v>592.58528889137358</v>
      </c>
      <c r="GF136" s="59">
        <f t="shared" si="158"/>
        <v>311.31528020403709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>
        <f>EXP(-LN(2)/35)*GL135+(1-EXP(-LN(2)/35))/(LN(2)/35)*GH136*GI136*VLOOKUP('Données projet'!$B$17,Paramètres!$A$1:$I$89,3,0)*0.475*44/12</f>
        <v>280.09785954495032</v>
      </c>
      <c r="GM136" s="21">
        <f>EXP(-LN(2)/25)*GM135+(1-EXP(-LN(2)/25))/(LN(2)/25)*Calculateur!GH136*Calculateur!GJ136*VLOOKUP('Données projet'!$B$17,Paramètres!$A$1:$I$89,3,0)*0.475*44/12</f>
        <v>0</v>
      </c>
      <c r="GN136" s="21">
        <f>EXP(-LN(2)/2)*GN135+(1-EXP(-LN(2)/2))/(LN(2)/2)*GH136*GK136*VLOOKUP('Données projet'!$B$17,Paramètres!$A$1:$I$89,3,0)*0.475*44/12</f>
        <v>0</v>
      </c>
      <c r="GO136" s="21">
        <f t="shared" si="135"/>
        <v>280.09785954495032</v>
      </c>
      <c r="GP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328.00000000000006</v>
      </c>
      <c r="GV136" s="17">
        <f>GU136*VLOOKUP('Données projet'!$B$18,Paramètres!$A$1:$I$89,3,0)*VLOOKUP('Données projet'!$B$18,Paramètres!$A$1:$I$89,5,0)</f>
        <v>255.84000000000006</v>
      </c>
      <c r="GW136" s="13">
        <f t="shared" si="159"/>
        <v>61.834803371075836</v>
      </c>
      <c r="GX136" s="20">
        <f t="shared" si="136"/>
        <v>553.28361587129041</v>
      </c>
      <c r="GY136" s="59">
        <f t="shared" si="137"/>
        <v>837.67584755162375</v>
      </c>
      <c r="GZ136" s="59">
        <f ca="1">AVERAGE(OFFSET($GY$3,0,0,'Données projet'!$E$18+1,1))-AVERAGE(OFFSET($H$3,0,0,'Données projet'!$E$18+1,1))</f>
        <v>308.85018589589453</v>
      </c>
      <c r="HA136" s="59">
        <f t="shared" si="160"/>
        <v>302.59481222418219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>
        <f>EXP(-LN(2)/35)*HG135+(1-EXP(-LN(2)/35))/(LN(2)/35)*HC136*HD136*VLOOKUP('Données projet'!$B$18,Paramètres!$A$1:$I$89,3,0)*0.475*44/12</f>
        <v>14.184205536134808</v>
      </c>
      <c r="HH136" s="21">
        <f>EXP(-LN(2)/25)*HH135+(1-EXP(-LN(2)/25))/(LN(2)/25)*Calculateur!HC136*Calculateur!HE136*VLOOKUP('Données projet'!$B$18,Paramètres!$A$1:$I$89,3,0)*0.475*44/12</f>
        <v>0</v>
      </c>
      <c r="HI136" s="21">
        <f>EXP(-LN(2)/2)*HI135+(1-EXP(-LN(2)/2))/(LN(2)/2)*HC136*HF136*VLOOKUP('Données projet'!$B$18,Paramètres!$A$1:$I$89,3,0)*0.475*44/12</f>
        <v>0</v>
      </c>
      <c r="HJ136" s="22">
        <f t="shared" si="138"/>
        <v>14.184205536134808</v>
      </c>
    </row>
    <row r="137" spans="1:218" x14ac:dyDescent="0.35">
      <c r="A137" s="10">
        <f t="shared" si="139"/>
        <v>134</v>
      </c>
      <c r="B137" s="72">
        <f>'Scénario référence'!$B$16*5+'Scénario référence'!$B$17*0+'Scénario référence'!$B$18*5</f>
        <v>5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66">
        <f t="shared" si="110"/>
        <v>183.33333333333334</v>
      </c>
      <c r="I137" s="6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19.8100000000004</v>
      </c>
      <c r="O137" s="13">
        <f>N137*VLOOKUP('Données projet'!$B$9,Paramètres!$A$1:$I$89,3,0)*VLOOKUP('Données projet'!$B$9,Paramètres!$A$1:$I$89,5,0)</f>
        <v>17.924088000000364</v>
      </c>
      <c r="P137" s="13">
        <f t="shared" si="141"/>
        <v>5.9032212091029486</v>
      </c>
      <c r="Q137" s="20">
        <f t="shared" si="108"/>
        <v>41.499230205854936</v>
      </c>
      <c r="R137" s="59">
        <f t="shared" si="109"/>
        <v>326.04657001055921</v>
      </c>
      <c r="S137" s="59">
        <f ca="1">AVERAGE(OFFSET($R$3,0,0,'Données projet'!$E$9+1,1))-AVERAGE(OFFSET($H$3,0,0,'Données projet'!$E$9+1,1))</f>
        <v>567.42635821507474</v>
      </c>
      <c r="T137" s="59">
        <f t="shared" si="142"/>
        <v>299.04735309930152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261.10013211478247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261.10013211478247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19.8100000000004</v>
      </c>
      <c r="AJ137" s="13">
        <f>AI137*VLOOKUP('Données projet'!$B$10,Paramètres!$A$1:$I$89,3,0)*VLOOKUP('Données projet'!$B$10,Paramètres!$A$1:$I$89,5,0)</f>
        <v>20.08734000000041</v>
      </c>
      <c r="AK137" s="13">
        <f t="shared" si="143"/>
        <v>6.5285137703520215</v>
      </c>
      <c r="AL137" s="20">
        <f t="shared" si="112"/>
        <v>46.355945316697152</v>
      </c>
      <c r="AM137" s="59">
        <f t="shared" si="113"/>
        <v>330.90328512140144</v>
      </c>
      <c r="AN137" s="59">
        <f ca="1">AVERAGE(OFFSET($AM$3,0,0,'Données projet'!$E$10+1,1))-AVERAGE(OFFSET($H$3,0,0,'Données projet'!$E$10+1,1))</f>
        <v>626.09203985591455</v>
      </c>
      <c r="AO137" s="59">
        <f t="shared" si="144"/>
        <v>327.65191296575199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292.61221702518731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292.61221702518731</v>
      </c>
      <c r="AY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404.00000000000017</v>
      </c>
      <c r="BE137" s="13">
        <f>BD137*VLOOKUP('Données projet'!$B$11,Paramètres!$A$1:$I$89,3,0)*VLOOKUP('Données projet'!$B$11,Paramètres!$A$1:$I$89,5,0)</f>
        <v>346.63200000000018</v>
      </c>
      <c r="BF137" s="13">
        <f t="shared" si="145"/>
        <v>80.868615263336864</v>
      </c>
      <c r="BG137" s="20">
        <f t="shared" si="115"/>
        <v>744.56357158364528</v>
      </c>
      <c r="BH137" s="59">
        <f t="shared" si="116"/>
        <v>1029.1109113883495</v>
      </c>
      <c r="BI137" s="59">
        <f ca="1">AVERAGE(OFFSET($BH$3,0,0,'Données projet'!$E$11+1,1))-AVERAGE(OFFSET($H$3,0,0,'Données projet'!$E$11+1,1))</f>
        <v>481.23392184981651</v>
      </c>
      <c r="BJ137" s="59">
        <f t="shared" si="146"/>
        <v>275.88160405468193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75.752266210517917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75.752266210517917</v>
      </c>
      <c r="BT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5.2499999999990337</v>
      </c>
      <c r="BZ137" s="13">
        <f>BY137*VLOOKUP('Données projet'!$B$12,Paramètres!$A$1:$I$89,3,0)*VLOOKUP('Données projet'!$B$12,Paramètres!$A$1:$I$89,5,0)</f>
        <v>2.4569999999995478</v>
      </c>
      <c r="CA137" s="13">
        <f t="shared" si="147"/>
        <v>1.0197977774625564</v>
      </c>
      <c r="CB137" s="20">
        <f t="shared" si="118"/>
        <v>6.0554227957464972</v>
      </c>
      <c r="CC137" s="59">
        <f t="shared" si="119"/>
        <v>290.60276260045077</v>
      </c>
      <c r="CD137" s="59">
        <f ca="1">AVERAGE(OFFSET($CC$3,0,0,'Données projet'!$E$12+1,1))-AVERAGE(OFFSET($H$3,0,0,'Données projet'!$E$12+1,1))</f>
        <v>331.86732359395467</v>
      </c>
      <c r="CE137" s="59">
        <f t="shared" si="148"/>
        <v>208.64489375183106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148.042581549348</v>
      </c>
      <c r="CL137" s="21">
        <f>EXP(-LN(2)/25)*CL136+(1-EXP(-LN(2)/25))/(LN(2)/25)*Calculateur!CG137*Calculateur!CI137*VLOOKUP('Données projet'!$B$12,Paramètres!$A$1:$I$89,3,0)*0.475*44/12</f>
        <v>0</v>
      </c>
      <c r="CM137" s="21">
        <f>EXP(-LN(2)/2)*CM136+(1-EXP(-LN(2)/2))/(LN(2)/2)*CG137*CJ137*VLOOKUP('Données projet'!$B$12,Paramètres!$A$1:$I$89,3,0)*0.475*44/12</f>
        <v>0</v>
      </c>
      <c r="CN137" s="22">
        <f t="shared" si="120"/>
        <v>148.042581549348</v>
      </c>
      <c r="CO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319</v>
      </c>
      <c r="CU137" s="17">
        <f>CT137*VLOOKUP('Données projet'!$B$13,Paramètres!$A$1:$I$89,3,0)*VLOOKUP('Données projet'!$B$13,Paramètres!$A$1:$I$89,5,0)</f>
        <v>233.89079999999998</v>
      </c>
      <c r="CV137" s="13">
        <f t="shared" si="149"/>
        <v>57.123140349023068</v>
      </c>
      <c r="CW137" s="20">
        <f t="shared" si="121"/>
        <v>506.84927944121517</v>
      </c>
      <c r="CX137" s="59">
        <f t="shared" si="122"/>
        <v>791.39661924591951</v>
      </c>
      <c r="CY137" s="59">
        <f ca="1">AVERAGE(OFFSET($CX$3,0,0,'Données projet'!$E$13+1,1))-AVERAGE(OFFSET($H$3,0,0,'Données projet'!$E$13+1,1))</f>
        <v>352.45777291109863</v>
      </c>
      <c r="CZ137" s="59">
        <f t="shared" si="150"/>
        <v>340.92165104349181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13.643514409010331</v>
      </c>
      <c r="DG137" s="21">
        <f>EXP(-LN(2)/25)*DG136+(1-EXP(-LN(2)/25))/(LN(2)/25)*Calculateur!DB137*Calculateur!DD137*VLOOKUP('Données projet'!$B$13,Paramètres!$A$1:$I$89,3,0)*0.475*44/12</f>
        <v>0</v>
      </c>
      <c r="DH137" s="21">
        <f>EXP(-LN(2)/2)*DH136+(1-EXP(-LN(2)/2))/(LN(2)/2)*DB137*DE137*VLOOKUP('Données projet'!$B$13,Paramètres!$A$1:$I$89,3,0)*0.475*44/12</f>
        <v>0</v>
      </c>
      <c r="DI137" s="22">
        <f t="shared" si="123"/>
        <v>13.643514409010331</v>
      </c>
      <c r="DJ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19.8100000000004</v>
      </c>
      <c r="DP137" s="17">
        <f>DO137*VLOOKUP('Données projet'!$B$14,Paramètres!$A$1:$I$89,3,0)*VLOOKUP('Données projet'!$B$14,Paramètres!$A$1:$I$89,5,0)</f>
        <v>13.288548000000269</v>
      </c>
      <c r="DQ137" s="13">
        <f t="shared" si="151"/>
        <v>4.531654695205642</v>
      </c>
      <c r="DR137" s="20">
        <f t="shared" si="124"/>
        <v>31.036853027483627</v>
      </c>
      <c r="DS137" s="59">
        <f t="shared" si="125"/>
        <v>315.58419283218791</v>
      </c>
      <c r="DT137" s="59">
        <f ca="1">AVERAGE(OFFSET($DS$3,0,0,'Données projet'!$E$14+1,1))-AVERAGE(OFFSET($H$3,0,0,'Données projet'!$E$14+1,1))</f>
        <v>441.20130048888439</v>
      </c>
      <c r="DU137" s="59">
        <f t="shared" si="152"/>
        <v>237.47732532183946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238.59150003592194</v>
      </c>
      <c r="EB137" s="21">
        <f>EXP(-LN(2)/25)*EB136+(1-EXP(-LN(2)/25))/(LN(2)/25)*Calculateur!DW137*Calculateur!DY137*VLOOKUP('Données projet'!$B$14,Paramètres!$A$1:$I$89,3,0)*0.475*44/12</f>
        <v>0</v>
      </c>
      <c r="EC137" s="21">
        <f>EXP(-LN(2)/2)*EC136+(1-EXP(-LN(2)/2))/(LN(2)/2)*DW137*DZ137*VLOOKUP('Données projet'!$B$14,Paramètres!$A$1:$I$89,3,0)*0.475*44/12</f>
        <v>0</v>
      </c>
      <c r="ED137" s="22">
        <f t="shared" si="126"/>
        <v>238.59150003592194</v>
      </c>
      <c r="EE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319</v>
      </c>
      <c r="EK137" s="17">
        <f>EJ137*VLOOKUP('Données projet'!$B$15,Paramètres!$A$1:$I$89,3,0)*VLOOKUP('Données projet'!$B$15,Paramètres!$A$1:$I$89,5,0)</f>
        <v>253.79640000000001</v>
      </c>
      <c r="EL137" s="13">
        <f t="shared" si="153"/>
        <v>61.39816832228076</v>
      </c>
      <c r="EM137" s="20">
        <f t="shared" si="127"/>
        <v>548.96387316130563</v>
      </c>
      <c r="EN137" s="59">
        <f t="shared" si="128"/>
        <v>833.51121296600991</v>
      </c>
      <c r="EO137" s="59">
        <f ca="1">AVERAGE(OFFSET($EN$3,0,0,'Données projet'!$E$15+1,1))-AVERAGE(OFFSET($H$3,0,0,'Données projet'!$E$15+1,1))</f>
        <v>377.27600411578322</v>
      </c>
      <c r="EP137" s="59">
        <f t="shared" si="154"/>
        <v>364.58250627635425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>
        <f>EXP(-LN(2)/35)*EV136+(1-EXP(-LN(2)/35))/(LN(2)/35)*ER137*ES137*VLOOKUP('Données projet'!$B$15,Paramètres!$A$1:$I$89,3,0)*0.475*44/12</f>
        <v>18.247609820660518</v>
      </c>
      <c r="EW137" s="21">
        <f>EXP(-LN(2)/25)*EW136+(1-EXP(-LN(2)/25))/(LN(2)/25)*Calculateur!ER137*Calculateur!ET137*VLOOKUP('Données projet'!$B$15,Paramètres!$A$1:$I$89,3,0)*0.475*44/12</f>
        <v>0</v>
      </c>
      <c r="EX137" s="21">
        <f>EXP(-LN(2)/2)*EX136+(1-EXP(-LN(2)/2))/(LN(2)/2)*ER137*EU137*VLOOKUP('Données projet'!$B$15,Paramètres!$A$1:$I$89,3,0)*0.475*44/12</f>
        <v>0</v>
      </c>
      <c r="EY137" s="22">
        <f t="shared" si="129"/>
        <v>18.247609820660518</v>
      </c>
      <c r="EZ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319</v>
      </c>
      <c r="FF137" s="17">
        <f>FE137*VLOOKUP('Données projet'!$B$16,Paramètres!$A$1:$I$89,3,0)*VLOOKUP('Données projet'!$B$16,Paramètres!$A$1:$I$89,5,0)</f>
        <v>258.77280000000002</v>
      </c>
      <c r="FG137" s="13">
        <f t="shared" si="155"/>
        <v>62.460716522234691</v>
      </c>
      <c r="FH137" s="20">
        <f t="shared" si="130"/>
        <v>559.48170794289206</v>
      </c>
      <c r="FI137" s="59">
        <f t="shared" si="131"/>
        <v>844.02904774759634</v>
      </c>
      <c r="FJ137" s="59">
        <f ca="1">AVERAGE(OFFSET($FI$3,0,0,'Données projet'!$E$16+1,1))-AVERAGE(OFFSET($H$3,0,0,'Données projet'!$E$16+1,1))</f>
        <v>383.47399633251354</v>
      </c>
      <c r="FK137" s="59">
        <f t="shared" si="156"/>
        <v>370.49129421395628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>
        <f>EXP(-LN(2)/35)*FQ136+(1-EXP(-LN(2)/35))/(LN(2)/35)*FM137*FN137*VLOOKUP('Données projet'!$B$16,Paramètres!$A$1:$I$89,3,0)*0.475*44/12</f>
        <v>18.605406091653879</v>
      </c>
      <c r="FR137" s="21">
        <f>EXP(-LN(2)/25)*FR136+(1-EXP(-LN(2)/25))/(LN(2)/25)*Calculateur!FM137*Calculateur!FO137*VLOOKUP('Données projet'!$B$16,Paramètres!$A$1:$I$89,3,0)*0.475*44/12</f>
        <v>0</v>
      </c>
      <c r="FS137" s="21">
        <f>EXP(-LN(2)/2)*FS136+(1-EXP(-LN(2)/2))/(LN(2)/2)*FM137*FP137*VLOOKUP('Données projet'!$B$16,Paramètres!$A$1:$I$89,3,0)*0.475*44/12</f>
        <v>0</v>
      </c>
      <c r="FT137" s="22">
        <f t="shared" si="132"/>
        <v>18.605406091653879</v>
      </c>
      <c r="FU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19.8100000000004</v>
      </c>
      <c r="GA137" s="17">
        <f>FZ137*VLOOKUP('Données projet'!$B$17,Paramètres!$A$1:$I$89,3,0)*VLOOKUP('Données projet'!$B$17,Paramètres!$A$1:$I$89,5,0)</f>
        <v>18.851196000000382</v>
      </c>
      <c r="GB137" s="13">
        <f t="shared" si="157"/>
        <v>6.172221809210666</v>
      </c>
      <c r="GC137" s="20">
        <f t="shared" si="133"/>
        <v>43.582452684375909</v>
      </c>
      <c r="GD137" s="59">
        <f t="shared" si="134"/>
        <v>328.12979248908016</v>
      </c>
      <c r="GE137" s="59">
        <f ca="1">AVERAGE(OFFSET($GD$3,0,0,'Données projet'!$E$17+1,1))-AVERAGE(OFFSET($H$3,0,0,'Données projet'!$E$17+1,1))</f>
        <v>592.58528889137358</v>
      </c>
      <c r="GF137" s="59">
        <f t="shared" si="158"/>
        <v>311.31528020403709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>
        <f>EXP(-LN(2)/35)*GL136+(1-EXP(-LN(2)/35))/(LN(2)/35)*GH137*GI137*VLOOKUP('Données projet'!$B$17,Paramètres!$A$1:$I$89,3,0)*0.475*44/12</f>
        <v>274.60531136209886</v>
      </c>
      <c r="GM137" s="21">
        <f>EXP(-LN(2)/25)*GM136+(1-EXP(-LN(2)/25))/(LN(2)/25)*Calculateur!GH137*Calculateur!GJ137*VLOOKUP('Données projet'!$B$17,Paramètres!$A$1:$I$89,3,0)*0.475*44/12</f>
        <v>0</v>
      </c>
      <c r="GN137" s="21">
        <f>EXP(-LN(2)/2)*GN136+(1-EXP(-LN(2)/2))/(LN(2)/2)*GH137*GK137*VLOOKUP('Données projet'!$B$17,Paramètres!$A$1:$I$89,3,0)*0.475*44/12</f>
        <v>0</v>
      </c>
      <c r="GO137" s="21">
        <f t="shared" si="135"/>
        <v>274.60531136209886</v>
      </c>
      <c r="GP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328.00000000000006</v>
      </c>
      <c r="GV137" s="17">
        <f>GU137*VLOOKUP('Données projet'!$B$18,Paramètres!$A$1:$I$89,3,0)*VLOOKUP('Données projet'!$B$18,Paramètres!$A$1:$I$89,5,0)</f>
        <v>255.84000000000006</v>
      </c>
      <c r="GW137" s="13">
        <f t="shared" si="159"/>
        <v>61.834803371075836</v>
      </c>
      <c r="GX137" s="20">
        <f t="shared" si="136"/>
        <v>553.28361587129041</v>
      </c>
      <c r="GY137" s="59">
        <f t="shared" si="137"/>
        <v>837.83095567599469</v>
      </c>
      <c r="GZ137" s="59">
        <f ca="1">AVERAGE(OFFSET($GY$3,0,0,'Données projet'!$E$18+1,1))-AVERAGE(OFFSET($H$3,0,0,'Données projet'!$E$18+1,1))</f>
        <v>308.85018589589453</v>
      </c>
      <c r="HA137" s="59">
        <f t="shared" si="160"/>
        <v>302.59481222418219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>
        <f>EXP(-LN(2)/35)*HG136+(1-EXP(-LN(2)/35))/(LN(2)/35)*HC137*HD137*VLOOKUP('Données projet'!$B$18,Paramètres!$A$1:$I$89,3,0)*0.475*44/12</f>
        <v>13.906061917082315</v>
      </c>
      <c r="HH137" s="21">
        <f>EXP(-LN(2)/25)*HH136+(1-EXP(-LN(2)/25))/(LN(2)/25)*Calculateur!HC137*Calculateur!HE137*VLOOKUP('Données projet'!$B$18,Paramètres!$A$1:$I$89,3,0)*0.475*44/12</f>
        <v>0</v>
      </c>
      <c r="HI137" s="21">
        <f>EXP(-LN(2)/2)*HI136+(1-EXP(-LN(2)/2))/(LN(2)/2)*HC137*HF137*VLOOKUP('Données projet'!$B$18,Paramètres!$A$1:$I$89,3,0)*0.475*44/12</f>
        <v>0</v>
      </c>
      <c r="HJ137" s="22">
        <f t="shared" si="138"/>
        <v>13.906061917082315</v>
      </c>
    </row>
    <row r="138" spans="1:218" x14ac:dyDescent="0.35">
      <c r="A138" s="10">
        <f t="shared" si="139"/>
        <v>135</v>
      </c>
      <c r="B138" s="72">
        <f>'Scénario référence'!$B$16*5+'Scénario référence'!$B$17*0+'Scénario référence'!$B$18*5</f>
        <v>5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66">
        <f t="shared" si="110"/>
        <v>183.33333333333334</v>
      </c>
      <c r="I138" s="6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19.8100000000004</v>
      </c>
      <c r="O138" s="13">
        <f>N138*VLOOKUP('Données projet'!$B$9,Paramètres!$A$1:$I$89,3,0)*VLOOKUP('Données projet'!$B$9,Paramètres!$A$1:$I$89,5,0)</f>
        <v>17.924088000000364</v>
      </c>
      <c r="P138" s="13">
        <f t="shared" si="141"/>
        <v>5.9032212091029486</v>
      </c>
      <c r="Q138" s="20">
        <f t="shared" si="108"/>
        <v>41.499230205854936</v>
      </c>
      <c r="R138" s="59">
        <f t="shared" si="109"/>
        <v>326.19898735574208</v>
      </c>
      <c r="S138" s="59">
        <f ca="1">AVERAGE(OFFSET($R$3,0,0,'Données projet'!$E$9+1,1))-AVERAGE(OFFSET($H$3,0,0,'Données projet'!$E$9+1,1))</f>
        <v>567.42635821507474</v>
      </c>
      <c r="T138" s="59">
        <f t="shared" si="142"/>
        <v>299.04735309930152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255.98011777936702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255.98011777936702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19.8100000000004</v>
      </c>
      <c r="AJ138" s="13">
        <f>AI138*VLOOKUP('Données projet'!$B$10,Paramètres!$A$1:$I$89,3,0)*VLOOKUP('Données projet'!$B$10,Paramètres!$A$1:$I$89,5,0)</f>
        <v>20.08734000000041</v>
      </c>
      <c r="AK138" s="13">
        <f t="shared" si="143"/>
        <v>6.5285137703520215</v>
      </c>
      <c r="AL138" s="20">
        <f t="shared" si="112"/>
        <v>46.355945316697152</v>
      </c>
      <c r="AM138" s="59">
        <f t="shared" si="113"/>
        <v>331.05570246658431</v>
      </c>
      <c r="AN138" s="59">
        <f ca="1">AVERAGE(OFFSET($AM$3,0,0,'Données projet'!$E$10+1,1))-AVERAGE(OFFSET($H$3,0,0,'Données projet'!$E$10+1,1))</f>
        <v>626.09203985591455</v>
      </c>
      <c r="AO138" s="59">
        <f t="shared" si="144"/>
        <v>327.65191296575199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286.87426992515276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286.87426992515276</v>
      </c>
      <c r="AY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404.00000000000017</v>
      </c>
      <c r="BE138" s="13">
        <f>BD138*VLOOKUP('Données projet'!$B$11,Paramètres!$A$1:$I$89,3,0)*VLOOKUP('Données projet'!$B$11,Paramètres!$A$1:$I$89,5,0)</f>
        <v>346.63200000000018</v>
      </c>
      <c r="BF138" s="13">
        <f t="shared" si="145"/>
        <v>80.868615263336864</v>
      </c>
      <c r="BG138" s="20">
        <f t="shared" si="115"/>
        <v>744.56357158364528</v>
      </c>
      <c r="BH138" s="59">
        <f t="shared" si="116"/>
        <v>1029.2633287335325</v>
      </c>
      <c r="BI138" s="59">
        <f ca="1">AVERAGE(OFFSET($BH$3,0,0,'Données projet'!$E$11+1,1))-AVERAGE(OFFSET($H$3,0,0,'Données projet'!$E$11+1,1))</f>
        <v>481.23392184981651</v>
      </c>
      <c r="BJ138" s="59">
        <f t="shared" si="146"/>
        <v>275.88160405468193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74.266810474449755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74.266810474449755</v>
      </c>
      <c r="BT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5.2499999999990337</v>
      </c>
      <c r="BZ138" s="13">
        <f>BY138*VLOOKUP('Données projet'!$B$12,Paramètres!$A$1:$I$89,3,0)*VLOOKUP('Données projet'!$B$12,Paramètres!$A$1:$I$89,5,0)</f>
        <v>2.4569999999995478</v>
      </c>
      <c r="CA138" s="13">
        <f t="shared" si="147"/>
        <v>1.0197977774625564</v>
      </c>
      <c r="CB138" s="20">
        <f t="shared" si="118"/>
        <v>6.0554227957464972</v>
      </c>
      <c r="CC138" s="59">
        <f t="shared" si="119"/>
        <v>290.75517994563364</v>
      </c>
      <c r="CD138" s="59">
        <f ca="1">AVERAGE(OFFSET($CC$3,0,0,'Données projet'!$E$12+1,1))-AVERAGE(OFFSET($H$3,0,0,'Données projet'!$E$12+1,1))</f>
        <v>331.86732359395467</v>
      </c>
      <c r="CE138" s="59">
        <f t="shared" si="148"/>
        <v>208.64489375183106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145.13955682222394</v>
      </c>
      <c r="CL138" s="21">
        <f>EXP(-LN(2)/25)*CL137+(1-EXP(-LN(2)/25))/(LN(2)/25)*Calculateur!CG138*Calculateur!CI138*VLOOKUP('Données projet'!$B$12,Paramètres!$A$1:$I$89,3,0)*0.475*44/12</f>
        <v>0</v>
      </c>
      <c r="CM138" s="21">
        <f>EXP(-LN(2)/2)*CM137+(1-EXP(-LN(2)/2))/(LN(2)/2)*CG138*CJ138*VLOOKUP('Données projet'!$B$12,Paramètres!$A$1:$I$89,3,0)*0.475*44/12</f>
        <v>0</v>
      </c>
      <c r="CN138" s="22">
        <f t="shared" si="120"/>
        <v>145.13955682222394</v>
      </c>
      <c r="CO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319</v>
      </c>
      <c r="CU138" s="17">
        <f>CT138*VLOOKUP('Données projet'!$B$13,Paramètres!$A$1:$I$89,3,0)*VLOOKUP('Données projet'!$B$13,Paramètres!$A$1:$I$89,5,0)</f>
        <v>233.89079999999998</v>
      </c>
      <c r="CV138" s="13">
        <f t="shared" si="149"/>
        <v>57.123140349023068</v>
      </c>
      <c r="CW138" s="20">
        <f t="shared" si="121"/>
        <v>506.84927944121517</v>
      </c>
      <c r="CX138" s="59">
        <f t="shared" si="122"/>
        <v>791.54903659110232</v>
      </c>
      <c r="CY138" s="59">
        <f ca="1">AVERAGE(OFFSET($CX$3,0,0,'Données projet'!$E$13+1,1))-AVERAGE(OFFSET($H$3,0,0,'Données projet'!$E$13+1,1))</f>
        <v>352.45777291109863</v>
      </c>
      <c r="CZ138" s="59">
        <f t="shared" si="150"/>
        <v>340.92165104349181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13.375973413171726</v>
      </c>
      <c r="DG138" s="21">
        <f>EXP(-LN(2)/25)*DG137+(1-EXP(-LN(2)/25))/(LN(2)/25)*Calculateur!DB138*Calculateur!DD138*VLOOKUP('Données projet'!$B$13,Paramètres!$A$1:$I$89,3,0)*0.475*44/12</f>
        <v>0</v>
      </c>
      <c r="DH138" s="21">
        <f>EXP(-LN(2)/2)*DH137+(1-EXP(-LN(2)/2))/(LN(2)/2)*DB138*DE138*VLOOKUP('Données projet'!$B$13,Paramètres!$A$1:$I$89,3,0)*0.475*44/12</f>
        <v>0</v>
      </c>
      <c r="DI138" s="22">
        <f t="shared" si="123"/>
        <v>13.375973413171726</v>
      </c>
      <c r="DJ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19.8100000000004</v>
      </c>
      <c r="DP138" s="17">
        <f>DO138*VLOOKUP('Données projet'!$B$14,Paramètres!$A$1:$I$89,3,0)*VLOOKUP('Données projet'!$B$14,Paramètres!$A$1:$I$89,5,0)</f>
        <v>13.288548000000269</v>
      </c>
      <c r="DQ138" s="13">
        <f t="shared" si="151"/>
        <v>4.531654695205642</v>
      </c>
      <c r="DR138" s="20">
        <f t="shared" si="124"/>
        <v>31.036853027483627</v>
      </c>
      <c r="DS138" s="59">
        <f t="shared" si="125"/>
        <v>315.73661017737078</v>
      </c>
      <c r="DT138" s="59">
        <f ca="1">AVERAGE(OFFSET($DS$3,0,0,'Données projet'!$E$14+1,1))-AVERAGE(OFFSET($H$3,0,0,'Données projet'!$E$14+1,1))</f>
        <v>441.20130048888439</v>
      </c>
      <c r="DU138" s="59">
        <f t="shared" si="152"/>
        <v>237.47732532183946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233.91286624666299</v>
      </c>
      <c r="EB138" s="21">
        <f>EXP(-LN(2)/25)*EB137+(1-EXP(-LN(2)/25))/(LN(2)/25)*Calculateur!DW138*Calculateur!DY138*VLOOKUP('Données projet'!$B$14,Paramètres!$A$1:$I$89,3,0)*0.475*44/12</f>
        <v>0</v>
      </c>
      <c r="EC138" s="21">
        <f>EXP(-LN(2)/2)*EC137+(1-EXP(-LN(2)/2))/(LN(2)/2)*DW138*DZ138*VLOOKUP('Données projet'!$B$14,Paramètres!$A$1:$I$89,3,0)*0.475*44/12</f>
        <v>0</v>
      </c>
      <c r="ED138" s="22">
        <f t="shared" si="126"/>
        <v>233.91286624666299</v>
      </c>
      <c r="EE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319</v>
      </c>
      <c r="EK138" s="17">
        <f>EJ138*VLOOKUP('Données projet'!$B$15,Paramètres!$A$1:$I$89,3,0)*VLOOKUP('Données projet'!$B$15,Paramètres!$A$1:$I$89,5,0)</f>
        <v>253.79640000000001</v>
      </c>
      <c r="EL138" s="13">
        <f t="shared" si="153"/>
        <v>61.39816832228076</v>
      </c>
      <c r="EM138" s="20">
        <f t="shared" si="127"/>
        <v>548.96387316130563</v>
      </c>
      <c r="EN138" s="59">
        <f t="shared" si="128"/>
        <v>833.66363031119272</v>
      </c>
      <c r="EO138" s="59">
        <f ca="1">AVERAGE(OFFSET($EN$3,0,0,'Données projet'!$E$15+1,1))-AVERAGE(OFFSET($H$3,0,0,'Données projet'!$E$15+1,1))</f>
        <v>377.27600411578322</v>
      </c>
      <c r="EP138" s="59">
        <f t="shared" si="154"/>
        <v>364.58250627635425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>
        <f>EXP(-LN(2)/35)*EV137+(1-EXP(-LN(2)/35))/(LN(2)/35)*ER138*ES138*VLOOKUP('Données projet'!$B$15,Paramètres!$A$1:$I$89,3,0)*0.475*44/12</f>
        <v>17.889785322020366</v>
      </c>
      <c r="EW138" s="21">
        <f>EXP(-LN(2)/25)*EW137+(1-EXP(-LN(2)/25))/(LN(2)/25)*Calculateur!ER138*Calculateur!ET138*VLOOKUP('Données projet'!$B$15,Paramètres!$A$1:$I$89,3,0)*0.475*44/12</f>
        <v>0</v>
      </c>
      <c r="EX138" s="21">
        <f>EXP(-LN(2)/2)*EX137+(1-EXP(-LN(2)/2))/(LN(2)/2)*ER138*EU138*VLOOKUP('Données projet'!$B$15,Paramètres!$A$1:$I$89,3,0)*0.475*44/12</f>
        <v>0</v>
      </c>
      <c r="EY138" s="22">
        <f t="shared" si="129"/>
        <v>17.889785322020366</v>
      </c>
      <c r="EZ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319</v>
      </c>
      <c r="FF138" s="17">
        <f>FE138*VLOOKUP('Données projet'!$B$16,Paramètres!$A$1:$I$89,3,0)*VLOOKUP('Données projet'!$B$16,Paramètres!$A$1:$I$89,5,0)</f>
        <v>258.77280000000002</v>
      </c>
      <c r="FG138" s="13">
        <f t="shared" si="155"/>
        <v>62.460716522234691</v>
      </c>
      <c r="FH138" s="20">
        <f t="shared" si="130"/>
        <v>559.48170794289206</v>
      </c>
      <c r="FI138" s="59">
        <f t="shared" si="131"/>
        <v>844.18146509277926</v>
      </c>
      <c r="FJ138" s="59">
        <f ca="1">AVERAGE(OFFSET($FI$3,0,0,'Données projet'!$E$16+1,1))-AVERAGE(OFFSET($H$3,0,0,'Données projet'!$E$16+1,1))</f>
        <v>383.47399633251354</v>
      </c>
      <c r="FK138" s="59">
        <f t="shared" si="156"/>
        <v>370.49129421395628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>
        <f>EXP(-LN(2)/35)*FQ137+(1-EXP(-LN(2)/35))/(LN(2)/35)*FM138*FN138*VLOOKUP('Données projet'!$B$16,Paramètres!$A$1:$I$89,3,0)*0.475*44/12</f>
        <v>18.240565426373724</v>
      </c>
      <c r="FR138" s="21">
        <f>EXP(-LN(2)/25)*FR137+(1-EXP(-LN(2)/25))/(LN(2)/25)*Calculateur!FM138*Calculateur!FO138*VLOOKUP('Données projet'!$B$16,Paramètres!$A$1:$I$89,3,0)*0.475*44/12</f>
        <v>0</v>
      </c>
      <c r="FS138" s="21">
        <f>EXP(-LN(2)/2)*FS137+(1-EXP(-LN(2)/2))/(LN(2)/2)*FM138*FP138*VLOOKUP('Données projet'!$B$16,Paramètres!$A$1:$I$89,3,0)*0.475*44/12</f>
        <v>0</v>
      </c>
      <c r="FT138" s="22">
        <f t="shared" si="132"/>
        <v>18.240565426373724</v>
      </c>
      <c r="FU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19.8100000000004</v>
      </c>
      <c r="GA138" s="17">
        <f>FZ138*VLOOKUP('Données projet'!$B$17,Paramètres!$A$1:$I$89,3,0)*VLOOKUP('Données projet'!$B$17,Paramètres!$A$1:$I$89,5,0)</f>
        <v>18.851196000000382</v>
      </c>
      <c r="GB138" s="13">
        <f t="shared" si="157"/>
        <v>6.172221809210666</v>
      </c>
      <c r="GC138" s="20">
        <f t="shared" si="133"/>
        <v>43.582452684375909</v>
      </c>
      <c r="GD138" s="59">
        <f t="shared" si="134"/>
        <v>328.28220983426309</v>
      </c>
      <c r="GE138" s="59">
        <f ca="1">AVERAGE(OFFSET($GD$3,0,0,'Données projet'!$E$17+1,1))-AVERAGE(OFFSET($H$3,0,0,'Données projet'!$E$17+1,1))</f>
        <v>592.58528889137358</v>
      </c>
      <c r="GF138" s="59">
        <f t="shared" si="158"/>
        <v>311.31528020403709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>
        <f>EXP(-LN(2)/35)*GL137+(1-EXP(-LN(2)/35))/(LN(2)/35)*GH138*GI138*VLOOKUP('Données projet'!$B$17,Paramètres!$A$1:$I$89,3,0)*0.475*44/12</f>
        <v>269.22046869898952</v>
      </c>
      <c r="GM138" s="21">
        <f>EXP(-LN(2)/25)*GM137+(1-EXP(-LN(2)/25))/(LN(2)/25)*Calculateur!GH138*Calculateur!GJ138*VLOOKUP('Données projet'!$B$17,Paramètres!$A$1:$I$89,3,0)*0.475*44/12</f>
        <v>0</v>
      </c>
      <c r="GN138" s="21">
        <f>EXP(-LN(2)/2)*GN137+(1-EXP(-LN(2)/2))/(LN(2)/2)*GH138*GK138*VLOOKUP('Données projet'!$B$17,Paramètres!$A$1:$I$89,3,0)*0.475*44/12</f>
        <v>0</v>
      </c>
      <c r="GO138" s="21">
        <f t="shared" si="135"/>
        <v>269.22046869898952</v>
      </c>
      <c r="GP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328.00000000000006</v>
      </c>
      <c r="GV138" s="17">
        <f>GU138*VLOOKUP('Données projet'!$B$18,Paramètres!$A$1:$I$89,3,0)*VLOOKUP('Données projet'!$B$18,Paramètres!$A$1:$I$89,5,0)</f>
        <v>255.84000000000006</v>
      </c>
      <c r="GW138" s="13">
        <f t="shared" si="159"/>
        <v>61.834803371075836</v>
      </c>
      <c r="GX138" s="20">
        <f t="shared" si="136"/>
        <v>553.28361587129041</v>
      </c>
      <c r="GY138" s="59">
        <f t="shared" si="137"/>
        <v>837.98337302117761</v>
      </c>
      <c r="GZ138" s="59">
        <f ca="1">AVERAGE(OFFSET($GY$3,0,0,'Données projet'!$E$18+1,1))-AVERAGE(OFFSET($H$3,0,0,'Données projet'!$E$18+1,1))</f>
        <v>308.85018589589453</v>
      </c>
      <c r="HA138" s="59">
        <f t="shared" si="160"/>
        <v>302.59481222418219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>
        <f>EXP(-LN(2)/35)*HG137+(1-EXP(-LN(2)/35))/(LN(2)/35)*HC138*HD138*VLOOKUP('Données projet'!$B$18,Paramètres!$A$1:$I$89,3,0)*0.475*44/12</f>
        <v>13.633372524748586</v>
      </c>
      <c r="HH138" s="21">
        <f>EXP(-LN(2)/25)*HH137+(1-EXP(-LN(2)/25))/(LN(2)/25)*Calculateur!HC138*Calculateur!HE138*VLOOKUP('Données projet'!$B$18,Paramètres!$A$1:$I$89,3,0)*0.475*44/12</f>
        <v>0</v>
      </c>
      <c r="HI138" s="21">
        <f>EXP(-LN(2)/2)*HI137+(1-EXP(-LN(2)/2))/(LN(2)/2)*HC138*HF138*VLOOKUP('Données projet'!$B$18,Paramètres!$A$1:$I$89,3,0)*0.475*44/12</f>
        <v>0</v>
      </c>
      <c r="HJ138" s="22">
        <f t="shared" si="138"/>
        <v>13.633372524748586</v>
      </c>
    </row>
    <row r="139" spans="1:218" x14ac:dyDescent="0.35">
      <c r="A139" s="10">
        <f t="shared" si="139"/>
        <v>136</v>
      </c>
      <c r="B139" s="72">
        <f>'Scénario référence'!$B$16*5+'Scénario référence'!$B$17*0+'Scénario référence'!$B$18*5</f>
        <v>5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66">
        <f t="shared" si="110"/>
        <v>183.33333333333334</v>
      </c>
      <c r="I139" s="6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19.8100000000004</v>
      </c>
      <c r="O139" s="13">
        <f>N139*VLOOKUP('Données projet'!$B$9,Paramètres!$A$1:$I$89,3,0)*VLOOKUP('Données projet'!$B$9,Paramètres!$A$1:$I$89,5,0)</f>
        <v>17.924088000000364</v>
      </c>
      <c r="P139" s="13">
        <f t="shared" si="141"/>
        <v>5.9032212091029486</v>
      </c>
      <c r="Q139" s="20">
        <f t="shared" si="108"/>
        <v>41.499230205854936</v>
      </c>
      <c r="R139" s="59">
        <f t="shared" si="109"/>
        <v>326.34876060074015</v>
      </c>
      <c r="S139" s="59">
        <f ca="1">AVERAGE(OFFSET($R$3,0,0,'Données projet'!$E$9+1,1))-AVERAGE(OFFSET($H$3,0,0,'Données projet'!$E$9+1,1))</f>
        <v>567.42635821507474</v>
      </c>
      <c r="T139" s="59">
        <f t="shared" si="142"/>
        <v>299.04735309930152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250.96050380216869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250.96050380216869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19.8100000000004</v>
      </c>
      <c r="AJ139" s="13">
        <f>AI139*VLOOKUP('Données projet'!$B$10,Paramètres!$A$1:$I$89,3,0)*VLOOKUP('Données projet'!$B$10,Paramètres!$A$1:$I$89,5,0)</f>
        <v>20.08734000000041</v>
      </c>
      <c r="AK139" s="13">
        <f t="shared" si="143"/>
        <v>6.5285137703520215</v>
      </c>
      <c r="AL139" s="20">
        <f t="shared" si="112"/>
        <v>46.355945316697152</v>
      </c>
      <c r="AM139" s="59">
        <f t="shared" si="113"/>
        <v>331.20547571158238</v>
      </c>
      <c r="AN139" s="59">
        <f ca="1">AVERAGE(OFFSET($AM$3,0,0,'Données projet'!$E$10+1,1))-AVERAGE(OFFSET($H$3,0,0,'Données projet'!$E$10+1,1))</f>
        <v>626.09203985591455</v>
      </c>
      <c r="AO139" s="59">
        <f t="shared" si="144"/>
        <v>327.65191296575199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281.24884046794773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281.24884046794773</v>
      </c>
      <c r="AY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404.00000000000017</v>
      </c>
      <c r="BE139" s="13">
        <f>BD139*VLOOKUP('Données projet'!$B$11,Paramètres!$A$1:$I$89,3,0)*VLOOKUP('Données projet'!$B$11,Paramètres!$A$1:$I$89,5,0)</f>
        <v>346.63200000000018</v>
      </c>
      <c r="BF139" s="13">
        <f t="shared" si="145"/>
        <v>80.868615263336864</v>
      </c>
      <c r="BG139" s="20">
        <f t="shared" si="115"/>
        <v>744.56357158364528</v>
      </c>
      <c r="BH139" s="59">
        <f t="shared" si="116"/>
        <v>1029.4131019785304</v>
      </c>
      <c r="BI139" s="59">
        <f ca="1">AVERAGE(OFFSET($BH$3,0,0,'Données projet'!$E$11+1,1))-AVERAGE(OFFSET($H$3,0,0,'Données projet'!$E$11+1,1))</f>
        <v>481.23392184981651</v>
      </c>
      <c r="BJ139" s="59">
        <f t="shared" si="146"/>
        <v>275.88160405468193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72.810483619327357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72.810483619327357</v>
      </c>
      <c r="BT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5.2499999999990337</v>
      </c>
      <c r="BZ139" s="13">
        <f>BY139*VLOOKUP('Données projet'!$B$12,Paramètres!$A$1:$I$89,3,0)*VLOOKUP('Données projet'!$B$12,Paramètres!$A$1:$I$89,5,0)</f>
        <v>2.4569999999995478</v>
      </c>
      <c r="CA139" s="13">
        <f t="shared" si="147"/>
        <v>1.0197977774625564</v>
      </c>
      <c r="CB139" s="20">
        <f t="shared" si="118"/>
        <v>6.0554227957464972</v>
      </c>
      <c r="CC139" s="59">
        <f t="shared" si="119"/>
        <v>290.90495319063172</v>
      </c>
      <c r="CD139" s="59">
        <f ca="1">AVERAGE(OFFSET($CC$3,0,0,'Données projet'!$E$12+1,1))-AVERAGE(OFFSET($H$3,0,0,'Données projet'!$E$12+1,1))</f>
        <v>331.86732359395467</v>
      </c>
      <c r="CE139" s="59">
        <f t="shared" si="148"/>
        <v>208.64489375183106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142.29345863932852</v>
      </c>
      <c r="CL139" s="21">
        <f>EXP(-LN(2)/25)*CL138+(1-EXP(-LN(2)/25))/(LN(2)/25)*Calculateur!CG139*Calculateur!CI139*VLOOKUP('Données projet'!$B$12,Paramètres!$A$1:$I$89,3,0)*0.475*44/12</f>
        <v>0</v>
      </c>
      <c r="CM139" s="21">
        <f>EXP(-LN(2)/2)*CM138+(1-EXP(-LN(2)/2))/(LN(2)/2)*CG139*CJ139*VLOOKUP('Données projet'!$B$12,Paramètres!$A$1:$I$89,3,0)*0.475*44/12</f>
        <v>0</v>
      </c>
      <c r="CN139" s="22">
        <f t="shared" si="120"/>
        <v>142.29345863932852</v>
      </c>
      <c r="CO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319</v>
      </c>
      <c r="CU139" s="17">
        <f>CT139*VLOOKUP('Données projet'!$B$13,Paramètres!$A$1:$I$89,3,0)*VLOOKUP('Données projet'!$B$13,Paramètres!$A$1:$I$89,5,0)</f>
        <v>233.89079999999998</v>
      </c>
      <c r="CV139" s="13">
        <f t="shared" si="149"/>
        <v>57.123140349023068</v>
      </c>
      <c r="CW139" s="20">
        <f t="shared" si="121"/>
        <v>506.84927944121517</v>
      </c>
      <c r="CX139" s="59">
        <f t="shared" si="122"/>
        <v>791.69880983610039</v>
      </c>
      <c r="CY139" s="59">
        <f ca="1">AVERAGE(OFFSET($CX$3,0,0,'Données projet'!$E$13+1,1))-AVERAGE(OFFSET($H$3,0,0,'Données projet'!$E$13+1,1))</f>
        <v>352.45777291109863</v>
      </c>
      <c r="CZ139" s="59">
        <f t="shared" si="150"/>
        <v>340.92165104349181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13.113678733077622</v>
      </c>
      <c r="DG139" s="21">
        <f>EXP(-LN(2)/25)*DG138+(1-EXP(-LN(2)/25))/(LN(2)/25)*Calculateur!DB139*Calculateur!DD139*VLOOKUP('Données projet'!$B$13,Paramètres!$A$1:$I$89,3,0)*0.475*44/12</f>
        <v>0</v>
      </c>
      <c r="DH139" s="21">
        <f>EXP(-LN(2)/2)*DH138+(1-EXP(-LN(2)/2))/(LN(2)/2)*DB139*DE139*VLOOKUP('Données projet'!$B$13,Paramètres!$A$1:$I$89,3,0)*0.475*44/12</f>
        <v>0</v>
      </c>
      <c r="DI139" s="22">
        <f t="shared" si="123"/>
        <v>13.113678733077622</v>
      </c>
      <c r="DJ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19.8100000000004</v>
      </c>
      <c r="DP139" s="17">
        <f>DO139*VLOOKUP('Données projet'!$B$14,Paramètres!$A$1:$I$89,3,0)*VLOOKUP('Données projet'!$B$14,Paramètres!$A$1:$I$89,5,0)</f>
        <v>13.288548000000269</v>
      </c>
      <c r="DQ139" s="13">
        <f t="shared" si="151"/>
        <v>4.531654695205642</v>
      </c>
      <c r="DR139" s="20">
        <f t="shared" si="124"/>
        <v>31.036853027483627</v>
      </c>
      <c r="DS139" s="59">
        <f t="shared" si="125"/>
        <v>315.88638342236885</v>
      </c>
      <c r="DT139" s="59">
        <f ca="1">AVERAGE(OFFSET($DS$3,0,0,'Données projet'!$E$14+1,1))-AVERAGE(OFFSET($H$3,0,0,'Données projet'!$E$14+1,1))</f>
        <v>441.20130048888439</v>
      </c>
      <c r="DU139" s="59">
        <f t="shared" si="152"/>
        <v>237.47732532183946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229.32597761232657</v>
      </c>
      <c r="EB139" s="21">
        <f>EXP(-LN(2)/25)*EB138+(1-EXP(-LN(2)/25))/(LN(2)/25)*Calculateur!DW139*Calculateur!DY139*VLOOKUP('Données projet'!$B$14,Paramètres!$A$1:$I$89,3,0)*0.475*44/12</f>
        <v>0</v>
      </c>
      <c r="EC139" s="21">
        <f>EXP(-LN(2)/2)*EC138+(1-EXP(-LN(2)/2))/(LN(2)/2)*DW139*DZ139*VLOOKUP('Données projet'!$B$14,Paramètres!$A$1:$I$89,3,0)*0.475*44/12</f>
        <v>0</v>
      </c>
      <c r="ED139" s="22">
        <f t="shared" si="126"/>
        <v>229.32597761232657</v>
      </c>
      <c r="EE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319</v>
      </c>
      <c r="EK139" s="17">
        <f>EJ139*VLOOKUP('Données projet'!$B$15,Paramètres!$A$1:$I$89,3,0)*VLOOKUP('Données projet'!$B$15,Paramètres!$A$1:$I$89,5,0)</f>
        <v>253.79640000000001</v>
      </c>
      <c r="EL139" s="13">
        <f t="shared" si="153"/>
        <v>61.39816832228076</v>
      </c>
      <c r="EM139" s="20">
        <f t="shared" si="127"/>
        <v>548.96387316130563</v>
      </c>
      <c r="EN139" s="59">
        <f t="shared" si="128"/>
        <v>833.81340355619091</v>
      </c>
      <c r="EO139" s="59">
        <f ca="1">AVERAGE(OFFSET($EN$3,0,0,'Données projet'!$E$15+1,1))-AVERAGE(OFFSET($H$3,0,0,'Données projet'!$E$15+1,1))</f>
        <v>377.27600411578322</v>
      </c>
      <c r="EP139" s="59">
        <f t="shared" si="154"/>
        <v>364.58250627635425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>
        <f>EXP(-LN(2)/35)*EV138+(1-EXP(-LN(2)/35))/(LN(2)/35)*ER139*ES139*VLOOKUP('Données projet'!$B$15,Paramètres!$A$1:$I$89,3,0)*0.475*44/12</f>
        <v>17.538977543547151</v>
      </c>
      <c r="EW139" s="21">
        <f>EXP(-LN(2)/25)*EW138+(1-EXP(-LN(2)/25))/(LN(2)/25)*Calculateur!ER139*Calculateur!ET139*VLOOKUP('Données projet'!$B$15,Paramètres!$A$1:$I$89,3,0)*0.475*44/12</f>
        <v>0</v>
      </c>
      <c r="EX139" s="21">
        <f>EXP(-LN(2)/2)*EX138+(1-EXP(-LN(2)/2))/(LN(2)/2)*ER139*EU139*VLOOKUP('Données projet'!$B$15,Paramètres!$A$1:$I$89,3,0)*0.475*44/12</f>
        <v>0</v>
      </c>
      <c r="EY139" s="22">
        <f t="shared" si="129"/>
        <v>17.538977543547151</v>
      </c>
      <c r="EZ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319</v>
      </c>
      <c r="FF139" s="17">
        <f>FE139*VLOOKUP('Données projet'!$B$16,Paramètres!$A$1:$I$89,3,0)*VLOOKUP('Données projet'!$B$16,Paramètres!$A$1:$I$89,5,0)</f>
        <v>258.77280000000002</v>
      </c>
      <c r="FG139" s="13">
        <f t="shared" si="155"/>
        <v>62.460716522234691</v>
      </c>
      <c r="FH139" s="20">
        <f t="shared" si="130"/>
        <v>559.48170794289206</v>
      </c>
      <c r="FI139" s="59">
        <f t="shared" si="131"/>
        <v>844.33123833777722</v>
      </c>
      <c r="FJ139" s="59">
        <f ca="1">AVERAGE(OFFSET($FI$3,0,0,'Données projet'!$E$16+1,1))-AVERAGE(OFFSET($H$3,0,0,'Données projet'!$E$16+1,1))</f>
        <v>383.47399633251354</v>
      </c>
      <c r="FK139" s="59">
        <f t="shared" si="156"/>
        <v>370.49129421395628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>
        <f>EXP(-LN(2)/35)*FQ138+(1-EXP(-LN(2)/35))/(LN(2)/35)*FM139*FN139*VLOOKUP('Données projet'!$B$16,Paramètres!$A$1:$I$89,3,0)*0.475*44/12</f>
        <v>17.882879064008879</v>
      </c>
      <c r="FR139" s="21">
        <f>EXP(-LN(2)/25)*FR138+(1-EXP(-LN(2)/25))/(LN(2)/25)*Calculateur!FM139*Calculateur!FO139*VLOOKUP('Données projet'!$B$16,Paramètres!$A$1:$I$89,3,0)*0.475*44/12</f>
        <v>0</v>
      </c>
      <c r="FS139" s="21">
        <f>EXP(-LN(2)/2)*FS138+(1-EXP(-LN(2)/2))/(LN(2)/2)*FM139*FP139*VLOOKUP('Données projet'!$B$16,Paramètres!$A$1:$I$89,3,0)*0.475*44/12</f>
        <v>0</v>
      </c>
      <c r="FT139" s="22">
        <f t="shared" si="132"/>
        <v>17.882879064008879</v>
      </c>
      <c r="FU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19.8100000000004</v>
      </c>
      <c r="GA139" s="17">
        <f>FZ139*VLOOKUP('Données projet'!$B$17,Paramètres!$A$1:$I$89,3,0)*VLOOKUP('Données projet'!$B$17,Paramètres!$A$1:$I$89,5,0)</f>
        <v>18.851196000000382</v>
      </c>
      <c r="GB139" s="13">
        <f t="shared" si="157"/>
        <v>6.172221809210666</v>
      </c>
      <c r="GC139" s="20">
        <f t="shared" si="133"/>
        <v>43.582452684375909</v>
      </c>
      <c r="GD139" s="59">
        <f t="shared" si="134"/>
        <v>328.43198307926116</v>
      </c>
      <c r="GE139" s="59">
        <f ca="1">AVERAGE(OFFSET($GD$3,0,0,'Données projet'!$E$17+1,1))-AVERAGE(OFFSET($H$3,0,0,'Données projet'!$E$17+1,1))</f>
        <v>592.58528889137358</v>
      </c>
      <c r="GF139" s="59">
        <f t="shared" si="158"/>
        <v>311.31528020403709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>
        <f>EXP(-LN(2)/35)*GL138+(1-EXP(-LN(2)/35))/(LN(2)/35)*GH139*GI139*VLOOKUP('Données projet'!$B$17,Paramètres!$A$1:$I$89,3,0)*0.475*44/12</f>
        <v>263.941219516074</v>
      </c>
      <c r="GM139" s="21">
        <f>EXP(-LN(2)/25)*GM138+(1-EXP(-LN(2)/25))/(LN(2)/25)*Calculateur!GH139*Calculateur!GJ139*VLOOKUP('Données projet'!$B$17,Paramètres!$A$1:$I$89,3,0)*0.475*44/12</f>
        <v>0</v>
      </c>
      <c r="GN139" s="21">
        <f>EXP(-LN(2)/2)*GN138+(1-EXP(-LN(2)/2))/(LN(2)/2)*GH139*GK139*VLOOKUP('Données projet'!$B$17,Paramètres!$A$1:$I$89,3,0)*0.475*44/12</f>
        <v>0</v>
      </c>
      <c r="GO139" s="21">
        <f t="shared" si="135"/>
        <v>263.941219516074</v>
      </c>
      <c r="GP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328.00000000000006</v>
      </c>
      <c r="GV139" s="17">
        <f>GU139*VLOOKUP('Données projet'!$B$18,Paramètres!$A$1:$I$89,3,0)*VLOOKUP('Données projet'!$B$18,Paramètres!$A$1:$I$89,5,0)</f>
        <v>255.84000000000006</v>
      </c>
      <c r="GW139" s="13">
        <f t="shared" si="159"/>
        <v>61.834803371075836</v>
      </c>
      <c r="GX139" s="20">
        <f t="shared" si="136"/>
        <v>553.28361587129041</v>
      </c>
      <c r="GY139" s="59">
        <f t="shared" si="137"/>
        <v>838.13314626617557</v>
      </c>
      <c r="GZ139" s="59">
        <f ca="1">AVERAGE(OFFSET($GY$3,0,0,'Données projet'!$E$18+1,1))-AVERAGE(OFFSET($H$3,0,0,'Données projet'!$E$18+1,1))</f>
        <v>308.85018589589453</v>
      </c>
      <c r="HA139" s="59">
        <f t="shared" si="160"/>
        <v>302.59481222418219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>
        <f>EXP(-LN(2)/35)*HG138+(1-EXP(-LN(2)/35))/(LN(2)/35)*HC139*HD139*VLOOKUP('Données projet'!$B$18,Paramètres!$A$1:$I$89,3,0)*0.475*44/12</f>
        <v>13.366030405074415</v>
      </c>
      <c r="HH139" s="21">
        <f>EXP(-LN(2)/25)*HH138+(1-EXP(-LN(2)/25))/(LN(2)/25)*Calculateur!HC139*Calculateur!HE139*VLOOKUP('Données projet'!$B$18,Paramètres!$A$1:$I$89,3,0)*0.475*44/12</f>
        <v>0</v>
      </c>
      <c r="HI139" s="21">
        <f>EXP(-LN(2)/2)*HI138+(1-EXP(-LN(2)/2))/(LN(2)/2)*HC139*HF139*VLOOKUP('Données projet'!$B$18,Paramètres!$A$1:$I$89,3,0)*0.475*44/12</f>
        <v>0</v>
      </c>
      <c r="HJ139" s="22">
        <f t="shared" si="138"/>
        <v>13.366030405074415</v>
      </c>
    </row>
    <row r="140" spans="1:218" x14ac:dyDescent="0.35">
      <c r="A140" s="10">
        <f t="shared" si="139"/>
        <v>137</v>
      </c>
      <c r="B140" s="72">
        <f>'Scénario référence'!$B$16*5+'Scénario référence'!$B$17*0+'Scénario référence'!$B$18*5</f>
        <v>5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66">
        <f t="shared" si="110"/>
        <v>183.33333333333334</v>
      </c>
      <c r="I140" s="6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19.8100000000004</v>
      </c>
      <c r="O140" s="13">
        <f>N140*VLOOKUP('Données projet'!$B$9,Paramètres!$A$1:$I$89,3,0)*VLOOKUP('Données projet'!$B$9,Paramètres!$A$1:$I$89,5,0)</f>
        <v>17.924088000000364</v>
      </c>
      <c r="P140" s="13">
        <f t="shared" si="141"/>
        <v>5.9032212091029486</v>
      </c>
      <c r="Q140" s="20">
        <f t="shared" si="108"/>
        <v>41.499230205854936</v>
      </c>
      <c r="R140" s="59">
        <f t="shared" si="109"/>
        <v>326.49593561478031</v>
      </c>
      <c r="S140" s="59">
        <f ca="1">AVERAGE(OFFSET($R$3,0,0,'Données projet'!$E$9+1,1))-AVERAGE(OFFSET($H$3,0,0,'Données projet'!$E$9+1,1))</f>
        <v>567.42635821507474</v>
      </c>
      <c r="T140" s="59">
        <f t="shared" si="142"/>
        <v>299.04735309930152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246.039321393401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246.039321393401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19.8100000000004</v>
      </c>
      <c r="AJ140" s="13">
        <f>AI140*VLOOKUP('Données projet'!$B$10,Paramètres!$A$1:$I$89,3,0)*VLOOKUP('Données projet'!$B$10,Paramètres!$A$1:$I$89,5,0)</f>
        <v>20.08734000000041</v>
      </c>
      <c r="AK140" s="13">
        <f t="shared" si="143"/>
        <v>6.5285137703520215</v>
      </c>
      <c r="AL140" s="20">
        <f t="shared" si="112"/>
        <v>46.355945316697152</v>
      </c>
      <c r="AM140" s="59">
        <f t="shared" si="113"/>
        <v>331.35265072562254</v>
      </c>
      <c r="AN140" s="59">
        <f ca="1">AVERAGE(OFFSET($AM$3,0,0,'Données projet'!$E$10+1,1))-AVERAGE(OFFSET($H$3,0,0,'Données projet'!$E$10+1,1))</f>
        <v>626.09203985591455</v>
      </c>
      <c r="AO140" s="59">
        <f t="shared" si="144"/>
        <v>327.65191296575199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275.73372225122529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275.73372225122529</v>
      </c>
      <c r="AY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404.00000000000017</v>
      </c>
      <c r="BE140" s="13">
        <f>BD140*VLOOKUP('Données projet'!$B$11,Paramètres!$A$1:$I$89,3,0)*VLOOKUP('Données projet'!$B$11,Paramètres!$A$1:$I$89,5,0)</f>
        <v>346.63200000000018</v>
      </c>
      <c r="BF140" s="13">
        <f t="shared" si="145"/>
        <v>80.868615263336864</v>
      </c>
      <c r="BG140" s="20">
        <f t="shared" si="115"/>
        <v>744.56357158364528</v>
      </c>
      <c r="BH140" s="59">
        <f t="shared" si="116"/>
        <v>1029.5602769925706</v>
      </c>
      <c r="BI140" s="59">
        <f ca="1">AVERAGE(OFFSET($BH$3,0,0,'Données projet'!$E$11+1,1))-AVERAGE(OFFSET($H$3,0,0,'Données projet'!$E$11+1,1))</f>
        <v>481.23392184981651</v>
      </c>
      <c r="BJ140" s="59">
        <f t="shared" si="146"/>
        <v>275.88160405468193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71.382714445562229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71.382714445562229</v>
      </c>
      <c r="BT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5.2499999999990337</v>
      </c>
      <c r="BZ140" s="13">
        <f>BY140*VLOOKUP('Données projet'!$B$12,Paramètres!$A$1:$I$89,3,0)*VLOOKUP('Données projet'!$B$12,Paramètres!$A$1:$I$89,5,0)</f>
        <v>2.4569999999995478</v>
      </c>
      <c r="CA140" s="13">
        <f t="shared" si="147"/>
        <v>1.0197977774625564</v>
      </c>
      <c r="CB140" s="20">
        <f t="shared" si="118"/>
        <v>6.0554227957464972</v>
      </c>
      <c r="CC140" s="59">
        <f t="shared" si="119"/>
        <v>291.05212820467187</v>
      </c>
      <c r="CD140" s="59">
        <f ca="1">AVERAGE(OFFSET($CC$3,0,0,'Données projet'!$E$12+1,1))-AVERAGE(OFFSET($H$3,0,0,'Données projet'!$E$12+1,1))</f>
        <v>331.86732359395467</v>
      </c>
      <c r="CE140" s="59">
        <f t="shared" si="148"/>
        <v>208.64489375183106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139.5031707058512</v>
      </c>
      <c r="CL140" s="21">
        <f>EXP(-LN(2)/25)*CL139+(1-EXP(-LN(2)/25))/(LN(2)/25)*Calculateur!CG140*Calculateur!CI140*VLOOKUP('Données projet'!$B$12,Paramètres!$A$1:$I$89,3,0)*0.475*44/12</f>
        <v>0</v>
      </c>
      <c r="CM140" s="21">
        <f>EXP(-LN(2)/2)*CM139+(1-EXP(-LN(2)/2))/(LN(2)/2)*CG140*CJ140*VLOOKUP('Données projet'!$B$12,Paramètres!$A$1:$I$89,3,0)*0.475*44/12</f>
        <v>0</v>
      </c>
      <c r="CN140" s="22">
        <f t="shared" si="120"/>
        <v>139.5031707058512</v>
      </c>
      <c r="CO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319</v>
      </c>
      <c r="CU140" s="17">
        <f>CT140*VLOOKUP('Données projet'!$B$13,Paramètres!$A$1:$I$89,3,0)*VLOOKUP('Données projet'!$B$13,Paramètres!$A$1:$I$89,5,0)</f>
        <v>233.89079999999998</v>
      </c>
      <c r="CV140" s="13">
        <f t="shared" si="149"/>
        <v>57.123140349023068</v>
      </c>
      <c r="CW140" s="20">
        <f t="shared" si="121"/>
        <v>506.84927944121517</v>
      </c>
      <c r="CX140" s="59">
        <f t="shared" si="122"/>
        <v>791.84598485014055</v>
      </c>
      <c r="CY140" s="59">
        <f ca="1">AVERAGE(OFFSET($CX$3,0,0,'Données projet'!$E$13+1,1))-AVERAGE(OFFSET($H$3,0,0,'Données projet'!$E$13+1,1))</f>
        <v>352.45777291109863</v>
      </c>
      <c r="CZ140" s="59">
        <f t="shared" si="150"/>
        <v>340.92165104349181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12.856527491676205</v>
      </c>
      <c r="DG140" s="21">
        <f>EXP(-LN(2)/25)*DG139+(1-EXP(-LN(2)/25))/(LN(2)/25)*Calculateur!DB140*Calculateur!DD140*VLOOKUP('Données projet'!$B$13,Paramètres!$A$1:$I$89,3,0)*0.475*44/12</f>
        <v>0</v>
      </c>
      <c r="DH140" s="21">
        <f>EXP(-LN(2)/2)*DH139+(1-EXP(-LN(2)/2))/(LN(2)/2)*DB140*DE140*VLOOKUP('Données projet'!$B$13,Paramètres!$A$1:$I$89,3,0)*0.475*44/12</f>
        <v>0</v>
      </c>
      <c r="DI140" s="22">
        <f t="shared" si="123"/>
        <v>12.856527491676205</v>
      </c>
      <c r="DJ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19.8100000000004</v>
      </c>
      <c r="DP140" s="17">
        <f>DO140*VLOOKUP('Données projet'!$B$14,Paramètres!$A$1:$I$89,3,0)*VLOOKUP('Données projet'!$B$14,Paramètres!$A$1:$I$89,5,0)</f>
        <v>13.288548000000269</v>
      </c>
      <c r="DQ140" s="13">
        <f t="shared" si="151"/>
        <v>4.531654695205642</v>
      </c>
      <c r="DR140" s="20">
        <f t="shared" si="124"/>
        <v>31.036853027483627</v>
      </c>
      <c r="DS140" s="59">
        <f t="shared" si="125"/>
        <v>316.03355843640901</v>
      </c>
      <c r="DT140" s="59">
        <f ca="1">AVERAGE(OFFSET($DS$3,0,0,'Données projet'!$E$14+1,1))-AVERAGE(OFFSET($H$3,0,0,'Données projet'!$E$14+1,1))</f>
        <v>441.20130048888439</v>
      </c>
      <c r="DU140" s="59">
        <f t="shared" si="152"/>
        <v>237.47732532183946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224.82903506638368</v>
      </c>
      <c r="EB140" s="21">
        <f>EXP(-LN(2)/25)*EB139+(1-EXP(-LN(2)/25))/(LN(2)/25)*Calculateur!DW140*Calculateur!DY140*VLOOKUP('Données projet'!$B$14,Paramètres!$A$1:$I$89,3,0)*0.475*44/12</f>
        <v>0</v>
      </c>
      <c r="EC140" s="21">
        <f>EXP(-LN(2)/2)*EC139+(1-EXP(-LN(2)/2))/(LN(2)/2)*DW140*DZ140*VLOOKUP('Données projet'!$B$14,Paramètres!$A$1:$I$89,3,0)*0.475*44/12</f>
        <v>0</v>
      </c>
      <c r="ED140" s="22">
        <f t="shared" si="126"/>
        <v>224.82903506638368</v>
      </c>
      <c r="EE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319</v>
      </c>
      <c r="EK140" s="17">
        <f>EJ140*VLOOKUP('Données projet'!$B$15,Paramètres!$A$1:$I$89,3,0)*VLOOKUP('Données projet'!$B$15,Paramètres!$A$1:$I$89,5,0)</f>
        <v>253.79640000000001</v>
      </c>
      <c r="EL140" s="13">
        <f t="shared" si="153"/>
        <v>61.39816832228076</v>
      </c>
      <c r="EM140" s="20">
        <f t="shared" si="127"/>
        <v>548.96387316130563</v>
      </c>
      <c r="EN140" s="59">
        <f t="shared" si="128"/>
        <v>833.96057857023106</v>
      </c>
      <c r="EO140" s="59">
        <f ca="1">AVERAGE(OFFSET($EN$3,0,0,'Données projet'!$E$15+1,1))-AVERAGE(OFFSET($H$3,0,0,'Données projet'!$E$15+1,1))</f>
        <v>377.27600411578322</v>
      </c>
      <c r="EP140" s="59">
        <f t="shared" si="154"/>
        <v>364.58250627635425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>
        <f>EXP(-LN(2)/35)*EV139+(1-EXP(-LN(2)/35))/(LN(2)/35)*ER140*ES140*VLOOKUP('Données projet'!$B$15,Paramètres!$A$1:$I$89,3,0)*0.475*44/12</f>
        <v>17.19504889163818</v>
      </c>
      <c r="EW140" s="21">
        <f>EXP(-LN(2)/25)*EW139+(1-EXP(-LN(2)/25))/(LN(2)/25)*Calculateur!ER140*Calculateur!ET140*VLOOKUP('Données projet'!$B$15,Paramètres!$A$1:$I$89,3,0)*0.475*44/12</f>
        <v>0</v>
      </c>
      <c r="EX140" s="21">
        <f>EXP(-LN(2)/2)*EX139+(1-EXP(-LN(2)/2))/(LN(2)/2)*ER140*EU140*VLOOKUP('Données projet'!$B$15,Paramètres!$A$1:$I$89,3,0)*0.475*44/12</f>
        <v>0</v>
      </c>
      <c r="EY140" s="22">
        <f t="shared" si="129"/>
        <v>17.19504889163818</v>
      </c>
      <c r="EZ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319</v>
      </c>
      <c r="FF140" s="17">
        <f>FE140*VLOOKUP('Données projet'!$B$16,Paramètres!$A$1:$I$89,3,0)*VLOOKUP('Données projet'!$B$16,Paramètres!$A$1:$I$89,5,0)</f>
        <v>258.77280000000002</v>
      </c>
      <c r="FG140" s="13">
        <f t="shared" si="155"/>
        <v>62.460716522234691</v>
      </c>
      <c r="FH140" s="20">
        <f t="shared" si="130"/>
        <v>559.48170794289206</v>
      </c>
      <c r="FI140" s="59">
        <f t="shared" si="131"/>
        <v>844.47841335181738</v>
      </c>
      <c r="FJ140" s="59">
        <f ca="1">AVERAGE(OFFSET($FI$3,0,0,'Données projet'!$E$16+1,1))-AVERAGE(OFFSET($H$3,0,0,'Données projet'!$E$16+1,1))</f>
        <v>383.47399633251354</v>
      </c>
      <c r="FK140" s="59">
        <f t="shared" si="156"/>
        <v>370.49129421395628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>
        <f>EXP(-LN(2)/35)*FQ139+(1-EXP(-LN(2)/35))/(LN(2)/35)*FM140*FN140*VLOOKUP('Données projet'!$B$16,Paramètres!$A$1:$I$89,3,0)*0.475*44/12</f>
        <v>17.532206713042871</v>
      </c>
      <c r="FR140" s="21">
        <f>EXP(-LN(2)/25)*FR139+(1-EXP(-LN(2)/25))/(LN(2)/25)*Calculateur!FM140*Calculateur!FO140*VLOOKUP('Données projet'!$B$16,Paramètres!$A$1:$I$89,3,0)*0.475*44/12</f>
        <v>0</v>
      </c>
      <c r="FS140" s="21">
        <f>EXP(-LN(2)/2)*FS139+(1-EXP(-LN(2)/2))/(LN(2)/2)*FM140*FP140*VLOOKUP('Données projet'!$B$16,Paramètres!$A$1:$I$89,3,0)*0.475*44/12</f>
        <v>0</v>
      </c>
      <c r="FT140" s="22">
        <f t="shared" si="132"/>
        <v>17.532206713042871</v>
      </c>
      <c r="FU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19.8100000000004</v>
      </c>
      <c r="GA140" s="17">
        <f>FZ140*VLOOKUP('Données projet'!$B$17,Paramètres!$A$1:$I$89,3,0)*VLOOKUP('Données projet'!$B$17,Paramètres!$A$1:$I$89,5,0)</f>
        <v>18.851196000000382</v>
      </c>
      <c r="GB140" s="13">
        <f t="shared" si="157"/>
        <v>6.172221809210666</v>
      </c>
      <c r="GC140" s="20">
        <f t="shared" si="133"/>
        <v>43.582452684375909</v>
      </c>
      <c r="GD140" s="59">
        <f t="shared" si="134"/>
        <v>328.57915809330132</v>
      </c>
      <c r="GE140" s="59">
        <f ca="1">AVERAGE(OFFSET($GD$3,0,0,'Données projet'!$E$17+1,1))-AVERAGE(OFFSET($H$3,0,0,'Données projet'!$E$17+1,1))</f>
        <v>592.58528889137358</v>
      </c>
      <c r="GF140" s="59">
        <f t="shared" si="158"/>
        <v>311.31528020403709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>
        <f>EXP(-LN(2)/35)*GL139+(1-EXP(-LN(2)/35))/(LN(2)/35)*GH140*GI140*VLOOKUP('Données projet'!$B$17,Paramètres!$A$1:$I$89,3,0)*0.475*44/12</f>
        <v>258.76549318961145</v>
      </c>
      <c r="GM140" s="21">
        <f>EXP(-LN(2)/25)*GM139+(1-EXP(-LN(2)/25))/(LN(2)/25)*Calculateur!GH140*Calculateur!GJ140*VLOOKUP('Données projet'!$B$17,Paramètres!$A$1:$I$89,3,0)*0.475*44/12</f>
        <v>0</v>
      </c>
      <c r="GN140" s="21">
        <f>EXP(-LN(2)/2)*GN139+(1-EXP(-LN(2)/2))/(LN(2)/2)*GH140*GK140*VLOOKUP('Données projet'!$B$17,Paramètres!$A$1:$I$89,3,0)*0.475*44/12</f>
        <v>0</v>
      </c>
      <c r="GO140" s="21">
        <f t="shared" si="135"/>
        <v>258.76549318961145</v>
      </c>
      <c r="GP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328.00000000000006</v>
      </c>
      <c r="GV140" s="17">
        <f>GU140*VLOOKUP('Données projet'!$B$18,Paramètres!$A$1:$I$89,3,0)*VLOOKUP('Données projet'!$B$18,Paramètres!$A$1:$I$89,5,0)</f>
        <v>255.84000000000006</v>
      </c>
      <c r="GW140" s="13">
        <f t="shared" si="159"/>
        <v>61.834803371075836</v>
      </c>
      <c r="GX140" s="20">
        <f t="shared" si="136"/>
        <v>553.28361587129041</v>
      </c>
      <c r="GY140" s="59">
        <f t="shared" si="137"/>
        <v>838.28032128021573</v>
      </c>
      <c r="GZ140" s="59">
        <f ca="1">AVERAGE(OFFSET($GY$3,0,0,'Données projet'!$E$18+1,1))-AVERAGE(OFFSET($H$3,0,0,'Données projet'!$E$18+1,1))</f>
        <v>308.85018589589453</v>
      </c>
      <c r="HA140" s="59">
        <f t="shared" si="160"/>
        <v>302.59481222418219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>
        <f>EXP(-LN(2)/35)*HG139+(1-EXP(-LN(2)/35))/(LN(2)/35)*HC140*HD140*VLOOKUP('Données projet'!$B$18,Paramètres!$A$1:$I$89,3,0)*0.475*44/12</f>
        <v>13.103930701304463</v>
      </c>
      <c r="HH140" s="21">
        <f>EXP(-LN(2)/25)*HH139+(1-EXP(-LN(2)/25))/(LN(2)/25)*Calculateur!HC140*Calculateur!HE140*VLOOKUP('Données projet'!$B$18,Paramètres!$A$1:$I$89,3,0)*0.475*44/12</f>
        <v>0</v>
      </c>
      <c r="HI140" s="21">
        <f>EXP(-LN(2)/2)*HI139+(1-EXP(-LN(2)/2))/(LN(2)/2)*HC140*HF140*VLOOKUP('Données projet'!$B$18,Paramètres!$A$1:$I$89,3,0)*0.475*44/12</f>
        <v>0</v>
      </c>
      <c r="HJ140" s="22">
        <f t="shared" si="138"/>
        <v>13.103930701304463</v>
      </c>
    </row>
    <row r="141" spans="1:218" x14ac:dyDescent="0.35">
      <c r="A141" s="10">
        <f t="shared" si="139"/>
        <v>138</v>
      </c>
      <c r="B141" s="72">
        <f>'Scénario référence'!$B$16*5+'Scénario référence'!$B$17*0+'Scénario référence'!$B$18*5</f>
        <v>5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66">
        <f t="shared" si="110"/>
        <v>183.33333333333334</v>
      </c>
      <c r="I141" s="6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19.8100000000004</v>
      </c>
      <c r="O141" s="13">
        <f>N141*VLOOKUP('Données projet'!$B$9,Paramètres!$A$1:$I$89,3,0)*VLOOKUP('Données projet'!$B$9,Paramètres!$A$1:$I$89,5,0)</f>
        <v>17.924088000000364</v>
      </c>
      <c r="P141" s="13">
        <f t="shared" si="141"/>
        <v>5.9032212091029486</v>
      </c>
      <c r="Q141" s="20">
        <f t="shared" si="108"/>
        <v>41.499230205854936</v>
      </c>
      <c r="R141" s="59">
        <f t="shared" si="109"/>
        <v>326.64055747136086</v>
      </c>
      <c r="S141" s="59">
        <f ca="1">AVERAGE(OFFSET($R$3,0,0,'Données projet'!$E$9+1,1))-AVERAGE(OFFSET($H$3,0,0,'Données projet'!$E$9+1,1))</f>
        <v>567.42635821507474</v>
      </c>
      <c r="T141" s="59">
        <f t="shared" si="142"/>
        <v>299.04735309930152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241.21464037004435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241.21464037004435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19.8100000000004</v>
      </c>
      <c r="AJ141" s="13">
        <f>AI141*VLOOKUP('Données projet'!$B$10,Paramètres!$A$1:$I$89,3,0)*VLOOKUP('Données projet'!$B$10,Paramètres!$A$1:$I$89,5,0)</f>
        <v>20.08734000000041</v>
      </c>
      <c r="AK141" s="13">
        <f t="shared" si="143"/>
        <v>6.5285137703520215</v>
      </c>
      <c r="AL141" s="20">
        <f t="shared" si="112"/>
        <v>46.355945316697152</v>
      </c>
      <c r="AM141" s="59">
        <f t="shared" si="113"/>
        <v>331.4972725822031</v>
      </c>
      <c r="AN141" s="59">
        <f ca="1">AVERAGE(OFFSET($AM$3,0,0,'Données projet'!$E$10+1,1))-AVERAGE(OFFSET($H$3,0,0,'Données projet'!$E$10+1,1))</f>
        <v>626.09203985591455</v>
      </c>
      <c r="AO141" s="59">
        <f t="shared" si="144"/>
        <v>327.65191296575199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270.32675213884283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270.32675213884283</v>
      </c>
      <c r="AY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404.00000000000017</v>
      </c>
      <c r="BE141" s="13">
        <f>BD141*VLOOKUP('Données projet'!$B$11,Paramètres!$A$1:$I$89,3,0)*VLOOKUP('Données projet'!$B$11,Paramètres!$A$1:$I$89,5,0)</f>
        <v>346.63200000000018</v>
      </c>
      <c r="BF141" s="13">
        <f t="shared" si="145"/>
        <v>80.868615263336864</v>
      </c>
      <c r="BG141" s="20">
        <f t="shared" si="115"/>
        <v>744.56357158364528</v>
      </c>
      <c r="BH141" s="59">
        <f t="shared" si="116"/>
        <v>1029.7048988491513</v>
      </c>
      <c r="BI141" s="59">
        <f ca="1">AVERAGE(OFFSET($BH$3,0,0,'Données projet'!$E$11+1,1))-AVERAGE(OFFSET($H$3,0,0,'Données projet'!$E$11+1,1))</f>
        <v>481.23392184981651</v>
      </c>
      <c r="BJ141" s="59">
        <f t="shared" si="146"/>
        <v>275.88160405468193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69.982942954441427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69.982942954441427</v>
      </c>
      <c r="BT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5.2499999999990337</v>
      </c>
      <c r="BZ141" s="13">
        <f>BY141*VLOOKUP('Données projet'!$B$12,Paramètres!$A$1:$I$89,3,0)*VLOOKUP('Données projet'!$B$12,Paramètres!$A$1:$I$89,5,0)</f>
        <v>2.4569999999995478</v>
      </c>
      <c r="CA141" s="13">
        <f t="shared" si="147"/>
        <v>1.0197977774625564</v>
      </c>
      <c r="CB141" s="20">
        <f t="shared" si="118"/>
        <v>6.0554227957464972</v>
      </c>
      <c r="CC141" s="59">
        <f t="shared" si="119"/>
        <v>291.19675006125243</v>
      </c>
      <c r="CD141" s="59">
        <f ca="1">AVERAGE(OFFSET($CC$3,0,0,'Données projet'!$E$12+1,1))-AVERAGE(OFFSET($H$3,0,0,'Données projet'!$E$12+1,1))</f>
        <v>331.86732359395467</v>
      </c>
      <c r="CE141" s="59">
        <f t="shared" si="148"/>
        <v>208.64489375183106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136.76759861684181</v>
      </c>
      <c r="CL141" s="21">
        <f>EXP(-LN(2)/25)*CL140+(1-EXP(-LN(2)/25))/(LN(2)/25)*Calculateur!CG141*Calculateur!CI141*VLOOKUP('Données projet'!$B$12,Paramètres!$A$1:$I$89,3,0)*0.475*44/12</f>
        <v>0</v>
      </c>
      <c r="CM141" s="21">
        <f>EXP(-LN(2)/2)*CM140+(1-EXP(-LN(2)/2))/(LN(2)/2)*CG141*CJ141*VLOOKUP('Données projet'!$B$12,Paramètres!$A$1:$I$89,3,0)*0.475*44/12</f>
        <v>0</v>
      </c>
      <c r="CN141" s="22">
        <f t="shared" si="120"/>
        <v>136.76759861684181</v>
      </c>
      <c r="CO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319</v>
      </c>
      <c r="CU141" s="17">
        <f>CT141*VLOOKUP('Données projet'!$B$13,Paramètres!$A$1:$I$89,3,0)*VLOOKUP('Données projet'!$B$13,Paramètres!$A$1:$I$89,5,0)</f>
        <v>233.89079999999998</v>
      </c>
      <c r="CV141" s="13">
        <f t="shared" si="149"/>
        <v>57.123140349023068</v>
      </c>
      <c r="CW141" s="20">
        <f t="shared" si="121"/>
        <v>506.84927944121517</v>
      </c>
      <c r="CX141" s="59">
        <f t="shared" si="122"/>
        <v>791.99060670672111</v>
      </c>
      <c r="CY141" s="59">
        <f ca="1">AVERAGE(OFFSET($CX$3,0,0,'Données projet'!$E$13+1,1))-AVERAGE(OFFSET($H$3,0,0,'Données projet'!$E$13+1,1))</f>
        <v>352.45777291109863</v>
      </c>
      <c r="CZ141" s="59">
        <f t="shared" si="150"/>
        <v>340.92165104349181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12.6044188292719</v>
      </c>
      <c r="DG141" s="21">
        <f>EXP(-LN(2)/25)*DG140+(1-EXP(-LN(2)/25))/(LN(2)/25)*Calculateur!DB141*Calculateur!DD141*VLOOKUP('Données projet'!$B$13,Paramètres!$A$1:$I$89,3,0)*0.475*44/12</f>
        <v>0</v>
      </c>
      <c r="DH141" s="21">
        <f>EXP(-LN(2)/2)*DH140+(1-EXP(-LN(2)/2))/(LN(2)/2)*DB141*DE141*VLOOKUP('Données projet'!$B$13,Paramètres!$A$1:$I$89,3,0)*0.475*44/12</f>
        <v>0</v>
      </c>
      <c r="DI141" s="22">
        <f t="shared" si="123"/>
        <v>12.6044188292719</v>
      </c>
      <c r="DJ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19.8100000000004</v>
      </c>
      <c r="DP141" s="17">
        <f>DO141*VLOOKUP('Données projet'!$B$14,Paramètres!$A$1:$I$89,3,0)*VLOOKUP('Données projet'!$B$14,Paramètres!$A$1:$I$89,5,0)</f>
        <v>13.288548000000269</v>
      </c>
      <c r="DQ141" s="13">
        <f t="shared" si="151"/>
        <v>4.531654695205642</v>
      </c>
      <c r="DR141" s="20">
        <f t="shared" si="124"/>
        <v>31.036853027483627</v>
      </c>
      <c r="DS141" s="59">
        <f t="shared" si="125"/>
        <v>316.17818029298957</v>
      </c>
      <c r="DT141" s="59">
        <f ca="1">AVERAGE(OFFSET($DS$3,0,0,'Données projet'!$E$14+1,1))-AVERAGE(OFFSET($H$3,0,0,'Données projet'!$E$14+1,1))</f>
        <v>441.20130048888439</v>
      </c>
      <c r="DU141" s="59">
        <f t="shared" si="152"/>
        <v>237.47732532183946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220.42027482090262</v>
      </c>
      <c r="EB141" s="21">
        <f>EXP(-LN(2)/25)*EB140+(1-EXP(-LN(2)/25))/(LN(2)/25)*Calculateur!DW141*Calculateur!DY141*VLOOKUP('Données projet'!$B$14,Paramètres!$A$1:$I$89,3,0)*0.475*44/12</f>
        <v>0</v>
      </c>
      <c r="EC141" s="21">
        <f>EXP(-LN(2)/2)*EC140+(1-EXP(-LN(2)/2))/(LN(2)/2)*DW141*DZ141*VLOOKUP('Données projet'!$B$14,Paramètres!$A$1:$I$89,3,0)*0.475*44/12</f>
        <v>0</v>
      </c>
      <c r="ED141" s="22">
        <f t="shared" si="126"/>
        <v>220.42027482090262</v>
      </c>
      <c r="EE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319</v>
      </c>
      <c r="EK141" s="17">
        <f>EJ141*VLOOKUP('Données projet'!$B$15,Paramètres!$A$1:$I$89,3,0)*VLOOKUP('Données projet'!$B$15,Paramètres!$A$1:$I$89,5,0)</f>
        <v>253.79640000000001</v>
      </c>
      <c r="EL141" s="13">
        <f t="shared" si="153"/>
        <v>61.39816832228076</v>
      </c>
      <c r="EM141" s="20">
        <f t="shared" si="127"/>
        <v>548.96387316130563</v>
      </c>
      <c r="EN141" s="59">
        <f t="shared" si="128"/>
        <v>834.10520042681151</v>
      </c>
      <c r="EO141" s="59">
        <f ca="1">AVERAGE(OFFSET($EN$3,0,0,'Données projet'!$E$15+1,1))-AVERAGE(OFFSET($H$3,0,0,'Données projet'!$E$15+1,1))</f>
        <v>377.27600411578322</v>
      </c>
      <c r="EP141" s="59">
        <f t="shared" si="154"/>
        <v>364.58250627635425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>
        <f>EXP(-LN(2)/35)*EV140+(1-EXP(-LN(2)/35))/(LN(2)/35)*ER141*ES141*VLOOKUP('Données projet'!$B$15,Paramètres!$A$1:$I$89,3,0)*0.475*44/12</f>
        <v>16.857864470817379</v>
      </c>
      <c r="EW141" s="21">
        <f>EXP(-LN(2)/25)*EW140+(1-EXP(-LN(2)/25))/(LN(2)/25)*Calculateur!ER141*Calculateur!ET141*VLOOKUP('Données projet'!$B$15,Paramètres!$A$1:$I$89,3,0)*0.475*44/12</f>
        <v>0</v>
      </c>
      <c r="EX141" s="21">
        <f>EXP(-LN(2)/2)*EX140+(1-EXP(-LN(2)/2))/(LN(2)/2)*ER141*EU141*VLOOKUP('Données projet'!$B$15,Paramètres!$A$1:$I$89,3,0)*0.475*44/12</f>
        <v>0</v>
      </c>
      <c r="EY141" s="22">
        <f t="shared" si="129"/>
        <v>16.857864470817379</v>
      </c>
      <c r="EZ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319</v>
      </c>
      <c r="FF141" s="17">
        <f>FE141*VLOOKUP('Données projet'!$B$16,Paramètres!$A$1:$I$89,3,0)*VLOOKUP('Données projet'!$B$16,Paramètres!$A$1:$I$89,5,0)</f>
        <v>258.77280000000002</v>
      </c>
      <c r="FG141" s="13">
        <f t="shared" si="155"/>
        <v>62.460716522234691</v>
      </c>
      <c r="FH141" s="20">
        <f t="shared" si="130"/>
        <v>559.48170794289206</v>
      </c>
      <c r="FI141" s="59">
        <f t="shared" si="131"/>
        <v>844.62303520839805</v>
      </c>
      <c r="FJ141" s="59">
        <f ca="1">AVERAGE(OFFSET($FI$3,0,0,'Données projet'!$E$16+1,1))-AVERAGE(OFFSET($H$3,0,0,'Données projet'!$E$16+1,1))</f>
        <v>383.47399633251354</v>
      </c>
      <c r="FK141" s="59">
        <f t="shared" si="156"/>
        <v>370.49129421395628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>
        <f>EXP(-LN(2)/35)*FQ140+(1-EXP(-LN(2)/35))/(LN(2)/35)*FM141*FN141*VLOOKUP('Données projet'!$B$16,Paramètres!$A$1:$I$89,3,0)*0.475*44/12</f>
        <v>17.188410832990293</v>
      </c>
      <c r="FR141" s="21">
        <f>EXP(-LN(2)/25)*FR140+(1-EXP(-LN(2)/25))/(LN(2)/25)*Calculateur!FM141*Calculateur!FO141*VLOOKUP('Données projet'!$B$16,Paramètres!$A$1:$I$89,3,0)*0.475*44/12</f>
        <v>0</v>
      </c>
      <c r="FS141" s="21">
        <f>EXP(-LN(2)/2)*FS140+(1-EXP(-LN(2)/2))/(LN(2)/2)*FM141*FP141*VLOOKUP('Données projet'!$B$16,Paramètres!$A$1:$I$89,3,0)*0.475*44/12</f>
        <v>0</v>
      </c>
      <c r="FT141" s="22">
        <f t="shared" si="132"/>
        <v>17.188410832990293</v>
      </c>
      <c r="FU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19.8100000000004</v>
      </c>
      <c r="GA141" s="17">
        <f>FZ141*VLOOKUP('Données projet'!$B$17,Paramètres!$A$1:$I$89,3,0)*VLOOKUP('Données projet'!$B$17,Paramètres!$A$1:$I$89,5,0)</f>
        <v>18.851196000000382</v>
      </c>
      <c r="GB141" s="13">
        <f t="shared" si="157"/>
        <v>6.172221809210666</v>
      </c>
      <c r="GC141" s="20">
        <f t="shared" si="133"/>
        <v>43.582452684375909</v>
      </c>
      <c r="GD141" s="59">
        <f t="shared" si="134"/>
        <v>328.72377994988187</v>
      </c>
      <c r="GE141" s="59">
        <f ca="1">AVERAGE(OFFSET($GD$3,0,0,'Données projet'!$E$17+1,1))-AVERAGE(OFFSET($H$3,0,0,'Données projet'!$E$17+1,1))</f>
        <v>592.58528889137358</v>
      </c>
      <c r="GF141" s="59">
        <f t="shared" si="158"/>
        <v>311.31528020403709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>
        <f>EXP(-LN(2)/35)*GL140+(1-EXP(-LN(2)/35))/(LN(2)/35)*GH141*GI141*VLOOKUP('Données projet'!$B$17,Paramètres!$A$1:$I$89,3,0)*0.475*44/12</f>
        <v>253.69125969952947</v>
      </c>
      <c r="GM141" s="21">
        <f>EXP(-LN(2)/25)*GM140+(1-EXP(-LN(2)/25))/(LN(2)/25)*Calculateur!GH141*Calculateur!GJ141*VLOOKUP('Données projet'!$B$17,Paramètres!$A$1:$I$89,3,0)*0.475*44/12</f>
        <v>0</v>
      </c>
      <c r="GN141" s="21">
        <f>EXP(-LN(2)/2)*GN140+(1-EXP(-LN(2)/2))/(LN(2)/2)*GH141*GK141*VLOOKUP('Données projet'!$B$17,Paramètres!$A$1:$I$89,3,0)*0.475*44/12</f>
        <v>0</v>
      </c>
      <c r="GO141" s="21">
        <f t="shared" si="135"/>
        <v>253.69125969952947</v>
      </c>
      <c r="GP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328.00000000000006</v>
      </c>
      <c r="GV141" s="17">
        <f>GU141*VLOOKUP('Données projet'!$B$18,Paramètres!$A$1:$I$89,3,0)*VLOOKUP('Données projet'!$B$18,Paramètres!$A$1:$I$89,5,0)</f>
        <v>255.84000000000006</v>
      </c>
      <c r="GW141" s="13">
        <f t="shared" si="159"/>
        <v>61.834803371075836</v>
      </c>
      <c r="GX141" s="20">
        <f t="shared" si="136"/>
        <v>553.28361587129041</v>
      </c>
      <c r="GY141" s="59">
        <f t="shared" si="137"/>
        <v>838.4249431367964</v>
      </c>
      <c r="GZ141" s="59">
        <f ca="1">AVERAGE(OFFSET($GY$3,0,0,'Données projet'!$E$18+1,1))-AVERAGE(OFFSET($H$3,0,0,'Données projet'!$E$18+1,1))</f>
        <v>308.85018589589453</v>
      </c>
      <c r="HA141" s="59">
        <f t="shared" si="160"/>
        <v>302.59481222418219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>
        <f>EXP(-LN(2)/35)*HG140+(1-EXP(-LN(2)/35))/(LN(2)/35)*HC141*HD141*VLOOKUP('Données projet'!$B$18,Paramètres!$A$1:$I$89,3,0)*0.475*44/12</f>
        <v>12.846970612860407</v>
      </c>
      <c r="HH141" s="21">
        <f>EXP(-LN(2)/25)*HH140+(1-EXP(-LN(2)/25))/(LN(2)/25)*Calculateur!HC141*Calculateur!HE141*VLOOKUP('Données projet'!$B$18,Paramètres!$A$1:$I$89,3,0)*0.475*44/12</f>
        <v>0</v>
      </c>
      <c r="HI141" s="21">
        <f>EXP(-LN(2)/2)*HI140+(1-EXP(-LN(2)/2))/(LN(2)/2)*HC141*HF141*VLOOKUP('Données projet'!$B$18,Paramètres!$A$1:$I$89,3,0)*0.475*44/12</f>
        <v>0</v>
      </c>
      <c r="HJ141" s="22">
        <f t="shared" si="138"/>
        <v>12.846970612860407</v>
      </c>
    </row>
    <row r="142" spans="1:218" x14ac:dyDescent="0.35">
      <c r="A142" s="10">
        <f t="shared" si="139"/>
        <v>139</v>
      </c>
      <c r="B142" s="72">
        <f>'Scénario référence'!$B$16*5+'Scénario référence'!$B$17*0+'Scénario référence'!$B$18*5</f>
        <v>5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66">
        <f t="shared" si="110"/>
        <v>183.33333333333334</v>
      </c>
      <c r="I142" s="6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19.8100000000004</v>
      </c>
      <c r="O142" s="13">
        <f>N142*VLOOKUP('Données projet'!$B$9,Paramètres!$A$1:$I$89,3,0)*VLOOKUP('Données projet'!$B$9,Paramètres!$A$1:$I$89,5,0)</f>
        <v>17.924088000000364</v>
      </c>
      <c r="P142" s="13">
        <f t="shared" si="141"/>
        <v>5.9032212091029486</v>
      </c>
      <c r="Q142" s="20">
        <f t="shared" si="108"/>
        <v>41.499230205854936</v>
      </c>
      <c r="R142" s="59">
        <f t="shared" si="109"/>
        <v>326.78267046205582</v>
      </c>
      <c r="S142" s="59">
        <f ca="1">AVERAGE(OFFSET($R$3,0,0,'Données projet'!$E$9+1,1))-AVERAGE(OFFSET($H$3,0,0,'Données projet'!$E$9+1,1))</f>
        <v>567.42635821507474</v>
      </c>
      <c r="T142" s="59">
        <f t="shared" si="142"/>
        <v>299.04735309930152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236.48456839879088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236.48456839879088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19.8100000000004</v>
      </c>
      <c r="AJ142" s="13">
        <f>AI142*VLOOKUP('Données projet'!$B$10,Paramètres!$A$1:$I$89,3,0)*VLOOKUP('Données projet'!$B$10,Paramètres!$A$1:$I$89,5,0)</f>
        <v>20.08734000000041</v>
      </c>
      <c r="AK142" s="13">
        <f t="shared" si="143"/>
        <v>6.5285137703520215</v>
      </c>
      <c r="AL142" s="20">
        <f t="shared" si="112"/>
        <v>46.355945316697152</v>
      </c>
      <c r="AM142" s="59">
        <f t="shared" si="113"/>
        <v>331.63938557289805</v>
      </c>
      <c r="AN142" s="59">
        <f ca="1">AVERAGE(OFFSET($AM$3,0,0,'Données projet'!$E$10+1,1))-AVERAGE(OFFSET($H$3,0,0,'Données projet'!$E$10+1,1))</f>
        <v>626.09203985591455</v>
      </c>
      <c r="AO142" s="59">
        <f t="shared" si="144"/>
        <v>327.65191296575199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265.02580941243809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265.02580941243809</v>
      </c>
      <c r="AY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404.00000000000017</v>
      </c>
      <c r="BE142" s="13">
        <f>BD142*VLOOKUP('Données projet'!$B$11,Paramètres!$A$1:$I$89,3,0)*VLOOKUP('Données projet'!$B$11,Paramètres!$A$1:$I$89,5,0)</f>
        <v>346.63200000000018</v>
      </c>
      <c r="BF142" s="13">
        <f t="shared" si="145"/>
        <v>80.868615263336864</v>
      </c>
      <c r="BG142" s="20">
        <f t="shared" si="115"/>
        <v>744.56357158364528</v>
      </c>
      <c r="BH142" s="59">
        <f t="shared" si="116"/>
        <v>1029.8470118398461</v>
      </c>
      <c r="BI142" s="59">
        <f ca="1">AVERAGE(OFFSET($BH$3,0,0,'Données projet'!$E$11+1,1))-AVERAGE(OFFSET($H$3,0,0,'Données projet'!$E$11+1,1))</f>
        <v>481.23392184981651</v>
      </c>
      <c r="BJ142" s="59">
        <f t="shared" si="146"/>
        <v>275.88160405468193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68.610620128485195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68.610620128485195</v>
      </c>
      <c r="BT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5.2499999999990337</v>
      </c>
      <c r="BZ142" s="13">
        <f>BY142*VLOOKUP('Données projet'!$B$12,Paramètres!$A$1:$I$89,3,0)*VLOOKUP('Données projet'!$B$12,Paramètres!$A$1:$I$89,5,0)</f>
        <v>2.4569999999995478</v>
      </c>
      <c r="CA142" s="13">
        <f t="shared" si="147"/>
        <v>1.0197977774625564</v>
      </c>
      <c r="CB142" s="20">
        <f t="shared" si="118"/>
        <v>6.0554227957464972</v>
      </c>
      <c r="CC142" s="59">
        <f t="shared" si="119"/>
        <v>291.33886305194738</v>
      </c>
      <c r="CD142" s="59">
        <f ca="1">AVERAGE(OFFSET($CC$3,0,0,'Données projet'!$E$12+1,1))-AVERAGE(OFFSET($H$3,0,0,'Données projet'!$E$12+1,1))</f>
        <v>331.86732359395467</v>
      </c>
      <c r="CE142" s="59">
        <f t="shared" si="148"/>
        <v>208.64489375183106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134.08566942796367</v>
      </c>
      <c r="CL142" s="21">
        <f>EXP(-LN(2)/25)*CL141+(1-EXP(-LN(2)/25))/(LN(2)/25)*Calculateur!CG142*Calculateur!CI142*VLOOKUP('Données projet'!$B$12,Paramètres!$A$1:$I$89,3,0)*0.475*44/12</f>
        <v>0</v>
      </c>
      <c r="CM142" s="21">
        <f>EXP(-LN(2)/2)*CM141+(1-EXP(-LN(2)/2))/(LN(2)/2)*CG142*CJ142*VLOOKUP('Données projet'!$B$12,Paramètres!$A$1:$I$89,3,0)*0.475*44/12</f>
        <v>0</v>
      </c>
      <c r="CN142" s="22">
        <f t="shared" si="120"/>
        <v>134.08566942796367</v>
      </c>
      <c r="CO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319</v>
      </c>
      <c r="CU142" s="17">
        <f>CT142*VLOOKUP('Données projet'!$B$13,Paramètres!$A$1:$I$89,3,0)*VLOOKUP('Données projet'!$B$13,Paramètres!$A$1:$I$89,5,0)</f>
        <v>233.89079999999998</v>
      </c>
      <c r="CV142" s="13">
        <f t="shared" si="149"/>
        <v>57.123140349023068</v>
      </c>
      <c r="CW142" s="20">
        <f t="shared" si="121"/>
        <v>506.84927944121517</v>
      </c>
      <c r="CX142" s="59">
        <f t="shared" si="122"/>
        <v>792.13271969741606</v>
      </c>
      <c r="CY142" s="59">
        <f ca="1">AVERAGE(OFFSET($CX$3,0,0,'Données projet'!$E$13+1,1))-AVERAGE(OFFSET($H$3,0,0,'Données projet'!$E$13+1,1))</f>
        <v>352.45777291109863</v>
      </c>
      <c r="CZ142" s="59">
        <f t="shared" si="150"/>
        <v>340.92165104349181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12.357253863966243</v>
      </c>
      <c r="DG142" s="21">
        <f>EXP(-LN(2)/25)*DG141+(1-EXP(-LN(2)/25))/(LN(2)/25)*Calculateur!DB142*Calculateur!DD142*VLOOKUP('Données projet'!$B$13,Paramètres!$A$1:$I$89,3,0)*0.475*44/12</f>
        <v>0</v>
      </c>
      <c r="DH142" s="21">
        <f>EXP(-LN(2)/2)*DH141+(1-EXP(-LN(2)/2))/(LN(2)/2)*DB142*DE142*VLOOKUP('Données projet'!$B$13,Paramètres!$A$1:$I$89,3,0)*0.475*44/12</f>
        <v>0</v>
      </c>
      <c r="DI142" s="22">
        <f t="shared" si="123"/>
        <v>12.357253863966243</v>
      </c>
      <c r="DJ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19.8100000000004</v>
      </c>
      <c r="DP142" s="17">
        <f>DO142*VLOOKUP('Données projet'!$B$14,Paramètres!$A$1:$I$89,3,0)*VLOOKUP('Données projet'!$B$14,Paramètres!$A$1:$I$89,5,0)</f>
        <v>13.288548000000269</v>
      </c>
      <c r="DQ142" s="13">
        <f t="shared" si="151"/>
        <v>4.531654695205642</v>
      </c>
      <c r="DR142" s="20">
        <f t="shared" si="124"/>
        <v>31.036853027483627</v>
      </c>
      <c r="DS142" s="59">
        <f t="shared" si="125"/>
        <v>316.32029328368452</v>
      </c>
      <c r="DT142" s="59">
        <f ca="1">AVERAGE(OFFSET($DS$3,0,0,'Données projet'!$E$14+1,1))-AVERAGE(OFFSET($H$3,0,0,'Données projet'!$E$14+1,1))</f>
        <v>441.20130048888439</v>
      </c>
      <c r="DU142" s="59">
        <f t="shared" si="152"/>
        <v>237.47732532183946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216.0979676747572</v>
      </c>
      <c r="EB142" s="21">
        <f>EXP(-LN(2)/25)*EB141+(1-EXP(-LN(2)/25))/(LN(2)/25)*Calculateur!DW142*Calculateur!DY142*VLOOKUP('Données projet'!$B$14,Paramètres!$A$1:$I$89,3,0)*0.475*44/12</f>
        <v>0</v>
      </c>
      <c r="EC142" s="21">
        <f>EXP(-LN(2)/2)*EC141+(1-EXP(-LN(2)/2))/(LN(2)/2)*DW142*DZ142*VLOOKUP('Données projet'!$B$14,Paramètres!$A$1:$I$89,3,0)*0.475*44/12</f>
        <v>0</v>
      </c>
      <c r="ED142" s="22">
        <f t="shared" si="126"/>
        <v>216.0979676747572</v>
      </c>
      <c r="EE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319</v>
      </c>
      <c r="EK142" s="17">
        <f>EJ142*VLOOKUP('Données projet'!$B$15,Paramètres!$A$1:$I$89,3,0)*VLOOKUP('Données projet'!$B$15,Paramètres!$A$1:$I$89,5,0)</f>
        <v>253.79640000000001</v>
      </c>
      <c r="EL142" s="13">
        <f t="shared" si="153"/>
        <v>61.39816832228076</v>
      </c>
      <c r="EM142" s="20">
        <f t="shared" si="127"/>
        <v>548.96387316130563</v>
      </c>
      <c r="EN142" s="59">
        <f t="shared" si="128"/>
        <v>834.24731341750658</v>
      </c>
      <c r="EO142" s="59">
        <f ca="1">AVERAGE(OFFSET($EN$3,0,0,'Données projet'!$E$15+1,1))-AVERAGE(OFFSET($H$3,0,0,'Données projet'!$E$15+1,1))</f>
        <v>377.27600411578322</v>
      </c>
      <c r="EP142" s="59">
        <f t="shared" si="154"/>
        <v>364.58250627635425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>
        <f>EXP(-LN(2)/35)*EV141+(1-EXP(-LN(2)/35))/(LN(2)/35)*ER142*ES142*VLOOKUP('Données projet'!$B$15,Paramètres!$A$1:$I$89,3,0)*0.475*44/12</f>
        <v>16.527292030826686</v>
      </c>
      <c r="EW142" s="21">
        <f>EXP(-LN(2)/25)*EW141+(1-EXP(-LN(2)/25))/(LN(2)/25)*Calculateur!ER142*Calculateur!ET142*VLOOKUP('Données projet'!$B$15,Paramètres!$A$1:$I$89,3,0)*0.475*44/12</f>
        <v>0</v>
      </c>
      <c r="EX142" s="21">
        <f>EXP(-LN(2)/2)*EX141+(1-EXP(-LN(2)/2))/(LN(2)/2)*ER142*EU142*VLOOKUP('Données projet'!$B$15,Paramètres!$A$1:$I$89,3,0)*0.475*44/12</f>
        <v>0</v>
      </c>
      <c r="EY142" s="22">
        <f t="shared" si="129"/>
        <v>16.527292030826686</v>
      </c>
      <c r="EZ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319</v>
      </c>
      <c r="FF142" s="17">
        <f>FE142*VLOOKUP('Données projet'!$B$16,Paramètres!$A$1:$I$89,3,0)*VLOOKUP('Données projet'!$B$16,Paramètres!$A$1:$I$89,5,0)</f>
        <v>258.77280000000002</v>
      </c>
      <c r="FG142" s="13">
        <f t="shared" si="155"/>
        <v>62.460716522234691</v>
      </c>
      <c r="FH142" s="20">
        <f t="shared" si="130"/>
        <v>559.48170794289206</v>
      </c>
      <c r="FI142" s="59">
        <f t="shared" si="131"/>
        <v>844.76514819909289</v>
      </c>
      <c r="FJ142" s="59">
        <f ca="1">AVERAGE(OFFSET($FI$3,0,0,'Données projet'!$E$16+1,1))-AVERAGE(OFFSET($H$3,0,0,'Données projet'!$E$16+1,1))</f>
        <v>383.47399633251354</v>
      </c>
      <c r="FK142" s="59">
        <f t="shared" si="156"/>
        <v>370.49129421395628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>
        <f>EXP(-LN(2)/35)*FQ141+(1-EXP(-LN(2)/35))/(LN(2)/35)*FM142*FN142*VLOOKUP('Données projet'!$B$16,Paramètres!$A$1:$I$89,3,0)*0.475*44/12</f>
        <v>16.851356580450762</v>
      </c>
      <c r="FR142" s="21">
        <f>EXP(-LN(2)/25)*FR141+(1-EXP(-LN(2)/25))/(LN(2)/25)*Calculateur!FM142*Calculateur!FO142*VLOOKUP('Données projet'!$B$16,Paramètres!$A$1:$I$89,3,0)*0.475*44/12</f>
        <v>0</v>
      </c>
      <c r="FS142" s="21">
        <f>EXP(-LN(2)/2)*FS141+(1-EXP(-LN(2)/2))/(LN(2)/2)*FM142*FP142*VLOOKUP('Données projet'!$B$16,Paramètres!$A$1:$I$89,3,0)*0.475*44/12</f>
        <v>0</v>
      </c>
      <c r="FT142" s="22">
        <f t="shared" si="132"/>
        <v>16.851356580450762</v>
      </c>
      <c r="FU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19.8100000000004</v>
      </c>
      <c r="GA142" s="17">
        <f>FZ142*VLOOKUP('Données projet'!$B$17,Paramètres!$A$1:$I$89,3,0)*VLOOKUP('Données projet'!$B$17,Paramètres!$A$1:$I$89,5,0)</f>
        <v>18.851196000000382</v>
      </c>
      <c r="GB142" s="13">
        <f t="shared" si="157"/>
        <v>6.172221809210666</v>
      </c>
      <c r="GC142" s="20">
        <f t="shared" si="133"/>
        <v>43.582452684375909</v>
      </c>
      <c r="GD142" s="59">
        <f t="shared" si="134"/>
        <v>328.86589294057683</v>
      </c>
      <c r="GE142" s="59">
        <f ca="1">AVERAGE(OFFSET($GD$3,0,0,'Données projet'!$E$17+1,1))-AVERAGE(OFFSET($H$3,0,0,'Données projet'!$E$17+1,1))</f>
        <v>592.58528889137358</v>
      </c>
      <c r="GF142" s="59">
        <f t="shared" si="158"/>
        <v>311.31528020403709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>
        <f>EXP(-LN(2)/35)*GL141+(1-EXP(-LN(2)/35))/(LN(2)/35)*GH142*GI142*VLOOKUP('Données projet'!$B$17,Paramètres!$A$1:$I$89,3,0)*0.475*44/12</f>
        <v>248.71652883321116</v>
      </c>
      <c r="GM142" s="21">
        <f>EXP(-LN(2)/25)*GM141+(1-EXP(-LN(2)/25))/(LN(2)/25)*Calculateur!GH142*Calculateur!GJ142*VLOOKUP('Données projet'!$B$17,Paramètres!$A$1:$I$89,3,0)*0.475*44/12</f>
        <v>0</v>
      </c>
      <c r="GN142" s="21">
        <f>EXP(-LN(2)/2)*GN141+(1-EXP(-LN(2)/2))/(LN(2)/2)*GH142*GK142*VLOOKUP('Données projet'!$B$17,Paramètres!$A$1:$I$89,3,0)*0.475*44/12</f>
        <v>0</v>
      </c>
      <c r="GO142" s="21">
        <f t="shared" si="135"/>
        <v>248.71652883321116</v>
      </c>
      <c r="GP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328.00000000000006</v>
      </c>
      <c r="GV142" s="17">
        <f>GU142*VLOOKUP('Données projet'!$B$18,Paramètres!$A$1:$I$89,3,0)*VLOOKUP('Données projet'!$B$18,Paramètres!$A$1:$I$89,5,0)</f>
        <v>255.84000000000006</v>
      </c>
      <c r="GW142" s="13">
        <f t="shared" si="159"/>
        <v>61.834803371075836</v>
      </c>
      <c r="GX142" s="20">
        <f t="shared" si="136"/>
        <v>553.28361587129041</v>
      </c>
      <c r="GY142" s="59">
        <f t="shared" si="137"/>
        <v>838.56705612749124</v>
      </c>
      <c r="GZ142" s="59">
        <f ca="1">AVERAGE(OFFSET($GY$3,0,0,'Données projet'!$E$18+1,1))-AVERAGE(OFFSET($H$3,0,0,'Données projet'!$E$18+1,1))</f>
        <v>308.85018589589453</v>
      </c>
      <c r="HA142" s="59">
        <f t="shared" si="160"/>
        <v>302.59481222418219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>
        <f>EXP(-LN(2)/35)*HG141+(1-EXP(-LN(2)/35))/(LN(2)/35)*HC142*HD142*VLOOKUP('Données projet'!$B$18,Paramètres!$A$1:$I$89,3,0)*0.475*44/12</f>
        <v>12.59504935502056</v>
      </c>
      <c r="HH142" s="21">
        <f>EXP(-LN(2)/25)*HH141+(1-EXP(-LN(2)/25))/(LN(2)/25)*Calculateur!HC142*Calculateur!HE142*VLOOKUP('Données projet'!$B$18,Paramètres!$A$1:$I$89,3,0)*0.475*44/12</f>
        <v>0</v>
      </c>
      <c r="HI142" s="21">
        <f>EXP(-LN(2)/2)*HI141+(1-EXP(-LN(2)/2))/(LN(2)/2)*HC142*HF142*VLOOKUP('Données projet'!$B$18,Paramètres!$A$1:$I$89,3,0)*0.475*44/12</f>
        <v>0</v>
      </c>
      <c r="HJ142" s="22">
        <f t="shared" si="138"/>
        <v>12.59504935502056</v>
      </c>
    </row>
    <row r="143" spans="1:218" x14ac:dyDescent="0.35">
      <c r="A143" s="10">
        <f t="shared" si="139"/>
        <v>140</v>
      </c>
      <c r="B143" s="72">
        <f>'Scénario référence'!$B$16*5+'Scénario référence'!$B$17*0+'Scénario référence'!$B$18*5</f>
        <v>5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66">
        <f t="shared" si="110"/>
        <v>183.33333333333334</v>
      </c>
      <c r="I143" s="6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19.8100000000004</v>
      </c>
      <c r="O143" s="13">
        <f>N143*VLOOKUP('Données projet'!$B$9,Paramètres!$A$1:$I$89,3,0)*VLOOKUP('Données projet'!$B$9,Paramètres!$A$1:$I$89,5,0)</f>
        <v>17.924088000000364</v>
      </c>
      <c r="P143" s="13">
        <f t="shared" si="141"/>
        <v>5.9032212091029486</v>
      </c>
      <c r="Q143" s="20">
        <f t="shared" si="108"/>
        <v>41.499230205854936</v>
      </c>
      <c r="R143" s="59">
        <f t="shared" si="109"/>
        <v>326.92231811007929</v>
      </c>
      <c r="S143" s="59">
        <f ca="1">AVERAGE(OFFSET($R$3,0,0,'Données projet'!$E$9+1,1))-AVERAGE(OFFSET($H$3,0,0,'Données projet'!$E$9+1,1))</f>
        <v>567.42635821507474</v>
      </c>
      <c r="T143" s="59">
        <f t="shared" si="142"/>
        <v>299.04735309930152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231.84725025383466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231.84725025383466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19.8100000000004</v>
      </c>
      <c r="AJ143" s="13">
        <f>AI143*VLOOKUP('Données projet'!$B$10,Paramètres!$A$1:$I$89,3,0)*VLOOKUP('Données projet'!$B$10,Paramètres!$A$1:$I$89,5,0)</f>
        <v>20.08734000000041</v>
      </c>
      <c r="AK143" s="13">
        <f t="shared" si="143"/>
        <v>6.5285137703520215</v>
      </c>
      <c r="AL143" s="20">
        <f t="shared" si="112"/>
        <v>46.355945316697152</v>
      </c>
      <c r="AM143" s="59">
        <f t="shared" si="113"/>
        <v>331.77903322092152</v>
      </c>
      <c r="AN143" s="59">
        <f ca="1">AVERAGE(OFFSET($AM$3,0,0,'Données projet'!$E$10+1,1))-AVERAGE(OFFSET($H$3,0,0,'Données projet'!$E$10+1,1))</f>
        <v>626.09203985591455</v>
      </c>
      <c r="AO143" s="59">
        <f t="shared" si="144"/>
        <v>327.65191296575199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259.82881493964231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259.82881493964231</v>
      </c>
      <c r="AY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404.00000000000017</v>
      </c>
      <c r="BE143" s="13">
        <f>BD143*VLOOKUP('Données projet'!$B$11,Paramètres!$A$1:$I$89,3,0)*VLOOKUP('Données projet'!$B$11,Paramètres!$A$1:$I$89,5,0)</f>
        <v>346.63200000000018</v>
      </c>
      <c r="BF143" s="13">
        <f t="shared" si="145"/>
        <v>80.868615263336864</v>
      </c>
      <c r="BG143" s="20">
        <f t="shared" si="115"/>
        <v>744.56357158364528</v>
      </c>
      <c r="BH143" s="59">
        <f t="shared" si="116"/>
        <v>1029.9866594878697</v>
      </c>
      <c r="BI143" s="59">
        <f ca="1">AVERAGE(OFFSET($BH$3,0,0,'Données projet'!$E$11+1,1))-AVERAGE(OFFSET($H$3,0,0,'Données projet'!$E$11+1,1))</f>
        <v>481.23392184981651</v>
      </c>
      <c r="BJ143" s="59">
        <f t="shared" si="146"/>
        <v>275.88160405468193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67.265207716111703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67.265207716111703</v>
      </c>
      <c r="BT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5.2499999999990337</v>
      </c>
      <c r="BZ143" s="13">
        <f>BY143*VLOOKUP('Données projet'!$B$12,Paramètres!$A$1:$I$89,3,0)*VLOOKUP('Données projet'!$B$12,Paramètres!$A$1:$I$89,5,0)</f>
        <v>2.4569999999995478</v>
      </c>
      <c r="CA143" s="13">
        <f t="shared" si="147"/>
        <v>1.0197977774625564</v>
      </c>
      <c r="CB143" s="20">
        <f t="shared" si="118"/>
        <v>6.0554227957464972</v>
      </c>
      <c r="CC143" s="59">
        <f t="shared" si="119"/>
        <v>291.47851069997085</v>
      </c>
      <c r="CD143" s="59">
        <f ca="1">AVERAGE(OFFSET($CC$3,0,0,'Données projet'!$E$12+1,1))-AVERAGE(OFFSET($H$3,0,0,'Données projet'!$E$12+1,1))</f>
        <v>331.86732359395467</v>
      </c>
      <c r="CE143" s="59">
        <f t="shared" si="148"/>
        <v>208.64489375183106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131.45633123466413</v>
      </c>
      <c r="CL143" s="21">
        <f>EXP(-LN(2)/25)*CL142+(1-EXP(-LN(2)/25))/(LN(2)/25)*Calculateur!CG143*Calculateur!CI143*VLOOKUP('Données projet'!$B$12,Paramètres!$A$1:$I$89,3,0)*0.475*44/12</f>
        <v>0</v>
      </c>
      <c r="CM143" s="21">
        <f>EXP(-LN(2)/2)*CM142+(1-EXP(-LN(2)/2))/(LN(2)/2)*CG143*CJ143*VLOOKUP('Données projet'!$B$12,Paramètres!$A$1:$I$89,3,0)*0.475*44/12</f>
        <v>0</v>
      </c>
      <c r="CN143" s="22">
        <f t="shared" si="120"/>
        <v>131.45633123466413</v>
      </c>
      <c r="CO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319</v>
      </c>
      <c r="CU143" s="17">
        <f>CT143*VLOOKUP('Données projet'!$B$13,Paramètres!$A$1:$I$89,3,0)*VLOOKUP('Données projet'!$B$13,Paramètres!$A$1:$I$89,5,0)</f>
        <v>233.89079999999998</v>
      </c>
      <c r="CV143" s="13">
        <f t="shared" si="149"/>
        <v>57.123140349023068</v>
      </c>
      <c r="CW143" s="20">
        <f t="shared" si="121"/>
        <v>506.84927944121517</v>
      </c>
      <c r="CX143" s="59">
        <f t="shared" si="122"/>
        <v>792.27236734543953</v>
      </c>
      <c r="CY143" s="59">
        <f ca="1">AVERAGE(OFFSET($CX$3,0,0,'Données projet'!$E$13+1,1))-AVERAGE(OFFSET($H$3,0,0,'Données projet'!$E$13+1,1))</f>
        <v>352.45777291109863</v>
      </c>
      <c r="CZ143" s="59">
        <f t="shared" si="150"/>
        <v>340.92165104349181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12.114935652874486</v>
      </c>
      <c r="DG143" s="21">
        <f>EXP(-LN(2)/25)*DG142+(1-EXP(-LN(2)/25))/(LN(2)/25)*Calculateur!DB143*Calculateur!DD143*VLOOKUP('Données projet'!$B$13,Paramètres!$A$1:$I$89,3,0)*0.475*44/12</f>
        <v>0</v>
      </c>
      <c r="DH143" s="21">
        <f>EXP(-LN(2)/2)*DH142+(1-EXP(-LN(2)/2))/(LN(2)/2)*DB143*DE143*VLOOKUP('Données projet'!$B$13,Paramètres!$A$1:$I$89,3,0)*0.475*44/12</f>
        <v>0</v>
      </c>
      <c r="DI143" s="22">
        <f t="shared" si="123"/>
        <v>12.114935652874486</v>
      </c>
      <c r="DJ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19.8100000000004</v>
      </c>
      <c r="DP143" s="17">
        <f>DO143*VLOOKUP('Données projet'!$B$14,Paramètres!$A$1:$I$89,3,0)*VLOOKUP('Données projet'!$B$14,Paramètres!$A$1:$I$89,5,0)</f>
        <v>13.288548000000269</v>
      </c>
      <c r="DQ143" s="13">
        <f t="shared" si="151"/>
        <v>4.531654695205642</v>
      </c>
      <c r="DR143" s="20">
        <f t="shared" si="124"/>
        <v>31.036853027483627</v>
      </c>
      <c r="DS143" s="59">
        <f t="shared" si="125"/>
        <v>316.45994093170799</v>
      </c>
      <c r="DT143" s="59">
        <f ca="1">AVERAGE(OFFSET($DS$3,0,0,'Données projet'!$E$14+1,1))-AVERAGE(OFFSET($H$3,0,0,'Données projet'!$E$14+1,1))</f>
        <v>441.20130048888439</v>
      </c>
      <c r="DU143" s="59">
        <f t="shared" si="152"/>
        <v>237.47732532183946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211.86041833540065</v>
      </c>
      <c r="EB143" s="21">
        <f>EXP(-LN(2)/25)*EB142+(1-EXP(-LN(2)/25))/(LN(2)/25)*Calculateur!DW143*Calculateur!DY143*VLOOKUP('Données projet'!$B$14,Paramètres!$A$1:$I$89,3,0)*0.475*44/12</f>
        <v>0</v>
      </c>
      <c r="EC143" s="21">
        <f>EXP(-LN(2)/2)*EC142+(1-EXP(-LN(2)/2))/(LN(2)/2)*DW143*DZ143*VLOOKUP('Données projet'!$B$14,Paramètres!$A$1:$I$89,3,0)*0.475*44/12</f>
        <v>0</v>
      </c>
      <c r="ED143" s="22">
        <f t="shared" si="126"/>
        <v>211.86041833540065</v>
      </c>
      <c r="EE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319</v>
      </c>
      <c r="EK143" s="17">
        <f>EJ143*VLOOKUP('Données projet'!$B$15,Paramètres!$A$1:$I$89,3,0)*VLOOKUP('Données projet'!$B$15,Paramètres!$A$1:$I$89,5,0)</f>
        <v>253.79640000000001</v>
      </c>
      <c r="EL143" s="13">
        <f t="shared" si="153"/>
        <v>61.39816832228076</v>
      </c>
      <c r="EM143" s="20">
        <f t="shared" si="127"/>
        <v>548.96387316130563</v>
      </c>
      <c r="EN143" s="59">
        <f t="shared" si="128"/>
        <v>834.38696106552993</v>
      </c>
      <c r="EO143" s="59">
        <f ca="1">AVERAGE(OFFSET($EN$3,0,0,'Données projet'!$E$15+1,1))-AVERAGE(OFFSET($H$3,0,0,'Données projet'!$E$15+1,1))</f>
        <v>377.27600411578322</v>
      </c>
      <c r="EP143" s="59">
        <f t="shared" si="154"/>
        <v>364.58250627635425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>
        <f>EXP(-LN(2)/35)*EV142+(1-EXP(-LN(2)/35))/(LN(2)/35)*ER143*ES143*VLOOKUP('Données projet'!$B$15,Paramètres!$A$1:$I$89,3,0)*0.475*44/12</f>
        <v>16.203201914754931</v>
      </c>
      <c r="EW143" s="21">
        <f>EXP(-LN(2)/25)*EW142+(1-EXP(-LN(2)/25))/(LN(2)/25)*Calculateur!ER143*Calculateur!ET143*VLOOKUP('Données projet'!$B$15,Paramètres!$A$1:$I$89,3,0)*0.475*44/12</f>
        <v>0</v>
      </c>
      <c r="EX143" s="21">
        <f>EXP(-LN(2)/2)*EX142+(1-EXP(-LN(2)/2))/(LN(2)/2)*ER143*EU143*VLOOKUP('Données projet'!$B$15,Paramètres!$A$1:$I$89,3,0)*0.475*44/12</f>
        <v>0</v>
      </c>
      <c r="EY143" s="22">
        <f t="shared" si="129"/>
        <v>16.203201914754931</v>
      </c>
      <c r="EZ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319</v>
      </c>
      <c r="FF143" s="17">
        <f>FE143*VLOOKUP('Données projet'!$B$16,Paramètres!$A$1:$I$89,3,0)*VLOOKUP('Données projet'!$B$16,Paramètres!$A$1:$I$89,5,0)</f>
        <v>258.77280000000002</v>
      </c>
      <c r="FG143" s="13">
        <f t="shared" si="155"/>
        <v>62.460716522234691</v>
      </c>
      <c r="FH143" s="20">
        <f t="shared" si="130"/>
        <v>559.48170794289206</v>
      </c>
      <c r="FI143" s="59">
        <f t="shared" si="131"/>
        <v>844.90479584711647</v>
      </c>
      <c r="FJ143" s="59">
        <f ca="1">AVERAGE(OFFSET($FI$3,0,0,'Données projet'!$E$16+1,1))-AVERAGE(OFFSET($H$3,0,0,'Données projet'!$E$16+1,1))</f>
        <v>383.47399633251354</v>
      </c>
      <c r="FK143" s="59">
        <f t="shared" si="156"/>
        <v>370.49129421395628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>
        <f>EXP(-LN(2)/35)*FQ142+(1-EXP(-LN(2)/35))/(LN(2)/35)*FM143*FN143*VLOOKUP('Données projet'!$B$16,Paramètres!$A$1:$I$89,3,0)*0.475*44/12</f>
        <v>16.520911756220737</v>
      </c>
      <c r="FR143" s="21">
        <f>EXP(-LN(2)/25)*FR142+(1-EXP(-LN(2)/25))/(LN(2)/25)*Calculateur!FM143*Calculateur!FO143*VLOOKUP('Données projet'!$B$16,Paramètres!$A$1:$I$89,3,0)*0.475*44/12</f>
        <v>0</v>
      </c>
      <c r="FS143" s="21">
        <f>EXP(-LN(2)/2)*FS142+(1-EXP(-LN(2)/2))/(LN(2)/2)*FM143*FP143*VLOOKUP('Données projet'!$B$16,Paramètres!$A$1:$I$89,3,0)*0.475*44/12</f>
        <v>0</v>
      </c>
      <c r="FT143" s="22">
        <f t="shared" si="132"/>
        <v>16.520911756220737</v>
      </c>
      <c r="FU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19.8100000000004</v>
      </c>
      <c r="GA143" s="17">
        <f>FZ143*VLOOKUP('Données projet'!$B$17,Paramètres!$A$1:$I$89,3,0)*VLOOKUP('Données projet'!$B$17,Paramètres!$A$1:$I$89,5,0)</f>
        <v>18.851196000000382</v>
      </c>
      <c r="GB143" s="13">
        <f t="shared" si="157"/>
        <v>6.172221809210666</v>
      </c>
      <c r="GC143" s="20">
        <f t="shared" si="133"/>
        <v>43.582452684375909</v>
      </c>
      <c r="GD143" s="59">
        <f t="shared" si="134"/>
        <v>329.0055405886003</v>
      </c>
      <c r="GE143" s="59">
        <f ca="1">AVERAGE(OFFSET($GD$3,0,0,'Données projet'!$E$17+1,1))-AVERAGE(OFFSET($H$3,0,0,'Données projet'!$E$17+1,1))</f>
        <v>592.58528889137358</v>
      </c>
      <c r="GF143" s="59">
        <f t="shared" si="158"/>
        <v>311.31528020403709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>
        <f>EXP(-LN(2)/35)*GL142+(1-EXP(-LN(2)/35))/(LN(2)/35)*GH143*GI143*VLOOKUP('Données projet'!$B$17,Paramètres!$A$1:$I$89,3,0)*0.475*44/12</f>
        <v>243.83934940489513</v>
      </c>
      <c r="GM143" s="21">
        <f>EXP(-LN(2)/25)*GM142+(1-EXP(-LN(2)/25))/(LN(2)/25)*Calculateur!GH143*Calculateur!GJ143*VLOOKUP('Données projet'!$B$17,Paramètres!$A$1:$I$89,3,0)*0.475*44/12</f>
        <v>0</v>
      </c>
      <c r="GN143" s="21">
        <f>EXP(-LN(2)/2)*GN142+(1-EXP(-LN(2)/2))/(LN(2)/2)*GH143*GK143*VLOOKUP('Données projet'!$B$17,Paramètres!$A$1:$I$89,3,0)*0.475*44/12</f>
        <v>0</v>
      </c>
      <c r="GO143" s="21">
        <f t="shared" si="135"/>
        <v>243.83934940489513</v>
      </c>
      <c r="GP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328.00000000000006</v>
      </c>
      <c r="GV143" s="17">
        <f>GU143*VLOOKUP('Données projet'!$B$18,Paramètres!$A$1:$I$89,3,0)*VLOOKUP('Données projet'!$B$18,Paramètres!$A$1:$I$89,5,0)</f>
        <v>255.84000000000006</v>
      </c>
      <c r="GW143" s="13">
        <f t="shared" si="159"/>
        <v>61.834803371075836</v>
      </c>
      <c r="GX143" s="20">
        <f t="shared" si="136"/>
        <v>553.28361587129041</v>
      </c>
      <c r="GY143" s="59">
        <f t="shared" si="137"/>
        <v>838.70670377551482</v>
      </c>
      <c r="GZ143" s="59">
        <f ca="1">AVERAGE(OFFSET($GY$3,0,0,'Données projet'!$E$18+1,1))-AVERAGE(OFFSET($H$3,0,0,'Données projet'!$E$18+1,1))</f>
        <v>308.85018589589453</v>
      </c>
      <c r="HA143" s="59">
        <f t="shared" si="160"/>
        <v>302.59481222418219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>
        <f>EXP(-LN(2)/35)*HG142+(1-EXP(-LN(2)/35))/(LN(2)/35)*HC143*HD143*VLOOKUP('Données projet'!$B$18,Paramètres!$A$1:$I$89,3,0)*0.475*44/12</f>
        <v>12.348068119390158</v>
      </c>
      <c r="HH143" s="21">
        <f>EXP(-LN(2)/25)*HH142+(1-EXP(-LN(2)/25))/(LN(2)/25)*Calculateur!HC143*Calculateur!HE143*VLOOKUP('Données projet'!$B$18,Paramètres!$A$1:$I$89,3,0)*0.475*44/12</f>
        <v>0</v>
      </c>
      <c r="HI143" s="21">
        <f>EXP(-LN(2)/2)*HI142+(1-EXP(-LN(2)/2))/(LN(2)/2)*HC143*HF143*VLOOKUP('Données projet'!$B$18,Paramètres!$A$1:$I$89,3,0)*0.475*44/12</f>
        <v>0</v>
      </c>
      <c r="HJ143" s="22">
        <f t="shared" si="138"/>
        <v>12.348068119390158</v>
      </c>
    </row>
    <row r="144" spans="1:218" x14ac:dyDescent="0.35">
      <c r="A144" s="10">
        <f t="shared" si="139"/>
        <v>141</v>
      </c>
      <c r="B144" s="72">
        <f>'Scénario référence'!$B$16*5+'Scénario référence'!$B$17*0+'Scénario référence'!$B$18*5</f>
        <v>5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66">
        <f t="shared" si="110"/>
        <v>183.33333333333334</v>
      </c>
      <c r="I144" s="6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19.8100000000004</v>
      </c>
      <c r="O144" s="13">
        <f>N144*VLOOKUP('Données projet'!$B$9,Paramètres!$A$1:$I$89,3,0)*VLOOKUP('Données projet'!$B$9,Paramètres!$A$1:$I$89,5,0)</f>
        <v>17.924088000000364</v>
      </c>
      <c r="P144" s="13">
        <f t="shared" si="141"/>
        <v>5.9032212091029486</v>
      </c>
      <c r="Q144" s="20">
        <f t="shared" si="108"/>
        <v>41.499230205854936</v>
      </c>
      <c r="R144" s="59">
        <f t="shared" si="109"/>
        <v>327.05954318361495</v>
      </c>
      <c r="S144" s="59">
        <f ca="1">AVERAGE(OFFSET($R$3,0,0,'Données projet'!$E$9+1,1))-AVERAGE(OFFSET($H$3,0,0,'Données projet'!$E$9+1,1))</f>
        <v>567.42635821507474</v>
      </c>
      <c r="T144" s="59">
        <f t="shared" si="142"/>
        <v>299.04735309930152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227.30086708921627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227.30086708921627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19.8100000000004</v>
      </c>
      <c r="AJ144" s="13">
        <f>AI144*VLOOKUP('Données projet'!$B$10,Paramètres!$A$1:$I$89,3,0)*VLOOKUP('Données projet'!$B$10,Paramètres!$A$1:$I$89,5,0)</f>
        <v>20.08734000000041</v>
      </c>
      <c r="AK144" s="13">
        <f t="shared" si="143"/>
        <v>6.5285137703520215</v>
      </c>
      <c r="AL144" s="20">
        <f t="shared" si="112"/>
        <v>46.355945316697152</v>
      </c>
      <c r="AM144" s="59">
        <f t="shared" si="113"/>
        <v>331.91625829445718</v>
      </c>
      <c r="AN144" s="59">
        <f ca="1">AVERAGE(OFFSET($AM$3,0,0,'Données projet'!$E$10+1,1))-AVERAGE(OFFSET($H$3,0,0,'Données projet'!$E$10+1,1))</f>
        <v>626.09203985591455</v>
      </c>
      <c r="AO144" s="59">
        <f t="shared" si="144"/>
        <v>327.65191296575199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254.73373035860445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254.73373035860445</v>
      </c>
      <c r="AY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404.00000000000017</v>
      </c>
      <c r="BE144" s="13">
        <f>BD144*VLOOKUP('Données projet'!$B$11,Paramètres!$A$1:$I$89,3,0)*VLOOKUP('Données projet'!$B$11,Paramètres!$A$1:$I$89,5,0)</f>
        <v>346.63200000000018</v>
      </c>
      <c r="BF144" s="13">
        <f t="shared" si="145"/>
        <v>80.868615263336864</v>
      </c>
      <c r="BG144" s="20">
        <f t="shared" si="115"/>
        <v>744.56357158364528</v>
      </c>
      <c r="BH144" s="59">
        <f t="shared" si="116"/>
        <v>1030.1238845614052</v>
      </c>
      <c r="BI144" s="59">
        <f ca="1">AVERAGE(OFFSET($BH$3,0,0,'Données projet'!$E$11+1,1))-AVERAGE(OFFSET($H$3,0,0,'Données projet'!$E$11+1,1))</f>
        <v>481.23392184981651</v>
      </c>
      <c r="BJ144" s="59">
        <f t="shared" si="146"/>
        <v>275.88160405468193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65.946178020524314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65.946178020524314</v>
      </c>
      <c r="BT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5.2499999999990337</v>
      </c>
      <c r="BZ144" s="13">
        <f>BY144*VLOOKUP('Données projet'!$B$12,Paramètres!$A$1:$I$89,3,0)*VLOOKUP('Données projet'!$B$12,Paramètres!$A$1:$I$89,5,0)</f>
        <v>2.4569999999995478</v>
      </c>
      <c r="CA144" s="13">
        <f t="shared" si="147"/>
        <v>1.0197977774625564</v>
      </c>
      <c r="CB144" s="20">
        <f t="shared" si="118"/>
        <v>6.0554227957464972</v>
      </c>
      <c r="CC144" s="59">
        <f t="shared" si="119"/>
        <v>291.61573577350651</v>
      </c>
      <c r="CD144" s="59">
        <f ca="1">AVERAGE(OFFSET($CC$3,0,0,'Données projet'!$E$12+1,1))-AVERAGE(OFFSET($H$3,0,0,'Données projet'!$E$12+1,1))</f>
        <v>331.86732359395467</v>
      </c>
      <c r="CE144" s="59">
        <f t="shared" si="148"/>
        <v>208.64489375183106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128.87855275959726</v>
      </c>
      <c r="CL144" s="21">
        <f>EXP(-LN(2)/25)*CL143+(1-EXP(-LN(2)/25))/(LN(2)/25)*Calculateur!CG144*Calculateur!CI144*VLOOKUP('Données projet'!$B$12,Paramètres!$A$1:$I$89,3,0)*0.475*44/12</f>
        <v>0</v>
      </c>
      <c r="CM144" s="21">
        <f>EXP(-LN(2)/2)*CM143+(1-EXP(-LN(2)/2))/(LN(2)/2)*CG144*CJ144*VLOOKUP('Données projet'!$B$12,Paramètres!$A$1:$I$89,3,0)*0.475*44/12</f>
        <v>0</v>
      </c>
      <c r="CN144" s="22">
        <f t="shared" si="120"/>
        <v>128.87855275959726</v>
      </c>
      <c r="CO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319</v>
      </c>
      <c r="CU144" s="17">
        <f>CT144*VLOOKUP('Données projet'!$B$13,Paramètres!$A$1:$I$89,3,0)*VLOOKUP('Données projet'!$B$13,Paramètres!$A$1:$I$89,5,0)</f>
        <v>233.89079999999998</v>
      </c>
      <c r="CV144" s="13">
        <f t="shared" si="149"/>
        <v>57.123140349023068</v>
      </c>
      <c r="CW144" s="20">
        <f t="shared" si="121"/>
        <v>506.84927944121517</v>
      </c>
      <c r="CX144" s="59">
        <f t="shared" si="122"/>
        <v>792.40959241897519</v>
      </c>
      <c r="CY144" s="59">
        <f ca="1">AVERAGE(OFFSET($CX$3,0,0,'Données projet'!$E$13+1,1))-AVERAGE(OFFSET($H$3,0,0,'Données projet'!$E$13+1,1))</f>
        <v>352.45777291109863</v>
      </c>
      <c r="CZ144" s="59">
        <f t="shared" si="150"/>
        <v>340.92165104349181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11.877369154102725</v>
      </c>
      <c r="DG144" s="21">
        <f>EXP(-LN(2)/25)*DG143+(1-EXP(-LN(2)/25))/(LN(2)/25)*Calculateur!DB144*Calculateur!DD144*VLOOKUP('Données projet'!$B$13,Paramètres!$A$1:$I$89,3,0)*0.475*44/12</f>
        <v>0</v>
      </c>
      <c r="DH144" s="21">
        <f>EXP(-LN(2)/2)*DH143+(1-EXP(-LN(2)/2))/(LN(2)/2)*DB144*DE144*VLOOKUP('Données projet'!$B$13,Paramètres!$A$1:$I$89,3,0)*0.475*44/12</f>
        <v>0</v>
      </c>
      <c r="DI144" s="22">
        <f t="shared" si="123"/>
        <v>11.877369154102725</v>
      </c>
      <c r="DJ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19.8100000000004</v>
      </c>
      <c r="DP144" s="17">
        <f>DO144*VLOOKUP('Données projet'!$B$14,Paramètres!$A$1:$I$89,3,0)*VLOOKUP('Données projet'!$B$14,Paramètres!$A$1:$I$89,5,0)</f>
        <v>13.288548000000269</v>
      </c>
      <c r="DQ144" s="13">
        <f t="shared" si="151"/>
        <v>4.531654695205642</v>
      </c>
      <c r="DR144" s="20">
        <f t="shared" si="124"/>
        <v>31.036853027483627</v>
      </c>
      <c r="DS144" s="59">
        <f t="shared" si="125"/>
        <v>316.59716600524365</v>
      </c>
      <c r="DT144" s="59">
        <f ca="1">AVERAGE(OFFSET($DS$3,0,0,'Données projet'!$E$14+1,1))-AVERAGE(OFFSET($H$3,0,0,'Données projet'!$E$14+1,1))</f>
        <v>441.20130048888439</v>
      </c>
      <c r="DU144" s="59">
        <f t="shared" si="152"/>
        <v>237.47732532183946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207.70596475393901</v>
      </c>
      <c r="EB144" s="21">
        <f>EXP(-LN(2)/25)*EB143+(1-EXP(-LN(2)/25))/(LN(2)/25)*Calculateur!DW144*Calculateur!DY144*VLOOKUP('Données projet'!$B$14,Paramètres!$A$1:$I$89,3,0)*0.475*44/12</f>
        <v>0</v>
      </c>
      <c r="EC144" s="21">
        <f>EXP(-LN(2)/2)*EC143+(1-EXP(-LN(2)/2))/(LN(2)/2)*DW144*DZ144*VLOOKUP('Données projet'!$B$14,Paramètres!$A$1:$I$89,3,0)*0.475*44/12</f>
        <v>0</v>
      </c>
      <c r="ED144" s="22">
        <f t="shared" si="126"/>
        <v>207.70596475393901</v>
      </c>
      <c r="EE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319</v>
      </c>
      <c r="EK144" s="17">
        <f>EJ144*VLOOKUP('Données projet'!$B$15,Paramètres!$A$1:$I$89,3,0)*VLOOKUP('Données projet'!$B$15,Paramètres!$A$1:$I$89,5,0)</f>
        <v>253.79640000000001</v>
      </c>
      <c r="EL144" s="13">
        <f t="shared" si="153"/>
        <v>61.39816832228076</v>
      </c>
      <c r="EM144" s="20">
        <f t="shared" si="127"/>
        <v>548.96387316130563</v>
      </c>
      <c r="EN144" s="59">
        <f t="shared" si="128"/>
        <v>834.5241861390657</v>
      </c>
      <c r="EO144" s="59">
        <f ca="1">AVERAGE(OFFSET($EN$3,0,0,'Données projet'!$E$15+1,1))-AVERAGE(OFFSET($H$3,0,0,'Données projet'!$E$15+1,1))</f>
        <v>377.27600411578322</v>
      </c>
      <c r="EP144" s="59">
        <f t="shared" si="154"/>
        <v>364.58250627635425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>
        <f>EXP(-LN(2)/35)*EV143+(1-EXP(-LN(2)/35))/(LN(2)/35)*ER144*ES144*VLOOKUP('Données projet'!$B$15,Paramètres!$A$1:$I$89,3,0)*0.475*44/12</f>
        <v>15.885467008183893</v>
      </c>
      <c r="EW144" s="21">
        <f>EXP(-LN(2)/25)*EW143+(1-EXP(-LN(2)/25))/(LN(2)/25)*Calculateur!ER144*Calculateur!ET144*VLOOKUP('Données projet'!$B$15,Paramètres!$A$1:$I$89,3,0)*0.475*44/12</f>
        <v>0</v>
      </c>
      <c r="EX144" s="21">
        <f>EXP(-LN(2)/2)*EX143+(1-EXP(-LN(2)/2))/(LN(2)/2)*ER144*EU144*VLOOKUP('Données projet'!$B$15,Paramètres!$A$1:$I$89,3,0)*0.475*44/12</f>
        <v>0</v>
      </c>
      <c r="EY144" s="22">
        <f t="shared" si="129"/>
        <v>15.885467008183893</v>
      </c>
      <c r="EZ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319</v>
      </c>
      <c r="FF144" s="17">
        <f>FE144*VLOOKUP('Données projet'!$B$16,Paramètres!$A$1:$I$89,3,0)*VLOOKUP('Données projet'!$B$16,Paramètres!$A$1:$I$89,5,0)</f>
        <v>258.77280000000002</v>
      </c>
      <c r="FG144" s="13">
        <f t="shared" si="155"/>
        <v>62.460716522234691</v>
      </c>
      <c r="FH144" s="20">
        <f t="shared" si="130"/>
        <v>559.48170794289206</v>
      </c>
      <c r="FI144" s="59">
        <f t="shared" si="131"/>
        <v>845.04202092065202</v>
      </c>
      <c r="FJ144" s="59">
        <f ca="1">AVERAGE(OFFSET($FI$3,0,0,'Données projet'!$E$16+1,1))-AVERAGE(OFFSET($H$3,0,0,'Données projet'!$E$16+1,1))</f>
        <v>383.47399633251354</v>
      </c>
      <c r="FK144" s="59">
        <f t="shared" si="156"/>
        <v>370.49129421395628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>
        <f>EXP(-LN(2)/35)*FQ143+(1-EXP(-LN(2)/35))/(LN(2)/35)*FM144*FN144*VLOOKUP('Données projet'!$B$16,Paramètres!$A$1:$I$89,3,0)*0.475*44/12</f>
        <v>16.196946753442422</v>
      </c>
      <c r="FR144" s="21">
        <f>EXP(-LN(2)/25)*FR143+(1-EXP(-LN(2)/25))/(LN(2)/25)*Calculateur!FM144*Calculateur!FO144*VLOOKUP('Données projet'!$B$16,Paramètres!$A$1:$I$89,3,0)*0.475*44/12</f>
        <v>0</v>
      </c>
      <c r="FS144" s="21">
        <f>EXP(-LN(2)/2)*FS143+(1-EXP(-LN(2)/2))/(LN(2)/2)*FM144*FP144*VLOOKUP('Données projet'!$B$16,Paramètres!$A$1:$I$89,3,0)*0.475*44/12</f>
        <v>0</v>
      </c>
      <c r="FT144" s="22">
        <f t="shared" si="132"/>
        <v>16.196946753442422</v>
      </c>
      <c r="FU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19.8100000000004</v>
      </c>
      <c r="GA144" s="17">
        <f>FZ144*VLOOKUP('Données projet'!$B$17,Paramètres!$A$1:$I$89,3,0)*VLOOKUP('Données projet'!$B$17,Paramètres!$A$1:$I$89,5,0)</f>
        <v>18.851196000000382</v>
      </c>
      <c r="GB144" s="13">
        <f t="shared" si="157"/>
        <v>6.172221809210666</v>
      </c>
      <c r="GC144" s="20">
        <f t="shared" si="133"/>
        <v>43.582452684375909</v>
      </c>
      <c r="GD144" s="59">
        <f t="shared" si="134"/>
        <v>329.14276566213596</v>
      </c>
      <c r="GE144" s="59">
        <f ca="1">AVERAGE(OFFSET($GD$3,0,0,'Données projet'!$E$17+1,1))-AVERAGE(OFFSET($H$3,0,0,'Données projet'!$E$17+1,1))</f>
        <v>592.58528889137358</v>
      </c>
      <c r="GF144" s="59">
        <f t="shared" si="158"/>
        <v>311.31528020403709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>
        <f>EXP(-LN(2)/35)*GL143+(1-EXP(-LN(2)/35))/(LN(2)/35)*GH144*GI144*VLOOKUP('Données projet'!$B$17,Paramètres!$A$1:$I$89,3,0)*0.475*44/12</f>
        <v>239.05780849038268</v>
      </c>
      <c r="GM144" s="21">
        <f>EXP(-LN(2)/25)*GM143+(1-EXP(-LN(2)/25))/(LN(2)/25)*Calculateur!GH144*Calculateur!GJ144*VLOOKUP('Données projet'!$B$17,Paramètres!$A$1:$I$89,3,0)*0.475*44/12</f>
        <v>0</v>
      </c>
      <c r="GN144" s="21">
        <f>EXP(-LN(2)/2)*GN143+(1-EXP(-LN(2)/2))/(LN(2)/2)*GH144*GK144*VLOOKUP('Données projet'!$B$17,Paramètres!$A$1:$I$89,3,0)*0.475*44/12</f>
        <v>0</v>
      </c>
      <c r="GO144" s="21">
        <f t="shared" si="135"/>
        <v>239.05780849038268</v>
      </c>
      <c r="GP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328.00000000000006</v>
      </c>
      <c r="GV144" s="17">
        <f>GU144*VLOOKUP('Données projet'!$B$18,Paramètres!$A$1:$I$89,3,0)*VLOOKUP('Données projet'!$B$18,Paramètres!$A$1:$I$89,5,0)</f>
        <v>255.84000000000006</v>
      </c>
      <c r="GW144" s="13">
        <f t="shared" si="159"/>
        <v>61.834803371075836</v>
      </c>
      <c r="GX144" s="20">
        <f t="shared" si="136"/>
        <v>553.28361587129041</v>
      </c>
      <c r="GY144" s="59">
        <f t="shared" si="137"/>
        <v>838.84392884905037</v>
      </c>
      <c r="GZ144" s="59">
        <f ca="1">AVERAGE(OFFSET($GY$3,0,0,'Données projet'!$E$18+1,1))-AVERAGE(OFFSET($H$3,0,0,'Données projet'!$E$18+1,1))</f>
        <v>308.85018589589453</v>
      </c>
      <c r="HA144" s="59">
        <f t="shared" si="160"/>
        <v>302.59481222418219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>
        <f>EXP(-LN(2)/35)*HG143+(1-EXP(-LN(2)/35))/(LN(2)/35)*HC144*HD144*VLOOKUP('Données projet'!$B$18,Paramètres!$A$1:$I$89,3,0)*0.475*44/12</f>
        <v>12.105930035146788</v>
      </c>
      <c r="HH144" s="21">
        <f>EXP(-LN(2)/25)*HH143+(1-EXP(-LN(2)/25))/(LN(2)/25)*Calculateur!HC144*Calculateur!HE144*VLOOKUP('Données projet'!$B$18,Paramètres!$A$1:$I$89,3,0)*0.475*44/12</f>
        <v>0</v>
      </c>
      <c r="HI144" s="21">
        <f>EXP(-LN(2)/2)*HI143+(1-EXP(-LN(2)/2))/(LN(2)/2)*HC144*HF144*VLOOKUP('Données projet'!$B$18,Paramètres!$A$1:$I$89,3,0)*0.475*44/12</f>
        <v>0</v>
      </c>
      <c r="HJ144" s="22">
        <f t="shared" si="138"/>
        <v>12.105930035146788</v>
      </c>
    </row>
    <row r="145" spans="1:218" x14ac:dyDescent="0.35">
      <c r="A145" s="10">
        <f t="shared" si="139"/>
        <v>142</v>
      </c>
      <c r="B145" s="72">
        <f>'Scénario référence'!$B$16*5+'Scénario référence'!$B$17*0+'Scénario référence'!$B$18*5</f>
        <v>5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66">
        <f t="shared" si="110"/>
        <v>183.33333333333334</v>
      </c>
      <c r="I145" s="6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19.8100000000004</v>
      </c>
      <c r="O145" s="13">
        <f>N145*VLOOKUP('Données projet'!$B$9,Paramètres!$A$1:$I$89,3,0)*VLOOKUP('Données projet'!$B$9,Paramètres!$A$1:$I$89,5,0)</f>
        <v>17.924088000000364</v>
      </c>
      <c r="P145" s="13">
        <f t="shared" si="141"/>
        <v>5.9032212091029486</v>
      </c>
      <c r="Q145" s="20">
        <f t="shared" si="108"/>
        <v>41.499230205854936</v>
      </c>
      <c r="R145" s="59">
        <f t="shared" si="109"/>
        <v>327.19438770891401</v>
      </c>
      <c r="S145" s="59">
        <f ca="1">AVERAGE(OFFSET($R$3,0,0,'Données projet'!$E$9+1,1))-AVERAGE(OFFSET($H$3,0,0,'Données projet'!$E$9+1,1))</f>
        <v>567.42635821507474</v>
      </c>
      <c r="T145" s="59">
        <f t="shared" si="142"/>
        <v>299.04735309930152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222.84363572543612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222.84363572543612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19.8100000000004</v>
      </c>
      <c r="AJ145" s="13">
        <f>AI145*VLOOKUP('Données projet'!$B$10,Paramètres!$A$1:$I$89,3,0)*VLOOKUP('Données projet'!$B$10,Paramètres!$A$1:$I$89,5,0)</f>
        <v>20.08734000000041</v>
      </c>
      <c r="AK145" s="13">
        <f t="shared" si="143"/>
        <v>6.5285137703520215</v>
      </c>
      <c r="AL145" s="20">
        <f t="shared" si="112"/>
        <v>46.355945316697152</v>
      </c>
      <c r="AM145" s="59">
        <f t="shared" si="113"/>
        <v>332.05110281975624</v>
      </c>
      <c r="AN145" s="59">
        <f ca="1">AVERAGE(OFFSET($AM$3,0,0,'Données projet'!$E$10+1,1))-AVERAGE(OFFSET($H$3,0,0,'Données projet'!$E$10+1,1))</f>
        <v>626.09203985591455</v>
      </c>
      <c r="AO145" s="59">
        <f t="shared" si="144"/>
        <v>327.65191296575199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249.73855727850599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249.73855727850599</v>
      </c>
      <c r="AY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404.00000000000017</v>
      </c>
      <c r="BE145" s="13">
        <f>BD145*VLOOKUP('Données projet'!$B$11,Paramètres!$A$1:$I$89,3,0)*VLOOKUP('Données projet'!$B$11,Paramètres!$A$1:$I$89,5,0)</f>
        <v>346.63200000000018</v>
      </c>
      <c r="BF145" s="13">
        <f t="shared" si="145"/>
        <v>80.868615263336864</v>
      </c>
      <c r="BG145" s="20">
        <f t="shared" si="115"/>
        <v>744.56357158364528</v>
      </c>
      <c r="BH145" s="59">
        <f t="shared" si="116"/>
        <v>1030.2587290867043</v>
      </c>
      <c r="BI145" s="59">
        <f ca="1">AVERAGE(OFFSET($BH$3,0,0,'Données projet'!$E$11+1,1))-AVERAGE(OFFSET($H$3,0,0,'Données projet'!$E$11+1,1))</f>
        <v>481.23392184981651</v>
      </c>
      <c r="BJ145" s="59">
        <f t="shared" si="146"/>
        <v>275.88160405468193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64.65301369273871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64.65301369273871</v>
      </c>
      <c r="BT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5.2499999999990337</v>
      </c>
      <c r="BZ145" s="13">
        <f>BY145*VLOOKUP('Données projet'!$B$12,Paramètres!$A$1:$I$89,3,0)*VLOOKUP('Données projet'!$B$12,Paramètres!$A$1:$I$89,5,0)</f>
        <v>2.4569999999995478</v>
      </c>
      <c r="CA145" s="13">
        <f t="shared" si="147"/>
        <v>1.0197977774625564</v>
      </c>
      <c r="CB145" s="20">
        <f t="shared" si="118"/>
        <v>6.0554227957464972</v>
      </c>
      <c r="CC145" s="59">
        <f t="shared" si="119"/>
        <v>291.75058029880557</v>
      </c>
      <c r="CD145" s="59">
        <f ca="1">AVERAGE(OFFSET($CC$3,0,0,'Données projet'!$E$12+1,1))-AVERAGE(OFFSET($H$3,0,0,'Données projet'!$E$12+1,1))</f>
        <v>331.86732359395467</v>
      </c>
      <c r="CE145" s="59">
        <f t="shared" si="148"/>
        <v>208.64489375183106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126.35132294813683</v>
      </c>
      <c r="CL145" s="21">
        <f>EXP(-LN(2)/25)*CL144+(1-EXP(-LN(2)/25))/(LN(2)/25)*Calculateur!CG145*Calculateur!CI145*VLOOKUP('Données projet'!$B$12,Paramètres!$A$1:$I$89,3,0)*0.475*44/12</f>
        <v>0</v>
      </c>
      <c r="CM145" s="21">
        <f>EXP(-LN(2)/2)*CM144+(1-EXP(-LN(2)/2))/(LN(2)/2)*CG145*CJ145*VLOOKUP('Données projet'!$B$12,Paramètres!$A$1:$I$89,3,0)*0.475*44/12</f>
        <v>0</v>
      </c>
      <c r="CN145" s="22">
        <f t="shared" si="120"/>
        <v>126.35132294813683</v>
      </c>
      <c r="CO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319</v>
      </c>
      <c r="CU145" s="17">
        <f>CT145*VLOOKUP('Données projet'!$B$13,Paramètres!$A$1:$I$89,3,0)*VLOOKUP('Données projet'!$B$13,Paramètres!$A$1:$I$89,5,0)</f>
        <v>233.89079999999998</v>
      </c>
      <c r="CV145" s="13">
        <f t="shared" si="149"/>
        <v>57.123140349023068</v>
      </c>
      <c r="CW145" s="20">
        <f t="shared" si="121"/>
        <v>506.84927944121517</v>
      </c>
      <c r="CX145" s="59">
        <f t="shared" si="122"/>
        <v>792.54443694427425</v>
      </c>
      <c r="CY145" s="59">
        <f ca="1">AVERAGE(OFFSET($CX$3,0,0,'Données projet'!$E$13+1,1))-AVERAGE(OFFSET($H$3,0,0,'Données projet'!$E$13+1,1))</f>
        <v>352.45777291109863</v>
      </c>
      <c r="CZ145" s="59">
        <f t="shared" si="150"/>
        <v>340.92165104349181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11.644461189470622</v>
      </c>
      <c r="DG145" s="21">
        <f>EXP(-LN(2)/25)*DG144+(1-EXP(-LN(2)/25))/(LN(2)/25)*Calculateur!DB145*Calculateur!DD145*VLOOKUP('Données projet'!$B$13,Paramètres!$A$1:$I$89,3,0)*0.475*44/12</f>
        <v>0</v>
      </c>
      <c r="DH145" s="21">
        <f>EXP(-LN(2)/2)*DH144+(1-EXP(-LN(2)/2))/(LN(2)/2)*DB145*DE145*VLOOKUP('Données projet'!$B$13,Paramètres!$A$1:$I$89,3,0)*0.475*44/12</f>
        <v>0</v>
      </c>
      <c r="DI145" s="22">
        <f t="shared" si="123"/>
        <v>11.644461189470622</v>
      </c>
      <c r="DJ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19.8100000000004</v>
      </c>
      <c r="DP145" s="17">
        <f>DO145*VLOOKUP('Données projet'!$B$14,Paramètres!$A$1:$I$89,3,0)*VLOOKUP('Données projet'!$B$14,Paramètres!$A$1:$I$89,5,0)</f>
        <v>13.288548000000269</v>
      </c>
      <c r="DQ145" s="13">
        <f t="shared" si="151"/>
        <v>4.531654695205642</v>
      </c>
      <c r="DR145" s="20">
        <f t="shared" si="124"/>
        <v>31.036853027483627</v>
      </c>
      <c r="DS145" s="59">
        <f t="shared" si="125"/>
        <v>316.73201053054271</v>
      </c>
      <c r="DT145" s="59">
        <f ca="1">AVERAGE(OFFSET($DS$3,0,0,'Données projet'!$E$14+1,1))-AVERAGE(OFFSET($H$3,0,0,'Données projet'!$E$14+1,1))</f>
        <v>441.20130048888439</v>
      </c>
      <c r="DU145" s="59">
        <f t="shared" si="152"/>
        <v>237.47732532183946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203.63297747324336</v>
      </c>
      <c r="EB145" s="21">
        <f>EXP(-LN(2)/25)*EB144+(1-EXP(-LN(2)/25))/(LN(2)/25)*Calculateur!DW145*Calculateur!DY145*VLOOKUP('Données projet'!$B$14,Paramètres!$A$1:$I$89,3,0)*0.475*44/12</f>
        <v>0</v>
      </c>
      <c r="EC145" s="21">
        <f>EXP(-LN(2)/2)*EC144+(1-EXP(-LN(2)/2))/(LN(2)/2)*DW145*DZ145*VLOOKUP('Données projet'!$B$14,Paramètres!$A$1:$I$89,3,0)*0.475*44/12</f>
        <v>0</v>
      </c>
      <c r="ED145" s="22">
        <f t="shared" si="126"/>
        <v>203.63297747324336</v>
      </c>
      <c r="EE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319</v>
      </c>
      <c r="EK145" s="17">
        <f>EJ145*VLOOKUP('Données projet'!$B$15,Paramètres!$A$1:$I$89,3,0)*VLOOKUP('Données projet'!$B$15,Paramètres!$A$1:$I$89,5,0)</f>
        <v>253.79640000000001</v>
      </c>
      <c r="EL145" s="13">
        <f t="shared" si="153"/>
        <v>61.39816832228076</v>
      </c>
      <c r="EM145" s="20">
        <f t="shared" si="127"/>
        <v>548.96387316130563</v>
      </c>
      <c r="EN145" s="59">
        <f t="shared" si="128"/>
        <v>834.65903066436476</v>
      </c>
      <c r="EO145" s="59">
        <f ca="1">AVERAGE(OFFSET($EN$3,0,0,'Données projet'!$E$15+1,1))-AVERAGE(OFFSET($H$3,0,0,'Données projet'!$E$15+1,1))</f>
        <v>377.27600411578322</v>
      </c>
      <c r="EP145" s="59">
        <f t="shared" si="154"/>
        <v>364.58250627635425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>
        <f>EXP(-LN(2)/35)*EV144+(1-EXP(-LN(2)/35))/(LN(2)/35)*ER145*ES145*VLOOKUP('Données projet'!$B$15,Paramètres!$A$1:$I$89,3,0)*0.475*44/12</f>
        <v>15.573962689331555</v>
      </c>
      <c r="EW145" s="21">
        <f>EXP(-LN(2)/25)*EW144+(1-EXP(-LN(2)/25))/(LN(2)/25)*Calculateur!ER145*Calculateur!ET145*VLOOKUP('Données projet'!$B$15,Paramètres!$A$1:$I$89,3,0)*0.475*44/12</f>
        <v>0</v>
      </c>
      <c r="EX145" s="21">
        <f>EXP(-LN(2)/2)*EX144+(1-EXP(-LN(2)/2))/(LN(2)/2)*ER145*EU145*VLOOKUP('Données projet'!$B$15,Paramètres!$A$1:$I$89,3,0)*0.475*44/12</f>
        <v>0</v>
      </c>
      <c r="EY145" s="22">
        <f t="shared" si="129"/>
        <v>15.573962689331555</v>
      </c>
      <c r="EZ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319</v>
      </c>
      <c r="FF145" s="17">
        <f>FE145*VLOOKUP('Données projet'!$B$16,Paramètres!$A$1:$I$89,3,0)*VLOOKUP('Données projet'!$B$16,Paramètres!$A$1:$I$89,5,0)</f>
        <v>258.77280000000002</v>
      </c>
      <c r="FG145" s="13">
        <f t="shared" si="155"/>
        <v>62.460716522234691</v>
      </c>
      <c r="FH145" s="20">
        <f t="shared" si="130"/>
        <v>559.48170794289206</v>
      </c>
      <c r="FI145" s="59">
        <f t="shared" si="131"/>
        <v>845.17686544595108</v>
      </c>
      <c r="FJ145" s="59">
        <f ca="1">AVERAGE(OFFSET($FI$3,0,0,'Données projet'!$E$16+1,1))-AVERAGE(OFFSET($H$3,0,0,'Données projet'!$E$16+1,1))</f>
        <v>383.47399633251354</v>
      </c>
      <c r="FK145" s="59">
        <f t="shared" si="156"/>
        <v>370.49129421395628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>
        <f>EXP(-LN(2)/35)*FQ144+(1-EXP(-LN(2)/35))/(LN(2)/35)*FM145*FN145*VLOOKUP('Données projet'!$B$16,Paramètres!$A$1:$I$89,3,0)*0.475*44/12</f>
        <v>15.87933450676945</v>
      </c>
      <c r="FR145" s="21">
        <f>EXP(-LN(2)/25)*FR144+(1-EXP(-LN(2)/25))/(LN(2)/25)*Calculateur!FM145*Calculateur!FO145*VLOOKUP('Données projet'!$B$16,Paramètres!$A$1:$I$89,3,0)*0.475*44/12</f>
        <v>0</v>
      </c>
      <c r="FS145" s="21">
        <f>EXP(-LN(2)/2)*FS144+(1-EXP(-LN(2)/2))/(LN(2)/2)*FM145*FP145*VLOOKUP('Données projet'!$B$16,Paramètres!$A$1:$I$89,3,0)*0.475*44/12</f>
        <v>0</v>
      </c>
      <c r="FT145" s="22">
        <f t="shared" si="132"/>
        <v>15.87933450676945</v>
      </c>
      <c r="FU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19.8100000000004</v>
      </c>
      <c r="GA145" s="17">
        <f>FZ145*VLOOKUP('Données projet'!$B$17,Paramètres!$A$1:$I$89,3,0)*VLOOKUP('Données projet'!$B$17,Paramètres!$A$1:$I$89,5,0)</f>
        <v>18.851196000000382</v>
      </c>
      <c r="GB145" s="13">
        <f t="shared" si="157"/>
        <v>6.172221809210666</v>
      </c>
      <c r="GC145" s="20">
        <f t="shared" si="133"/>
        <v>43.582452684375909</v>
      </c>
      <c r="GD145" s="59">
        <f t="shared" si="134"/>
        <v>329.27761018743502</v>
      </c>
      <c r="GE145" s="59">
        <f ca="1">AVERAGE(OFFSET($GD$3,0,0,'Données projet'!$E$17+1,1))-AVERAGE(OFFSET($H$3,0,0,'Données projet'!$E$17+1,1))</f>
        <v>592.58528889137358</v>
      </c>
      <c r="GF145" s="59">
        <f t="shared" si="158"/>
        <v>311.31528020403709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>
        <f>EXP(-LN(2)/35)*GL144+(1-EXP(-LN(2)/35))/(LN(2)/35)*GH145*GI145*VLOOKUP('Données projet'!$B$17,Paramètres!$A$1:$I$89,3,0)*0.475*44/12</f>
        <v>234.37003067675184</v>
      </c>
      <c r="GM145" s="21">
        <f>EXP(-LN(2)/25)*GM144+(1-EXP(-LN(2)/25))/(LN(2)/25)*Calculateur!GH145*Calculateur!GJ145*VLOOKUP('Données projet'!$B$17,Paramètres!$A$1:$I$89,3,0)*0.475*44/12</f>
        <v>0</v>
      </c>
      <c r="GN145" s="21">
        <f>EXP(-LN(2)/2)*GN144+(1-EXP(-LN(2)/2))/(LN(2)/2)*GH145*GK145*VLOOKUP('Données projet'!$B$17,Paramètres!$A$1:$I$89,3,0)*0.475*44/12</f>
        <v>0</v>
      </c>
      <c r="GO145" s="21">
        <f t="shared" si="135"/>
        <v>234.37003067675184</v>
      </c>
      <c r="GP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328.00000000000006</v>
      </c>
      <c r="GV145" s="17">
        <f>GU145*VLOOKUP('Données projet'!$B$18,Paramètres!$A$1:$I$89,3,0)*VLOOKUP('Données projet'!$B$18,Paramètres!$A$1:$I$89,5,0)</f>
        <v>255.84000000000006</v>
      </c>
      <c r="GW145" s="13">
        <f t="shared" si="159"/>
        <v>61.834803371075836</v>
      </c>
      <c r="GX145" s="20">
        <f t="shared" si="136"/>
        <v>553.28361587129041</v>
      </c>
      <c r="GY145" s="59">
        <f t="shared" si="137"/>
        <v>838.97877337434943</v>
      </c>
      <c r="GZ145" s="59">
        <f ca="1">AVERAGE(OFFSET($GY$3,0,0,'Données projet'!$E$18+1,1))-AVERAGE(OFFSET($H$3,0,0,'Données projet'!$E$18+1,1))</f>
        <v>308.85018589589453</v>
      </c>
      <c r="HA145" s="59">
        <f t="shared" si="160"/>
        <v>302.59481222418219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>
        <f>EXP(-LN(2)/35)*HG144+(1-EXP(-LN(2)/35))/(LN(2)/35)*HC145*HD145*VLOOKUP('Données projet'!$B$18,Paramètres!$A$1:$I$89,3,0)*0.475*44/12</f>
        <v>11.868540131045782</v>
      </c>
      <c r="HH145" s="21">
        <f>EXP(-LN(2)/25)*HH144+(1-EXP(-LN(2)/25))/(LN(2)/25)*Calculateur!HC145*Calculateur!HE145*VLOOKUP('Données projet'!$B$18,Paramètres!$A$1:$I$89,3,0)*0.475*44/12</f>
        <v>0</v>
      </c>
      <c r="HI145" s="21">
        <f>EXP(-LN(2)/2)*HI144+(1-EXP(-LN(2)/2))/(LN(2)/2)*HC145*HF145*VLOOKUP('Données projet'!$B$18,Paramètres!$A$1:$I$89,3,0)*0.475*44/12</f>
        <v>0</v>
      </c>
      <c r="HJ145" s="22">
        <f t="shared" si="138"/>
        <v>11.868540131045782</v>
      </c>
    </row>
    <row r="146" spans="1:218" x14ac:dyDescent="0.35">
      <c r="A146" s="10">
        <f t="shared" si="139"/>
        <v>143</v>
      </c>
      <c r="B146" s="72">
        <f>'Scénario référence'!$B$16*5+'Scénario référence'!$B$17*0+'Scénario référence'!$B$18*5</f>
        <v>5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66">
        <f t="shared" si="110"/>
        <v>183.33333333333334</v>
      </c>
      <c r="I146" s="6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19.8100000000004</v>
      </c>
      <c r="O146" s="13">
        <f>N146*VLOOKUP('Données projet'!$B$9,Paramètres!$A$1:$I$89,3,0)*VLOOKUP('Données projet'!$B$9,Paramètres!$A$1:$I$89,5,0)</f>
        <v>17.924088000000364</v>
      </c>
      <c r="P146" s="13">
        <f t="shared" si="141"/>
        <v>5.9032212091029486</v>
      </c>
      <c r="Q146" s="20">
        <f t="shared" si="108"/>
        <v>41.499230205854936</v>
      </c>
      <c r="R146" s="59">
        <f t="shared" si="109"/>
        <v>327.32689298316637</v>
      </c>
      <c r="S146" s="59">
        <f ca="1">AVERAGE(OFFSET($R$3,0,0,'Données projet'!$E$9+1,1))-AVERAGE(OFFSET($H$3,0,0,'Données projet'!$E$9+1,1))</f>
        <v>567.42635821507474</v>
      </c>
      <c r="T146" s="59">
        <f t="shared" si="142"/>
        <v>299.04735309930152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218.47380795005699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218.47380795005699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19.8100000000004</v>
      </c>
      <c r="AJ146" s="13">
        <f>AI146*VLOOKUP('Données projet'!$B$10,Paramètres!$A$1:$I$89,3,0)*VLOOKUP('Données projet'!$B$10,Paramètres!$A$1:$I$89,5,0)</f>
        <v>20.08734000000041</v>
      </c>
      <c r="AK146" s="13">
        <f t="shared" si="143"/>
        <v>6.5285137703520215</v>
      </c>
      <c r="AL146" s="20">
        <f t="shared" si="112"/>
        <v>46.355945316697152</v>
      </c>
      <c r="AM146" s="59">
        <f t="shared" si="113"/>
        <v>332.1836080940086</v>
      </c>
      <c r="AN146" s="59">
        <f ca="1">AVERAGE(OFFSET($AM$3,0,0,'Données projet'!$E$10+1,1))-AVERAGE(OFFSET($H$3,0,0,'Données projet'!$E$10+1,1))</f>
        <v>626.09203985591455</v>
      </c>
      <c r="AO146" s="59">
        <f t="shared" si="144"/>
        <v>327.65191296575199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244.84133649575355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244.84133649575355</v>
      </c>
      <c r="AY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404.00000000000017</v>
      </c>
      <c r="BE146" s="13">
        <f>BD146*VLOOKUP('Données projet'!$B$11,Paramètres!$A$1:$I$89,3,0)*VLOOKUP('Données projet'!$B$11,Paramètres!$A$1:$I$89,5,0)</f>
        <v>346.63200000000018</v>
      </c>
      <c r="BF146" s="13">
        <f t="shared" si="145"/>
        <v>80.868615263336864</v>
      </c>
      <c r="BG146" s="20">
        <f t="shared" si="115"/>
        <v>744.56357158364528</v>
      </c>
      <c r="BH146" s="59">
        <f t="shared" si="116"/>
        <v>1030.3912343609568</v>
      </c>
      <c r="BI146" s="59">
        <f ca="1">AVERAGE(OFFSET($BH$3,0,0,'Données projet'!$E$11+1,1))-AVERAGE(OFFSET($H$3,0,0,'Données projet'!$E$11+1,1))</f>
        <v>481.23392184981651</v>
      </c>
      <c r="BJ146" s="59">
        <f t="shared" si="146"/>
        <v>275.88160405468193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63.38520752866863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63.38520752866863</v>
      </c>
      <c r="BT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5.2499999999990337</v>
      </c>
      <c r="BZ146" s="13">
        <f>BY146*VLOOKUP('Données projet'!$B$12,Paramètres!$A$1:$I$89,3,0)*VLOOKUP('Données projet'!$B$12,Paramètres!$A$1:$I$89,5,0)</f>
        <v>2.4569999999995478</v>
      </c>
      <c r="CA146" s="13">
        <f t="shared" si="147"/>
        <v>1.0197977774625564</v>
      </c>
      <c r="CB146" s="20">
        <f t="shared" si="118"/>
        <v>6.0554227957464972</v>
      </c>
      <c r="CC146" s="59">
        <f t="shared" si="119"/>
        <v>291.88308557305794</v>
      </c>
      <c r="CD146" s="59">
        <f ca="1">AVERAGE(OFFSET($CC$3,0,0,'Données projet'!$E$12+1,1))-AVERAGE(OFFSET($H$3,0,0,'Données projet'!$E$12+1,1))</f>
        <v>331.86732359395467</v>
      </c>
      <c r="CE146" s="59">
        <f t="shared" si="148"/>
        <v>208.64489375183106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123.87365057182116</v>
      </c>
      <c r="CL146" s="21">
        <f>EXP(-LN(2)/25)*CL145+(1-EXP(-LN(2)/25))/(LN(2)/25)*Calculateur!CG146*Calculateur!CI146*VLOOKUP('Données projet'!$B$12,Paramètres!$A$1:$I$89,3,0)*0.475*44/12</f>
        <v>0</v>
      </c>
      <c r="CM146" s="21">
        <f>EXP(-LN(2)/2)*CM145+(1-EXP(-LN(2)/2))/(LN(2)/2)*CG146*CJ146*VLOOKUP('Données projet'!$B$12,Paramètres!$A$1:$I$89,3,0)*0.475*44/12</f>
        <v>0</v>
      </c>
      <c r="CN146" s="22">
        <f t="shared" si="120"/>
        <v>123.87365057182116</v>
      </c>
      <c r="CO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319</v>
      </c>
      <c r="CU146" s="17">
        <f>CT146*VLOOKUP('Données projet'!$B$13,Paramètres!$A$1:$I$89,3,0)*VLOOKUP('Données projet'!$B$13,Paramètres!$A$1:$I$89,5,0)</f>
        <v>233.89079999999998</v>
      </c>
      <c r="CV146" s="13">
        <f t="shared" si="149"/>
        <v>57.123140349023068</v>
      </c>
      <c r="CW146" s="20">
        <f t="shared" si="121"/>
        <v>506.84927944121517</v>
      </c>
      <c r="CX146" s="59">
        <f t="shared" si="122"/>
        <v>792.67694221852662</v>
      </c>
      <c r="CY146" s="59">
        <f ca="1">AVERAGE(OFFSET($CX$3,0,0,'Données projet'!$E$13+1,1))-AVERAGE(OFFSET($H$3,0,0,'Données projet'!$E$13+1,1))</f>
        <v>352.45777291109863</v>
      </c>
      <c r="CZ146" s="59">
        <f t="shared" si="150"/>
        <v>340.92165104349181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11.416120407965122</v>
      </c>
      <c r="DG146" s="21">
        <f>EXP(-LN(2)/25)*DG145+(1-EXP(-LN(2)/25))/(LN(2)/25)*Calculateur!DB146*Calculateur!DD146*VLOOKUP('Données projet'!$B$13,Paramètres!$A$1:$I$89,3,0)*0.475*44/12</f>
        <v>0</v>
      </c>
      <c r="DH146" s="21">
        <f>EXP(-LN(2)/2)*DH145+(1-EXP(-LN(2)/2))/(LN(2)/2)*DB146*DE146*VLOOKUP('Données projet'!$B$13,Paramètres!$A$1:$I$89,3,0)*0.475*44/12</f>
        <v>0</v>
      </c>
      <c r="DI146" s="22">
        <f t="shared" si="123"/>
        <v>11.416120407965122</v>
      </c>
      <c r="DJ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19.8100000000004</v>
      </c>
      <c r="DP146" s="17">
        <f>DO146*VLOOKUP('Données projet'!$B$14,Paramètres!$A$1:$I$89,3,0)*VLOOKUP('Données projet'!$B$14,Paramètres!$A$1:$I$89,5,0)</f>
        <v>13.288548000000269</v>
      </c>
      <c r="DQ146" s="13">
        <f t="shared" si="151"/>
        <v>4.531654695205642</v>
      </c>
      <c r="DR146" s="20">
        <f t="shared" si="124"/>
        <v>31.036853027483627</v>
      </c>
      <c r="DS146" s="59">
        <f t="shared" si="125"/>
        <v>316.86451580479508</v>
      </c>
      <c r="DT146" s="59">
        <f ca="1">AVERAGE(OFFSET($DS$3,0,0,'Données projet'!$E$14+1,1))-AVERAGE(OFFSET($H$3,0,0,'Données projet'!$E$14+1,1))</f>
        <v>441.20130048888439</v>
      </c>
      <c r="DU146" s="59">
        <f t="shared" si="152"/>
        <v>237.47732532183946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199.63985898884519</v>
      </c>
      <c r="EB146" s="21">
        <f>EXP(-LN(2)/25)*EB145+(1-EXP(-LN(2)/25))/(LN(2)/25)*Calculateur!DW146*Calculateur!DY146*VLOOKUP('Données projet'!$B$14,Paramètres!$A$1:$I$89,3,0)*0.475*44/12</f>
        <v>0</v>
      </c>
      <c r="EC146" s="21">
        <f>EXP(-LN(2)/2)*EC145+(1-EXP(-LN(2)/2))/(LN(2)/2)*DW146*DZ146*VLOOKUP('Données projet'!$B$14,Paramètres!$A$1:$I$89,3,0)*0.475*44/12</f>
        <v>0</v>
      </c>
      <c r="ED146" s="22">
        <f t="shared" si="126"/>
        <v>199.63985898884519</v>
      </c>
      <c r="EE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319</v>
      </c>
      <c r="EK146" s="17">
        <f>EJ146*VLOOKUP('Données projet'!$B$15,Paramètres!$A$1:$I$89,3,0)*VLOOKUP('Données projet'!$B$15,Paramètres!$A$1:$I$89,5,0)</f>
        <v>253.79640000000001</v>
      </c>
      <c r="EL146" s="13">
        <f t="shared" si="153"/>
        <v>61.39816832228076</v>
      </c>
      <c r="EM146" s="20">
        <f t="shared" si="127"/>
        <v>548.96387316130563</v>
      </c>
      <c r="EN146" s="59">
        <f t="shared" si="128"/>
        <v>834.79153593861702</v>
      </c>
      <c r="EO146" s="59">
        <f ca="1">AVERAGE(OFFSET($EN$3,0,0,'Données projet'!$E$15+1,1))-AVERAGE(OFFSET($H$3,0,0,'Données projet'!$E$15+1,1))</f>
        <v>377.27600411578322</v>
      </c>
      <c r="EP146" s="59">
        <f t="shared" si="154"/>
        <v>364.58250627635425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>
        <f>EXP(-LN(2)/35)*EV145+(1-EXP(-LN(2)/35))/(LN(2)/35)*ER146*ES146*VLOOKUP('Données projet'!$B$15,Paramètres!$A$1:$I$89,3,0)*0.475*44/12</f>
        <v>15.268566780173037</v>
      </c>
      <c r="EW146" s="21">
        <f>EXP(-LN(2)/25)*EW145+(1-EXP(-LN(2)/25))/(LN(2)/25)*Calculateur!ER146*Calculateur!ET146*VLOOKUP('Données projet'!$B$15,Paramètres!$A$1:$I$89,3,0)*0.475*44/12</f>
        <v>0</v>
      </c>
      <c r="EX146" s="21">
        <f>EXP(-LN(2)/2)*EX145+(1-EXP(-LN(2)/2))/(LN(2)/2)*ER146*EU146*VLOOKUP('Données projet'!$B$15,Paramètres!$A$1:$I$89,3,0)*0.475*44/12</f>
        <v>0</v>
      </c>
      <c r="EY146" s="22">
        <f t="shared" si="129"/>
        <v>15.268566780173037</v>
      </c>
      <c r="EZ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319</v>
      </c>
      <c r="FF146" s="17">
        <f>FE146*VLOOKUP('Données projet'!$B$16,Paramètres!$A$1:$I$89,3,0)*VLOOKUP('Données projet'!$B$16,Paramètres!$A$1:$I$89,5,0)</f>
        <v>258.77280000000002</v>
      </c>
      <c r="FG146" s="13">
        <f t="shared" si="155"/>
        <v>62.460716522234691</v>
      </c>
      <c r="FH146" s="20">
        <f t="shared" si="130"/>
        <v>559.48170794289206</v>
      </c>
      <c r="FI146" s="59">
        <f t="shared" si="131"/>
        <v>845.30937072020356</v>
      </c>
      <c r="FJ146" s="59">
        <f ca="1">AVERAGE(OFFSET($FI$3,0,0,'Données projet'!$E$16+1,1))-AVERAGE(OFFSET($H$3,0,0,'Données projet'!$E$16+1,1))</f>
        <v>383.47399633251354</v>
      </c>
      <c r="FK146" s="59">
        <f t="shared" si="156"/>
        <v>370.49129421395628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>
        <f>EXP(-LN(2)/35)*FQ145+(1-EXP(-LN(2)/35))/(LN(2)/35)*FM146*FN146*VLOOKUP('Données projet'!$B$16,Paramètres!$A$1:$I$89,3,0)*0.475*44/12</f>
        <v>15.567950442529392</v>
      </c>
      <c r="FR146" s="21">
        <f>EXP(-LN(2)/25)*FR145+(1-EXP(-LN(2)/25))/(LN(2)/25)*Calculateur!FM146*Calculateur!FO146*VLOOKUP('Données projet'!$B$16,Paramètres!$A$1:$I$89,3,0)*0.475*44/12</f>
        <v>0</v>
      </c>
      <c r="FS146" s="21">
        <f>EXP(-LN(2)/2)*FS145+(1-EXP(-LN(2)/2))/(LN(2)/2)*FM146*FP146*VLOOKUP('Données projet'!$B$16,Paramètres!$A$1:$I$89,3,0)*0.475*44/12</f>
        <v>0</v>
      </c>
      <c r="FT146" s="22">
        <f t="shared" si="132"/>
        <v>15.567950442529392</v>
      </c>
      <c r="FU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19.8100000000004</v>
      </c>
      <c r="GA146" s="17">
        <f>FZ146*VLOOKUP('Données projet'!$B$17,Paramètres!$A$1:$I$89,3,0)*VLOOKUP('Données projet'!$B$17,Paramètres!$A$1:$I$89,5,0)</f>
        <v>18.851196000000382</v>
      </c>
      <c r="GB146" s="13">
        <f t="shared" si="157"/>
        <v>6.172221809210666</v>
      </c>
      <c r="GC146" s="20">
        <f t="shared" si="133"/>
        <v>43.582452684375909</v>
      </c>
      <c r="GD146" s="59">
        <f t="shared" si="134"/>
        <v>329.41011546168738</v>
      </c>
      <c r="GE146" s="59">
        <f ca="1">AVERAGE(OFFSET($GD$3,0,0,'Données projet'!$E$17+1,1))-AVERAGE(OFFSET($H$3,0,0,'Données projet'!$E$17+1,1))</f>
        <v>592.58528889137358</v>
      </c>
      <c r="GF146" s="59">
        <f t="shared" si="158"/>
        <v>311.31528020403709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>
        <f>EXP(-LN(2)/35)*GL145+(1-EXP(-LN(2)/35))/(LN(2)/35)*GH146*GI146*VLOOKUP('Données projet'!$B$17,Paramètres!$A$1:$I$89,3,0)*0.475*44/12</f>
        <v>229.77417732678416</v>
      </c>
      <c r="GM146" s="21">
        <f>EXP(-LN(2)/25)*GM145+(1-EXP(-LN(2)/25))/(LN(2)/25)*Calculateur!GH146*Calculateur!GJ146*VLOOKUP('Données projet'!$B$17,Paramètres!$A$1:$I$89,3,0)*0.475*44/12</f>
        <v>0</v>
      </c>
      <c r="GN146" s="21">
        <f>EXP(-LN(2)/2)*GN145+(1-EXP(-LN(2)/2))/(LN(2)/2)*GH146*GK146*VLOOKUP('Données projet'!$B$17,Paramètres!$A$1:$I$89,3,0)*0.475*44/12</f>
        <v>0</v>
      </c>
      <c r="GO146" s="21">
        <f t="shared" si="135"/>
        <v>229.77417732678416</v>
      </c>
      <c r="GP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328.00000000000006</v>
      </c>
      <c r="GV146" s="17">
        <f>GU146*VLOOKUP('Données projet'!$B$18,Paramètres!$A$1:$I$89,3,0)*VLOOKUP('Données projet'!$B$18,Paramètres!$A$1:$I$89,5,0)</f>
        <v>255.84000000000006</v>
      </c>
      <c r="GW146" s="13">
        <f t="shared" si="159"/>
        <v>61.834803371075836</v>
      </c>
      <c r="GX146" s="20">
        <f t="shared" si="136"/>
        <v>553.28361587129041</v>
      </c>
      <c r="GY146" s="59">
        <f t="shared" si="137"/>
        <v>839.11127864860191</v>
      </c>
      <c r="GZ146" s="59">
        <f ca="1">AVERAGE(OFFSET($GY$3,0,0,'Données projet'!$E$18+1,1))-AVERAGE(OFFSET($H$3,0,0,'Données projet'!$E$18+1,1))</f>
        <v>308.85018589589453</v>
      </c>
      <c r="HA146" s="59">
        <f t="shared" si="160"/>
        <v>302.59481222418219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>
        <f>EXP(-LN(2)/35)*HG145+(1-EXP(-LN(2)/35))/(LN(2)/35)*HC146*HD146*VLOOKUP('Données projet'!$B$18,Paramètres!$A$1:$I$89,3,0)*0.475*44/12</f>
        <v>11.635805298170652</v>
      </c>
      <c r="HH146" s="21">
        <f>EXP(-LN(2)/25)*HH145+(1-EXP(-LN(2)/25))/(LN(2)/25)*Calculateur!HC146*Calculateur!HE146*VLOOKUP('Données projet'!$B$18,Paramètres!$A$1:$I$89,3,0)*0.475*44/12</f>
        <v>0</v>
      </c>
      <c r="HI146" s="21">
        <f>EXP(-LN(2)/2)*HI145+(1-EXP(-LN(2)/2))/(LN(2)/2)*HC146*HF146*VLOOKUP('Données projet'!$B$18,Paramètres!$A$1:$I$89,3,0)*0.475*44/12</f>
        <v>0</v>
      </c>
      <c r="HJ146" s="22">
        <f t="shared" si="138"/>
        <v>11.635805298170652</v>
      </c>
    </row>
    <row r="147" spans="1:218" x14ac:dyDescent="0.35">
      <c r="A147" s="10">
        <f t="shared" si="139"/>
        <v>144</v>
      </c>
      <c r="B147" s="72">
        <f>'Scénario référence'!$B$16*5+'Scénario référence'!$B$17*0+'Scénario référence'!$B$18*5</f>
        <v>5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66">
        <f t="shared" si="110"/>
        <v>183.33333333333334</v>
      </c>
      <c r="I147" s="6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19.8100000000004</v>
      </c>
      <c r="O147" s="13">
        <f>N147*VLOOKUP('Données projet'!$B$9,Paramètres!$A$1:$I$89,3,0)*VLOOKUP('Données projet'!$B$9,Paramètres!$A$1:$I$89,5,0)</f>
        <v>17.924088000000364</v>
      </c>
      <c r="P147" s="13">
        <f t="shared" si="141"/>
        <v>5.9032212091029486</v>
      </c>
      <c r="Q147" s="20">
        <f t="shared" si="108"/>
        <v>41.499230205854936</v>
      </c>
      <c r="R147" s="59">
        <f t="shared" si="109"/>
        <v>327.45709958714781</v>
      </c>
      <c r="S147" s="59">
        <f ca="1">AVERAGE(OFFSET($R$3,0,0,'Données projet'!$E$9+1,1))-AVERAGE(OFFSET($H$3,0,0,'Données projet'!$E$9+1,1))</f>
        <v>567.42635821507474</v>
      </c>
      <c r="T147" s="59">
        <f t="shared" si="142"/>
        <v>299.04735309930152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214.18966983202131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214.18966983202131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19.8100000000004</v>
      </c>
      <c r="AJ147" s="13">
        <f>AI147*VLOOKUP('Données projet'!$B$10,Paramètres!$A$1:$I$89,3,0)*VLOOKUP('Données projet'!$B$10,Paramètres!$A$1:$I$89,5,0)</f>
        <v>20.08734000000041</v>
      </c>
      <c r="AK147" s="13">
        <f t="shared" si="143"/>
        <v>6.5285137703520215</v>
      </c>
      <c r="AL147" s="20">
        <f t="shared" si="112"/>
        <v>46.355945316697152</v>
      </c>
      <c r="AM147" s="59">
        <f t="shared" si="113"/>
        <v>332.31381469799004</v>
      </c>
      <c r="AN147" s="59">
        <f ca="1">AVERAGE(OFFSET($AM$3,0,0,'Données projet'!$E$10+1,1))-AVERAGE(OFFSET($H$3,0,0,'Données projet'!$E$10+1,1))</f>
        <v>626.09203985591455</v>
      </c>
      <c r="AO147" s="59">
        <f t="shared" si="144"/>
        <v>327.65191296575199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240.04014722554115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240.04014722554115</v>
      </c>
      <c r="AY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404.00000000000017</v>
      </c>
      <c r="BE147" s="13">
        <f>BD147*VLOOKUP('Données projet'!$B$11,Paramètres!$A$1:$I$89,3,0)*VLOOKUP('Données projet'!$B$11,Paramètres!$A$1:$I$89,5,0)</f>
        <v>346.63200000000018</v>
      </c>
      <c r="BF147" s="13">
        <f t="shared" si="145"/>
        <v>80.868615263336864</v>
      </c>
      <c r="BG147" s="20">
        <f t="shared" si="115"/>
        <v>744.56357158364528</v>
      </c>
      <c r="BH147" s="59">
        <f t="shared" si="116"/>
        <v>1030.5214409649382</v>
      </c>
      <c r="BI147" s="59">
        <f ca="1">AVERAGE(OFFSET($BH$3,0,0,'Données projet'!$E$11+1,1))-AVERAGE(OFFSET($H$3,0,0,'Données projet'!$E$11+1,1))</f>
        <v>481.23392184981651</v>
      </c>
      <c r="BJ147" s="59">
        <f t="shared" si="146"/>
        <v>275.88160405468193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62.142262270190557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62.142262270190557</v>
      </c>
      <c r="BT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5.2499999999990337</v>
      </c>
      <c r="BZ147" s="13">
        <f>BY147*VLOOKUP('Données projet'!$B$12,Paramètres!$A$1:$I$89,3,0)*VLOOKUP('Données projet'!$B$12,Paramètres!$A$1:$I$89,5,0)</f>
        <v>2.4569999999995478</v>
      </c>
      <c r="CA147" s="13">
        <f t="shared" si="147"/>
        <v>1.0197977774625564</v>
      </c>
      <c r="CB147" s="20">
        <f t="shared" si="118"/>
        <v>6.0554227957464972</v>
      </c>
      <c r="CC147" s="59">
        <f t="shared" si="119"/>
        <v>292.01329217703938</v>
      </c>
      <c r="CD147" s="59">
        <f ca="1">AVERAGE(OFFSET($CC$3,0,0,'Données projet'!$E$12+1,1))-AVERAGE(OFFSET($H$3,0,0,'Données projet'!$E$12+1,1))</f>
        <v>331.86732359395467</v>
      </c>
      <c r="CE147" s="59">
        <f t="shared" si="148"/>
        <v>208.64489375183106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121.44456383957412</v>
      </c>
      <c r="CL147" s="21">
        <f>EXP(-LN(2)/25)*CL146+(1-EXP(-LN(2)/25))/(LN(2)/25)*Calculateur!CG147*Calculateur!CI147*VLOOKUP('Données projet'!$B$12,Paramètres!$A$1:$I$89,3,0)*0.475*44/12</f>
        <v>0</v>
      </c>
      <c r="CM147" s="21">
        <f>EXP(-LN(2)/2)*CM146+(1-EXP(-LN(2)/2))/(LN(2)/2)*CG147*CJ147*VLOOKUP('Données projet'!$B$12,Paramètres!$A$1:$I$89,3,0)*0.475*44/12</f>
        <v>0</v>
      </c>
      <c r="CN147" s="22">
        <f t="shared" si="120"/>
        <v>121.44456383957412</v>
      </c>
      <c r="CO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319</v>
      </c>
      <c r="CU147" s="17">
        <f>CT147*VLOOKUP('Données projet'!$B$13,Paramètres!$A$1:$I$89,3,0)*VLOOKUP('Données projet'!$B$13,Paramètres!$A$1:$I$89,5,0)</f>
        <v>233.89079999999998</v>
      </c>
      <c r="CV147" s="13">
        <f t="shared" si="149"/>
        <v>57.123140349023068</v>
      </c>
      <c r="CW147" s="20">
        <f t="shared" si="121"/>
        <v>506.84927944121517</v>
      </c>
      <c r="CX147" s="59">
        <f t="shared" si="122"/>
        <v>792.807148822508</v>
      </c>
      <c r="CY147" s="59">
        <f ca="1">AVERAGE(OFFSET($CX$3,0,0,'Données projet'!$E$13+1,1))-AVERAGE(OFFSET($H$3,0,0,'Données projet'!$E$13+1,1))</f>
        <v>352.45777291109863</v>
      </c>
      <c r="CZ147" s="59">
        <f t="shared" si="150"/>
        <v>340.92165104349181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11.192257249910822</v>
      </c>
      <c r="DG147" s="21">
        <f>EXP(-LN(2)/25)*DG146+(1-EXP(-LN(2)/25))/(LN(2)/25)*Calculateur!DB147*Calculateur!DD147*VLOOKUP('Données projet'!$B$13,Paramètres!$A$1:$I$89,3,0)*0.475*44/12</f>
        <v>0</v>
      </c>
      <c r="DH147" s="21">
        <f>EXP(-LN(2)/2)*DH146+(1-EXP(-LN(2)/2))/(LN(2)/2)*DB147*DE147*VLOOKUP('Données projet'!$B$13,Paramètres!$A$1:$I$89,3,0)*0.475*44/12</f>
        <v>0</v>
      </c>
      <c r="DI147" s="22">
        <f t="shared" si="123"/>
        <v>11.192257249910822</v>
      </c>
      <c r="DJ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19.8100000000004</v>
      </c>
      <c r="DP147" s="17">
        <f>DO147*VLOOKUP('Données projet'!$B$14,Paramètres!$A$1:$I$89,3,0)*VLOOKUP('Données projet'!$B$14,Paramètres!$A$1:$I$89,5,0)</f>
        <v>13.288548000000269</v>
      </c>
      <c r="DQ147" s="13">
        <f t="shared" si="151"/>
        <v>4.531654695205642</v>
      </c>
      <c r="DR147" s="20">
        <f t="shared" si="124"/>
        <v>31.036853027483627</v>
      </c>
      <c r="DS147" s="59">
        <f t="shared" si="125"/>
        <v>316.99472240877651</v>
      </c>
      <c r="DT147" s="59">
        <f ca="1">AVERAGE(OFFSET($DS$3,0,0,'Données projet'!$E$14+1,1))-AVERAGE(OFFSET($H$3,0,0,'Données projet'!$E$14+1,1))</f>
        <v>441.20130048888439</v>
      </c>
      <c r="DU147" s="59">
        <f t="shared" si="152"/>
        <v>237.47732532183946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195.7250431223643</v>
      </c>
      <c r="EB147" s="21">
        <f>EXP(-LN(2)/25)*EB146+(1-EXP(-LN(2)/25))/(LN(2)/25)*Calculateur!DW147*Calculateur!DY147*VLOOKUP('Données projet'!$B$14,Paramètres!$A$1:$I$89,3,0)*0.475*44/12</f>
        <v>0</v>
      </c>
      <c r="EC147" s="21">
        <f>EXP(-LN(2)/2)*EC146+(1-EXP(-LN(2)/2))/(LN(2)/2)*DW147*DZ147*VLOOKUP('Données projet'!$B$14,Paramètres!$A$1:$I$89,3,0)*0.475*44/12</f>
        <v>0</v>
      </c>
      <c r="ED147" s="22">
        <f t="shared" si="126"/>
        <v>195.7250431223643</v>
      </c>
      <c r="EE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319</v>
      </c>
      <c r="EK147" s="17">
        <f>EJ147*VLOOKUP('Données projet'!$B$15,Paramètres!$A$1:$I$89,3,0)*VLOOKUP('Données projet'!$B$15,Paramètres!$A$1:$I$89,5,0)</f>
        <v>253.79640000000001</v>
      </c>
      <c r="EL147" s="13">
        <f t="shared" si="153"/>
        <v>61.39816832228076</v>
      </c>
      <c r="EM147" s="20">
        <f t="shared" si="127"/>
        <v>548.96387316130563</v>
      </c>
      <c r="EN147" s="59">
        <f t="shared" si="128"/>
        <v>834.92174254259851</v>
      </c>
      <c r="EO147" s="59">
        <f ca="1">AVERAGE(OFFSET($EN$3,0,0,'Données projet'!$E$15+1,1))-AVERAGE(OFFSET($H$3,0,0,'Données projet'!$E$15+1,1))</f>
        <v>377.27600411578322</v>
      </c>
      <c r="EP147" s="59">
        <f t="shared" si="154"/>
        <v>364.58250627635425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>
        <f>EXP(-LN(2)/35)*EV146+(1-EXP(-LN(2)/35))/(LN(2)/35)*ER147*ES147*VLOOKUP('Données projet'!$B$15,Paramètres!$A$1:$I$89,3,0)*0.475*44/12</f>
        <v>14.969159498520007</v>
      </c>
      <c r="EW147" s="21">
        <f>EXP(-LN(2)/25)*EW146+(1-EXP(-LN(2)/25))/(LN(2)/25)*Calculateur!ER147*Calculateur!ET147*VLOOKUP('Données projet'!$B$15,Paramètres!$A$1:$I$89,3,0)*0.475*44/12</f>
        <v>0</v>
      </c>
      <c r="EX147" s="21">
        <f>EXP(-LN(2)/2)*EX146+(1-EXP(-LN(2)/2))/(LN(2)/2)*ER147*EU147*VLOOKUP('Données projet'!$B$15,Paramètres!$A$1:$I$89,3,0)*0.475*44/12</f>
        <v>0</v>
      </c>
      <c r="EY147" s="22">
        <f t="shared" si="129"/>
        <v>14.969159498520007</v>
      </c>
      <c r="EZ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319</v>
      </c>
      <c r="FF147" s="17">
        <f>FE147*VLOOKUP('Données projet'!$B$16,Paramètres!$A$1:$I$89,3,0)*VLOOKUP('Données projet'!$B$16,Paramètres!$A$1:$I$89,5,0)</f>
        <v>258.77280000000002</v>
      </c>
      <c r="FG147" s="13">
        <f t="shared" si="155"/>
        <v>62.460716522234691</v>
      </c>
      <c r="FH147" s="20">
        <f t="shared" si="130"/>
        <v>559.48170794289206</v>
      </c>
      <c r="FI147" s="59">
        <f t="shared" si="131"/>
        <v>845.43957732418494</v>
      </c>
      <c r="FJ147" s="59">
        <f ca="1">AVERAGE(OFFSET($FI$3,0,0,'Données projet'!$E$16+1,1))-AVERAGE(OFFSET($H$3,0,0,'Données projet'!$E$16+1,1))</f>
        <v>383.47399633251354</v>
      </c>
      <c r="FK147" s="59">
        <f t="shared" si="156"/>
        <v>370.49129421395628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>
        <f>EXP(-LN(2)/35)*FQ146+(1-EXP(-LN(2)/35))/(LN(2)/35)*FM147*FN147*VLOOKUP('Données projet'!$B$16,Paramètres!$A$1:$I$89,3,0)*0.475*44/12</f>
        <v>15.262672429863557</v>
      </c>
      <c r="FR147" s="21">
        <f>EXP(-LN(2)/25)*FR146+(1-EXP(-LN(2)/25))/(LN(2)/25)*Calculateur!FM147*Calculateur!FO147*VLOOKUP('Données projet'!$B$16,Paramètres!$A$1:$I$89,3,0)*0.475*44/12</f>
        <v>0</v>
      </c>
      <c r="FS147" s="21">
        <f>EXP(-LN(2)/2)*FS146+(1-EXP(-LN(2)/2))/(LN(2)/2)*FM147*FP147*VLOOKUP('Données projet'!$B$16,Paramètres!$A$1:$I$89,3,0)*0.475*44/12</f>
        <v>0</v>
      </c>
      <c r="FT147" s="22">
        <f t="shared" si="132"/>
        <v>15.262672429863557</v>
      </c>
      <c r="FU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19.8100000000004</v>
      </c>
      <c r="GA147" s="17">
        <f>FZ147*VLOOKUP('Données projet'!$B$17,Paramètres!$A$1:$I$89,3,0)*VLOOKUP('Données projet'!$B$17,Paramètres!$A$1:$I$89,5,0)</f>
        <v>18.851196000000382</v>
      </c>
      <c r="GB147" s="13">
        <f t="shared" si="157"/>
        <v>6.172221809210666</v>
      </c>
      <c r="GC147" s="20">
        <f t="shared" si="133"/>
        <v>43.582452684375909</v>
      </c>
      <c r="GD147" s="59">
        <f t="shared" si="134"/>
        <v>329.54032206566876</v>
      </c>
      <c r="GE147" s="59">
        <f ca="1">AVERAGE(OFFSET($GD$3,0,0,'Données projet'!$E$17+1,1))-AVERAGE(OFFSET($H$3,0,0,'Données projet'!$E$17+1,1))</f>
        <v>592.58528889137358</v>
      </c>
      <c r="GF147" s="59">
        <f t="shared" si="158"/>
        <v>311.31528020403709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>
        <f>EXP(-LN(2)/35)*GL146+(1-EXP(-LN(2)/35))/(LN(2)/35)*GH147*GI147*VLOOKUP('Données projet'!$B$17,Paramètres!$A$1:$I$89,3,0)*0.475*44/12</f>
        <v>225.26844585781558</v>
      </c>
      <c r="GM147" s="21">
        <f>EXP(-LN(2)/25)*GM146+(1-EXP(-LN(2)/25))/(LN(2)/25)*Calculateur!GH147*Calculateur!GJ147*VLOOKUP('Données projet'!$B$17,Paramètres!$A$1:$I$89,3,0)*0.475*44/12</f>
        <v>0</v>
      </c>
      <c r="GN147" s="21">
        <f>EXP(-LN(2)/2)*GN146+(1-EXP(-LN(2)/2))/(LN(2)/2)*GH147*GK147*VLOOKUP('Données projet'!$B$17,Paramètres!$A$1:$I$89,3,0)*0.475*44/12</f>
        <v>0</v>
      </c>
      <c r="GO147" s="21">
        <f t="shared" si="135"/>
        <v>225.26844585781558</v>
      </c>
      <c r="GP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328.00000000000006</v>
      </c>
      <c r="GV147" s="17">
        <f>GU147*VLOOKUP('Données projet'!$B$18,Paramètres!$A$1:$I$89,3,0)*VLOOKUP('Données projet'!$B$18,Paramètres!$A$1:$I$89,5,0)</f>
        <v>255.84000000000006</v>
      </c>
      <c r="GW147" s="13">
        <f t="shared" si="159"/>
        <v>61.834803371075836</v>
      </c>
      <c r="GX147" s="20">
        <f t="shared" si="136"/>
        <v>553.28361587129041</v>
      </c>
      <c r="GY147" s="59">
        <f t="shared" si="137"/>
        <v>839.24148525258329</v>
      </c>
      <c r="GZ147" s="59">
        <f ca="1">AVERAGE(OFFSET($GY$3,0,0,'Données projet'!$E$18+1,1))-AVERAGE(OFFSET($H$3,0,0,'Données projet'!$E$18+1,1))</f>
        <v>308.85018589589453</v>
      </c>
      <c r="HA147" s="59">
        <f t="shared" si="160"/>
        <v>302.59481222418219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>
        <f>EXP(-LN(2)/35)*HG146+(1-EXP(-LN(2)/35))/(LN(2)/35)*HC147*HD147*VLOOKUP('Données projet'!$B$18,Paramètres!$A$1:$I$89,3,0)*0.475*44/12</f>
        <v>11.407634253413972</v>
      </c>
      <c r="HH147" s="21">
        <f>EXP(-LN(2)/25)*HH146+(1-EXP(-LN(2)/25))/(LN(2)/25)*Calculateur!HC147*Calculateur!HE147*VLOOKUP('Données projet'!$B$18,Paramètres!$A$1:$I$89,3,0)*0.475*44/12</f>
        <v>0</v>
      </c>
      <c r="HI147" s="21">
        <f>EXP(-LN(2)/2)*HI146+(1-EXP(-LN(2)/2))/(LN(2)/2)*HC147*HF147*VLOOKUP('Données projet'!$B$18,Paramètres!$A$1:$I$89,3,0)*0.475*44/12</f>
        <v>0</v>
      </c>
      <c r="HJ147" s="22">
        <f t="shared" si="138"/>
        <v>11.407634253413972</v>
      </c>
    </row>
    <row r="148" spans="1:218" x14ac:dyDescent="0.35">
      <c r="A148" s="10">
        <f t="shared" si="139"/>
        <v>145</v>
      </c>
      <c r="B148" s="72">
        <f>'Scénario référence'!$B$16*5+'Scénario référence'!$B$17*0+'Scénario référence'!$B$18*5</f>
        <v>5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66">
        <f t="shared" si="110"/>
        <v>183.33333333333334</v>
      </c>
      <c r="I148" s="6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19.8100000000004</v>
      </c>
      <c r="O148" s="13">
        <f>N148*VLOOKUP('Données projet'!$B$9,Paramètres!$A$1:$I$89,3,0)*VLOOKUP('Données projet'!$B$9,Paramètres!$A$1:$I$89,5,0)</f>
        <v>17.924088000000364</v>
      </c>
      <c r="P148" s="13">
        <f t="shared" si="141"/>
        <v>5.9032212091029486</v>
      </c>
      <c r="Q148" s="20">
        <f t="shared" si="108"/>
        <v>41.499230205854936</v>
      </c>
      <c r="R148" s="59">
        <f t="shared" si="109"/>
        <v>327.58504739764851</v>
      </c>
      <c r="S148" s="59">
        <f ca="1">AVERAGE(OFFSET($R$3,0,0,'Données projet'!$E$9+1,1))-AVERAGE(OFFSET($H$3,0,0,'Données projet'!$E$9+1,1))</f>
        <v>567.42635821507474</v>
      </c>
      <c r="T148" s="59">
        <f t="shared" si="142"/>
        <v>299.04735309930152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209.98954104941407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209.98954104941407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19.8100000000004</v>
      </c>
      <c r="AJ148" s="13">
        <f>AI148*VLOOKUP('Données projet'!$B$10,Paramètres!$A$1:$I$89,3,0)*VLOOKUP('Données projet'!$B$10,Paramètres!$A$1:$I$89,5,0)</f>
        <v>20.08734000000041</v>
      </c>
      <c r="AK148" s="13">
        <f t="shared" si="143"/>
        <v>6.5285137703520215</v>
      </c>
      <c r="AL148" s="20">
        <f t="shared" si="112"/>
        <v>46.355945316697152</v>
      </c>
      <c r="AM148" s="59">
        <f t="shared" si="113"/>
        <v>332.44176250849074</v>
      </c>
      <c r="AN148" s="59">
        <f ca="1">AVERAGE(OFFSET($AM$3,0,0,'Données projet'!$E$10+1,1))-AVERAGE(OFFSET($H$3,0,0,'Données projet'!$E$10+1,1))</f>
        <v>626.09203985591455</v>
      </c>
      <c r="AO148" s="59">
        <f t="shared" si="144"/>
        <v>327.65191296575199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235.33310634848129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235.33310634848129</v>
      </c>
      <c r="AY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404.00000000000017</v>
      </c>
      <c r="BE148" s="13">
        <f>BD148*VLOOKUP('Données projet'!$B$11,Paramètres!$A$1:$I$89,3,0)*VLOOKUP('Données projet'!$B$11,Paramètres!$A$1:$I$89,5,0)</f>
        <v>346.63200000000018</v>
      </c>
      <c r="BF148" s="13">
        <f t="shared" si="145"/>
        <v>80.868615263336864</v>
      </c>
      <c r="BG148" s="20">
        <f t="shared" si="115"/>
        <v>744.56357158364528</v>
      </c>
      <c r="BH148" s="59">
        <f t="shared" si="116"/>
        <v>1030.6493887754389</v>
      </c>
      <c r="BI148" s="59">
        <f ca="1">AVERAGE(OFFSET($BH$3,0,0,'Données projet'!$E$11+1,1))-AVERAGE(OFFSET($H$3,0,0,'Données projet'!$E$11+1,1))</f>
        <v>481.23392184981651</v>
      </c>
      <c r="BJ148" s="59">
        <f t="shared" si="146"/>
        <v>275.88160405468193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60.923690410109494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60.923690410109494</v>
      </c>
      <c r="BT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5.2499999999990337</v>
      </c>
      <c r="BZ148" s="13">
        <f>BY148*VLOOKUP('Données projet'!$B$12,Paramètres!$A$1:$I$89,3,0)*VLOOKUP('Données projet'!$B$12,Paramètres!$A$1:$I$89,5,0)</f>
        <v>2.4569999999995478</v>
      </c>
      <c r="CA148" s="13">
        <f t="shared" si="147"/>
        <v>1.0197977774625564</v>
      </c>
      <c r="CB148" s="20">
        <f t="shared" si="118"/>
        <v>6.0554227957464972</v>
      </c>
      <c r="CC148" s="59">
        <f t="shared" si="119"/>
        <v>292.14123998754008</v>
      </c>
      <c r="CD148" s="59">
        <f ca="1">AVERAGE(OFFSET($CC$3,0,0,'Données projet'!$E$12+1,1))-AVERAGE(OFFSET($H$3,0,0,'Données projet'!$E$12+1,1))</f>
        <v>331.86732359395467</v>
      </c>
      <c r="CE148" s="59">
        <f t="shared" si="148"/>
        <v>208.64489375183106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119.06311001654983</v>
      </c>
      <c r="CL148" s="21">
        <f>EXP(-LN(2)/25)*CL147+(1-EXP(-LN(2)/25))/(LN(2)/25)*Calculateur!CG148*Calculateur!CI148*VLOOKUP('Données projet'!$B$12,Paramètres!$A$1:$I$89,3,0)*0.475*44/12</f>
        <v>0</v>
      </c>
      <c r="CM148" s="21">
        <f>EXP(-LN(2)/2)*CM147+(1-EXP(-LN(2)/2))/(LN(2)/2)*CG148*CJ148*VLOOKUP('Données projet'!$B$12,Paramètres!$A$1:$I$89,3,0)*0.475*44/12</f>
        <v>0</v>
      </c>
      <c r="CN148" s="22">
        <f t="shared" si="120"/>
        <v>119.06311001654983</v>
      </c>
      <c r="CO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319</v>
      </c>
      <c r="CU148" s="17">
        <f>CT148*VLOOKUP('Données projet'!$B$13,Paramètres!$A$1:$I$89,3,0)*VLOOKUP('Données projet'!$B$13,Paramètres!$A$1:$I$89,5,0)</f>
        <v>233.89079999999998</v>
      </c>
      <c r="CV148" s="13">
        <f t="shared" si="149"/>
        <v>57.123140349023068</v>
      </c>
      <c r="CW148" s="20">
        <f t="shared" si="121"/>
        <v>506.84927944121517</v>
      </c>
      <c r="CX148" s="59">
        <f t="shared" si="122"/>
        <v>792.9350966330087</v>
      </c>
      <c r="CY148" s="59">
        <f ca="1">AVERAGE(OFFSET($CX$3,0,0,'Données projet'!$E$13+1,1))-AVERAGE(OFFSET($H$3,0,0,'Données projet'!$E$13+1,1))</f>
        <v>352.45777291109863</v>
      </c>
      <c r="CZ148" s="59">
        <f t="shared" si="150"/>
        <v>340.92165104349181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10.972783911842923</v>
      </c>
      <c r="DG148" s="21">
        <f>EXP(-LN(2)/25)*DG147+(1-EXP(-LN(2)/25))/(LN(2)/25)*Calculateur!DB148*Calculateur!DD148*VLOOKUP('Données projet'!$B$13,Paramètres!$A$1:$I$89,3,0)*0.475*44/12</f>
        <v>0</v>
      </c>
      <c r="DH148" s="21">
        <f>EXP(-LN(2)/2)*DH147+(1-EXP(-LN(2)/2))/(LN(2)/2)*DB148*DE148*VLOOKUP('Données projet'!$B$13,Paramètres!$A$1:$I$89,3,0)*0.475*44/12</f>
        <v>0</v>
      </c>
      <c r="DI148" s="22">
        <f t="shared" si="123"/>
        <v>10.972783911842923</v>
      </c>
      <c r="DJ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19.8100000000004</v>
      </c>
      <c r="DP148" s="17">
        <f>DO148*VLOOKUP('Données projet'!$B$14,Paramètres!$A$1:$I$89,3,0)*VLOOKUP('Données projet'!$B$14,Paramètres!$A$1:$I$89,5,0)</f>
        <v>13.288548000000269</v>
      </c>
      <c r="DQ148" s="13">
        <f t="shared" si="151"/>
        <v>4.531654695205642</v>
      </c>
      <c r="DR148" s="20">
        <f t="shared" si="124"/>
        <v>31.036853027483627</v>
      </c>
      <c r="DS148" s="59">
        <f t="shared" si="125"/>
        <v>317.12267021927721</v>
      </c>
      <c r="DT148" s="59">
        <f ca="1">AVERAGE(OFFSET($DS$3,0,0,'Données projet'!$E$14+1,1))-AVERAGE(OFFSET($H$3,0,0,'Données projet'!$E$14+1,1))</f>
        <v>441.20130048888439</v>
      </c>
      <c r="DU148" s="59">
        <f t="shared" si="152"/>
        <v>237.47732532183946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191.8869944072232</v>
      </c>
      <c r="EB148" s="21">
        <f>EXP(-LN(2)/25)*EB147+(1-EXP(-LN(2)/25))/(LN(2)/25)*Calculateur!DW148*Calculateur!DY148*VLOOKUP('Données projet'!$B$14,Paramètres!$A$1:$I$89,3,0)*0.475*44/12</f>
        <v>0</v>
      </c>
      <c r="EC148" s="21">
        <f>EXP(-LN(2)/2)*EC147+(1-EXP(-LN(2)/2))/(LN(2)/2)*DW148*DZ148*VLOOKUP('Données projet'!$B$14,Paramètres!$A$1:$I$89,3,0)*0.475*44/12</f>
        <v>0</v>
      </c>
      <c r="ED148" s="22">
        <f t="shared" si="126"/>
        <v>191.8869944072232</v>
      </c>
      <c r="EE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319</v>
      </c>
      <c r="EK148" s="17">
        <f>EJ148*VLOOKUP('Données projet'!$B$15,Paramètres!$A$1:$I$89,3,0)*VLOOKUP('Données projet'!$B$15,Paramètres!$A$1:$I$89,5,0)</f>
        <v>253.79640000000001</v>
      </c>
      <c r="EL148" s="13">
        <f t="shared" si="153"/>
        <v>61.39816832228076</v>
      </c>
      <c r="EM148" s="20">
        <f t="shared" si="127"/>
        <v>548.96387316130563</v>
      </c>
      <c r="EN148" s="59">
        <f t="shared" si="128"/>
        <v>835.04969035309921</v>
      </c>
      <c r="EO148" s="59">
        <f ca="1">AVERAGE(OFFSET($EN$3,0,0,'Données projet'!$E$15+1,1))-AVERAGE(OFFSET($H$3,0,0,'Données projet'!$E$15+1,1))</f>
        <v>377.27600411578322</v>
      </c>
      <c r="EP148" s="59">
        <f t="shared" si="154"/>
        <v>364.58250627635425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>
        <f>EXP(-LN(2)/35)*EV147+(1-EXP(-LN(2)/35))/(LN(2)/35)*ER148*ES148*VLOOKUP('Données projet'!$B$15,Paramètres!$A$1:$I$89,3,0)*0.475*44/12</f>
        <v>14.675623411039783</v>
      </c>
      <c r="EW148" s="21">
        <f>EXP(-LN(2)/25)*EW147+(1-EXP(-LN(2)/25))/(LN(2)/25)*Calculateur!ER148*Calculateur!ET148*VLOOKUP('Données projet'!$B$15,Paramètres!$A$1:$I$89,3,0)*0.475*44/12</f>
        <v>0</v>
      </c>
      <c r="EX148" s="21">
        <f>EXP(-LN(2)/2)*EX147+(1-EXP(-LN(2)/2))/(LN(2)/2)*ER148*EU148*VLOOKUP('Données projet'!$B$15,Paramètres!$A$1:$I$89,3,0)*0.475*44/12</f>
        <v>0</v>
      </c>
      <c r="EY148" s="22">
        <f t="shared" si="129"/>
        <v>14.675623411039783</v>
      </c>
      <c r="EZ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319</v>
      </c>
      <c r="FF148" s="17">
        <f>FE148*VLOOKUP('Données projet'!$B$16,Paramètres!$A$1:$I$89,3,0)*VLOOKUP('Données projet'!$B$16,Paramètres!$A$1:$I$89,5,0)</f>
        <v>258.77280000000002</v>
      </c>
      <c r="FG148" s="13">
        <f t="shared" si="155"/>
        <v>62.460716522234691</v>
      </c>
      <c r="FH148" s="20">
        <f t="shared" si="130"/>
        <v>559.48170794289206</v>
      </c>
      <c r="FI148" s="59">
        <f t="shared" si="131"/>
        <v>845.56752513468564</v>
      </c>
      <c r="FJ148" s="59">
        <f ca="1">AVERAGE(OFFSET($FI$3,0,0,'Données projet'!$E$16+1,1))-AVERAGE(OFFSET($H$3,0,0,'Données projet'!$E$16+1,1))</f>
        <v>383.47399633251354</v>
      </c>
      <c r="FK148" s="59">
        <f t="shared" si="156"/>
        <v>370.49129421395628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>
        <f>EXP(-LN(2)/35)*FQ147+(1-EXP(-LN(2)/35))/(LN(2)/35)*FM148*FN148*VLOOKUP('Données projet'!$B$16,Paramètres!$A$1:$I$89,3,0)*0.475*44/12</f>
        <v>14.963380732824897</v>
      </c>
      <c r="FR148" s="21">
        <f>EXP(-LN(2)/25)*FR147+(1-EXP(-LN(2)/25))/(LN(2)/25)*Calculateur!FM148*Calculateur!FO148*VLOOKUP('Données projet'!$B$16,Paramètres!$A$1:$I$89,3,0)*0.475*44/12</f>
        <v>0</v>
      </c>
      <c r="FS148" s="21">
        <f>EXP(-LN(2)/2)*FS147+(1-EXP(-LN(2)/2))/(LN(2)/2)*FM148*FP148*VLOOKUP('Données projet'!$B$16,Paramètres!$A$1:$I$89,3,0)*0.475*44/12</f>
        <v>0</v>
      </c>
      <c r="FT148" s="22">
        <f t="shared" si="132"/>
        <v>14.963380732824897</v>
      </c>
      <c r="FU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19.8100000000004</v>
      </c>
      <c r="GA148" s="17">
        <f>FZ148*VLOOKUP('Données projet'!$B$17,Paramètres!$A$1:$I$89,3,0)*VLOOKUP('Données projet'!$B$17,Paramètres!$A$1:$I$89,5,0)</f>
        <v>18.851196000000382</v>
      </c>
      <c r="GB148" s="13">
        <f t="shared" si="157"/>
        <v>6.172221809210666</v>
      </c>
      <c r="GC148" s="20">
        <f t="shared" si="133"/>
        <v>43.582452684375909</v>
      </c>
      <c r="GD148" s="59">
        <f t="shared" si="134"/>
        <v>329.66826987616946</v>
      </c>
      <c r="GE148" s="59">
        <f ca="1">AVERAGE(OFFSET($GD$3,0,0,'Données projet'!$E$17+1,1))-AVERAGE(OFFSET($H$3,0,0,'Données projet'!$E$17+1,1))</f>
        <v>592.58528889137358</v>
      </c>
      <c r="GF148" s="59">
        <f t="shared" si="158"/>
        <v>311.31528020403709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>
        <f>EXP(-LN(2)/35)*GL147+(1-EXP(-LN(2)/35))/(LN(2)/35)*GH148*GI148*VLOOKUP('Données projet'!$B$17,Paramètres!$A$1:$I$89,3,0)*0.475*44/12</f>
        <v>220.85106903472865</v>
      </c>
      <c r="GM148" s="21">
        <f>EXP(-LN(2)/25)*GM147+(1-EXP(-LN(2)/25))/(LN(2)/25)*Calculateur!GH148*Calculateur!GJ148*VLOOKUP('Données projet'!$B$17,Paramètres!$A$1:$I$89,3,0)*0.475*44/12</f>
        <v>0</v>
      </c>
      <c r="GN148" s="21">
        <f>EXP(-LN(2)/2)*GN147+(1-EXP(-LN(2)/2))/(LN(2)/2)*GH148*GK148*VLOOKUP('Données projet'!$B$17,Paramètres!$A$1:$I$89,3,0)*0.475*44/12</f>
        <v>0</v>
      </c>
      <c r="GO148" s="21">
        <f t="shared" si="135"/>
        <v>220.85106903472865</v>
      </c>
      <c r="GP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328.00000000000006</v>
      </c>
      <c r="GV148" s="17">
        <f>GU148*VLOOKUP('Données projet'!$B$18,Paramètres!$A$1:$I$89,3,0)*VLOOKUP('Données projet'!$B$18,Paramètres!$A$1:$I$89,5,0)</f>
        <v>255.84000000000006</v>
      </c>
      <c r="GW148" s="13">
        <f t="shared" si="159"/>
        <v>61.834803371075836</v>
      </c>
      <c r="GX148" s="20">
        <f t="shared" si="136"/>
        <v>553.28361587129041</v>
      </c>
      <c r="GY148" s="59">
        <f t="shared" si="137"/>
        <v>839.36943306308399</v>
      </c>
      <c r="GZ148" s="59">
        <f ca="1">AVERAGE(OFFSET($GY$3,0,0,'Données projet'!$E$18+1,1))-AVERAGE(OFFSET($H$3,0,0,'Données projet'!$E$18+1,1))</f>
        <v>308.85018589589453</v>
      </c>
      <c r="HA148" s="59">
        <f t="shared" si="160"/>
        <v>302.59481222418219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>
        <f>EXP(-LN(2)/35)*HG147+(1-EXP(-LN(2)/35))/(LN(2)/35)*HC148*HD148*VLOOKUP('Données projet'!$B$18,Paramètres!$A$1:$I$89,3,0)*0.475*44/12</f>
        <v>11.183937503674377</v>
      </c>
      <c r="HH148" s="21">
        <f>EXP(-LN(2)/25)*HH147+(1-EXP(-LN(2)/25))/(LN(2)/25)*Calculateur!HC148*Calculateur!HE148*VLOOKUP('Données projet'!$B$18,Paramètres!$A$1:$I$89,3,0)*0.475*44/12</f>
        <v>0</v>
      </c>
      <c r="HI148" s="21">
        <f>EXP(-LN(2)/2)*HI147+(1-EXP(-LN(2)/2))/(LN(2)/2)*HC148*HF148*VLOOKUP('Données projet'!$B$18,Paramètres!$A$1:$I$89,3,0)*0.475*44/12</f>
        <v>0</v>
      </c>
      <c r="HJ148" s="22">
        <f t="shared" si="138"/>
        <v>11.183937503674377</v>
      </c>
    </row>
    <row r="149" spans="1:218" x14ac:dyDescent="0.35">
      <c r="A149" s="10">
        <f t="shared" si="139"/>
        <v>146</v>
      </c>
      <c r="B149" s="72">
        <f>'Scénario référence'!$B$16*5+'Scénario référence'!$B$17*0+'Scénario référence'!$B$18*5</f>
        <v>5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66">
        <f t="shared" si="110"/>
        <v>183.33333333333334</v>
      </c>
      <c r="I149" s="6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19.8100000000004</v>
      </c>
      <c r="O149" s="13">
        <f>N149*VLOOKUP('Données projet'!$B$9,Paramètres!$A$1:$I$89,3,0)*VLOOKUP('Données projet'!$B$9,Paramètres!$A$1:$I$89,5,0)</f>
        <v>17.924088000000364</v>
      </c>
      <c r="P149" s="13">
        <f t="shared" si="141"/>
        <v>5.9032212091029486</v>
      </c>
      <c r="Q149" s="20">
        <f t="shared" si="108"/>
        <v>41.499230205854936</v>
      </c>
      <c r="R149" s="59">
        <f t="shared" si="109"/>
        <v>327.71077559968558</v>
      </c>
      <c r="S149" s="59">
        <f ca="1">AVERAGE(OFFSET($R$3,0,0,'Données projet'!$E$9+1,1))-AVERAGE(OFFSET($H$3,0,0,'Données projet'!$E$9+1,1))</f>
        <v>567.42635821507474</v>
      </c>
      <c r="T149" s="59">
        <f t="shared" si="142"/>
        <v>299.04735309930152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205.87177423040816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205.87177423040816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19.8100000000004</v>
      </c>
      <c r="AJ149" s="13">
        <f>AI149*VLOOKUP('Données projet'!$B$10,Paramètres!$A$1:$I$89,3,0)*VLOOKUP('Données projet'!$B$10,Paramètres!$A$1:$I$89,5,0)</f>
        <v>20.08734000000041</v>
      </c>
      <c r="AK149" s="13">
        <f t="shared" si="143"/>
        <v>6.5285137703520215</v>
      </c>
      <c r="AL149" s="20">
        <f t="shared" si="112"/>
        <v>46.355945316697152</v>
      </c>
      <c r="AM149" s="59">
        <f t="shared" si="113"/>
        <v>332.56749071052781</v>
      </c>
      <c r="AN149" s="59">
        <f ca="1">AVERAGE(OFFSET($AM$3,0,0,'Données projet'!$E$10+1,1))-AVERAGE(OFFSET($H$3,0,0,'Données projet'!$E$10+1,1))</f>
        <v>626.09203985591455</v>
      </c>
      <c r="AO149" s="59">
        <f t="shared" si="144"/>
        <v>327.65191296575199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230.71836767200915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230.71836767200915</v>
      </c>
      <c r="AY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404.00000000000017</v>
      </c>
      <c r="BE149" s="13">
        <f>BD149*VLOOKUP('Données projet'!$B$11,Paramètres!$A$1:$I$89,3,0)*VLOOKUP('Données projet'!$B$11,Paramètres!$A$1:$I$89,5,0)</f>
        <v>346.63200000000018</v>
      </c>
      <c r="BF149" s="13">
        <f t="shared" si="145"/>
        <v>80.868615263336864</v>
      </c>
      <c r="BG149" s="20">
        <f t="shared" si="115"/>
        <v>744.56357158364528</v>
      </c>
      <c r="BH149" s="59">
        <f t="shared" si="116"/>
        <v>1030.775116977476</v>
      </c>
      <c r="BI149" s="59">
        <f ca="1">AVERAGE(OFFSET($BH$3,0,0,'Données projet'!$E$11+1,1))-AVERAGE(OFFSET($H$3,0,0,'Données projet'!$E$11+1,1))</f>
        <v>481.23392184981651</v>
      </c>
      <c r="BJ149" s="59">
        <f t="shared" si="146"/>
        <v>275.88160405468193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59.729014000949171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59.729014000949171</v>
      </c>
      <c r="BT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5.2499999999990337</v>
      </c>
      <c r="BZ149" s="13">
        <f>BY149*VLOOKUP('Données projet'!$B$12,Paramètres!$A$1:$I$89,3,0)*VLOOKUP('Données projet'!$B$12,Paramètres!$A$1:$I$89,5,0)</f>
        <v>2.4569999999995478</v>
      </c>
      <c r="CA149" s="13">
        <f t="shared" si="147"/>
        <v>1.0197977774625564</v>
      </c>
      <c r="CB149" s="20">
        <f t="shared" si="118"/>
        <v>6.0554227957464972</v>
      </c>
      <c r="CC149" s="59">
        <f t="shared" si="119"/>
        <v>292.26696818957714</v>
      </c>
      <c r="CD149" s="59">
        <f ca="1">AVERAGE(OFFSET($CC$3,0,0,'Données projet'!$E$12+1,1))-AVERAGE(OFFSET($H$3,0,0,'Données projet'!$E$12+1,1))</f>
        <v>331.86732359395467</v>
      </c>
      <c r="CE149" s="59">
        <f t="shared" si="148"/>
        <v>208.64489375183106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116.72835505045164</v>
      </c>
      <c r="CL149" s="21">
        <f>EXP(-LN(2)/25)*CL148+(1-EXP(-LN(2)/25))/(LN(2)/25)*Calculateur!CG149*Calculateur!CI149*VLOOKUP('Données projet'!$B$12,Paramètres!$A$1:$I$89,3,0)*0.475*44/12</f>
        <v>0</v>
      </c>
      <c r="CM149" s="21">
        <f>EXP(-LN(2)/2)*CM148+(1-EXP(-LN(2)/2))/(LN(2)/2)*CG149*CJ149*VLOOKUP('Données projet'!$B$12,Paramètres!$A$1:$I$89,3,0)*0.475*44/12</f>
        <v>0</v>
      </c>
      <c r="CN149" s="22">
        <f t="shared" si="120"/>
        <v>116.72835505045164</v>
      </c>
      <c r="CO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319</v>
      </c>
      <c r="CU149" s="17">
        <f>CT149*VLOOKUP('Données projet'!$B$13,Paramètres!$A$1:$I$89,3,0)*VLOOKUP('Données projet'!$B$13,Paramètres!$A$1:$I$89,5,0)</f>
        <v>233.89079999999998</v>
      </c>
      <c r="CV149" s="13">
        <f t="shared" si="149"/>
        <v>57.123140349023068</v>
      </c>
      <c r="CW149" s="20">
        <f t="shared" si="121"/>
        <v>506.84927944121517</v>
      </c>
      <c r="CX149" s="59">
        <f t="shared" si="122"/>
        <v>793.06082483504588</v>
      </c>
      <c r="CY149" s="59">
        <f ca="1">AVERAGE(OFFSET($CX$3,0,0,'Données projet'!$E$13+1,1))-AVERAGE(OFFSET($H$3,0,0,'Données projet'!$E$13+1,1))</f>
        <v>352.45777291109863</v>
      </c>
      <c r="CZ149" s="59">
        <f t="shared" si="150"/>
        <v>340.92165104349181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10.757614312069016</v>
      </c>
      <c r="DG149" s="21">
        <f>EXP(-LN(2)/25)*DG148+(1-EXP(-LN(2)/25))/(LN(2)/25)*Calculateur!DB149*Calculateur!DD149*VLOOKUP('Données projet'!$B$13,Paramètres!$A$1:$I$89,3,0)*0.475*44/12</f>
        <v>0</v>
      </c>
      <c r="DH149" s="21">
        <f>EXP(-LN(2)/2)*DH148+(1-EXP(-LN(2)/2))/(LN(2)/2)*DB149*DE149*VLOOKUP('Données projet'!$B$13,Paramètres!$A$1:$I$89,3,0)*0.475*44/12</f>
        <v>0</v>
      </c>
      <c r="DI149" s="22">
        <f t="shared" si="123"/>
        <v>10.757614312069016</v>
      </c>
      <c r="DJ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19.8100000000004</v>
      </c>
      <c r="DP149" s="17">
        <f>DO149*VLOOKUP('Données projet'!$B$14,Paramètres!$A$1:$I$89,3,0)*VLOOKUP('Données projet'!$B$14,Paramètres!$A$1:$I$89,5,0)</f>
        <v>13.288548000000269</v>
      </c>
      <c r="DQ149" s="13">
        <f t="shared" si="151"/>
        <v>4.531654695205642</v>
      </c>
      <c r="DR149" s="20">
        <f t="shared" si="124"/>
        <v>31.036853027483627</v>
      </c>
      <c r="DS149" s="59">
        <f t="shared" si="125"/>
        <v>317.24839842131428</v>
      </c>
      <c r="DT149" s="59">
        <f ca="1">AVERAGE(OFFSET($DS$3,0,0,'Données projet'!$E$14+1,1))-AVERAGE(OFFSET($H$3,0,0,'Données projet'!$E$14+1,1))</f>
        <v>441.20130048888439</v>
      </c>
      <c r="DU149" s="59">
        <f t="shared" si="152"/>
        <v>237.47732532183946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188.12420748640744</v>
      </c>
      <c r="EB149" s="21">
        <f>EXP(-LN(2)/25)*EB148+(1-EXP(-LN(2)/25))/(LN(2)/25)*Calculateur!DW149*Calculateur!DY149*VLOOKUP('Données projet'!$B$14,Paramètres!$A$1:$I$89,3,0)*0.475*44/12</f>
        <v>0</v>
      </c>
      <c r="EC149" s="21">
        <f>EXP(-LN(2)/2)*EC148+(1-EXP(-LN(2)/2))/(LN(2)/2)*DW149*DZ149*VLOOKUP('Données projet'!$B$14,Paramètres!$A$1:$I$89,3,0)*0.475*44/12</f>
        <v>0</v>
      </c>
      <c r="ED149" s="22">
        <f t="shared" si="126"/>
        <v>188.12420748640744</v>
      </c>
      <c r="EE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319</v>
      </c>
      <c r="EK149" s="17">
        <f>EJ149*VLOOKUP('Données projet'!$B$15,Paramètres!$A$1:$I$89,3,0)*VLOOKUP('Données projet'!$B$15,Paramètres!$A$1:$I$89,5,0)</f>
        <v>253.79640000000001</v>
      </c>
      <c r="EL149" s="13">
        <f t="shared" si="153"/>
        <v>61.39816832228076</v>
      </c>
      <c r="EM149" s="20">
        <f t="shared" si="127"/>
        <v>548.96387316130563</v>
      </c>
      <c r="EN149" s="59">
        <f t="shared" si="128"/>
        <v>835.17541855513628</v>
      </c>
      <c r="EO149" s="59">
        <f ca="1">AVERAGE(OFFSET($EN$3,0,0,'Données projet'!$E$15+1,1))-AVERAGE(OFFSET($H$3,0,0,'Données projet'!$E$15+1,1))</f>
        <v>377.27600411578322</v>
      </c>
      <c r="EP149" s="59">
        <f t="shared" si="154"/>
        <v>364.58250627635425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>
        <f>EXP(-LN(2)/35)*EV148+(1-EXP(-LN(2)/35))/(LN(2)/35)*ER149*ES149*VLOOKUP('Données projet'!$B$15,Paramètres!$A$1:$I$89,3,0)*0.475*44/12</f>
        <v>14.387843387195712</v>
      </c>
      <c r="EW149" s="21">
        <f>EXP(-LN(2)/25)*EW148+(1-EXP(-LN(2)/25))/(LN(2)/25)*Calculateur!ER149*Calculateur!ET149*VLOOKUP('Données projet'!$B$15,Paramètres!$A$1:$I$89,3,0)*0.475*44/12</f>
        <v>0</v>
      </c>
      <c r="EX149" s="21">
        <f>EXP(-LN(2)/2)*EX148+(1-EXP(-LN(2)/2))/(LN(2)/2)*ER149*EU149*VLOOKUP('Données projet'!$B$15,Paramètres!$A$1:$I$89,3,0)*0.475*44/12</f>
        <v>0</v>
      </c>
      <c r="EY149" s="22">
        <f t="shared" si="129"/>
        <v>14.387843387195712</v>
      </c>
      <c r="EZ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319</v>
      </c>
      <c r="FF149" s="17">
        <f>FE149*VLOOKUP('Données projet'!$B$16,Paramètres!$A$1:$I$89,3,0)*VLOOKUP('Données projet'!$B$16,Paramètres!$A$1:$I$89,5,0)</f>
        <v>258.77280000000002</v>
      </c>
      <c r="FG149" s="13">
        <f t="shared" si="155"/>
        <v>62.460716522234691</v>
      </c>
      <c r="FH149" s="20">
        <f t="shared" si="130"/>
        <v>559.48170794289206</v>
      </c>
      <c r="FI149" s="59">
        <f t="shared" si="131"/>
        <v>845.69325333672271</v>
      </c>
      <c r="FJ149" s="59">
        <f ca="1">AVERAGE(OFFSET($FI$3,0,0,'Données projet'!$E$16+1,1))-AVERAGE(OFFSET($H$3,0,0,'Données projet'!$E$16+1,1))</f>
        <v>383.47399633251354</v>
      </c>
      <c r="FK149" s="59">
        <f t="shared" si="156"/>
        <v>370.49129421395628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>
        <f>EXP(-LN(2)/35)*FQ148+(1-EXP(-LN(2)/35))/(LN(2)/35)*FM149*FN149*VLOOKUP('Données projet'!$B$16,Paramètres!$A$1:$I$89,3,0)*0.475*44/12</f>
        <v>14.669957963415255</v>
      </c>
      <c r="FR149" s="21">
        <f>EXP(-LN(2)/25)*FR148+(1-EXP(-LN(2)/25))/(LN(2)/25)*Calculateur!FM149*Calculateur!FO149*VLOOKUP('Données projet'!$B$16,Paramètres!$A$1:$I$89,3,0)*0.475*44/12</f>
        <v>0</v>
      </c>
      <c r="FS149" s="21">
        <f>EXP(-LN(2)/2)*FS148+(1-EXP(-LN(2)/2))/(LN(2)/2)*FM149*FP149*VLOOKUP('Données projet'!$B$16,Paramètres!$A$1:$I$89,3,0)*0.475*44/12</f>
        <v>0</v>
      </c>
      <c r="FT149" s="22">
        <f t="shared" si="132"/>
        <v>14.669957963415255</v>
      </c>
      <c r="FU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19.8100000000004</v>
      </c>
      <c r="GA149" s="17">
        <f>FZ149*VLOOKUP('Données projet'!$B$17,Paramètres!$A$1:$I$89,3,0)*VLOOKUP('Données projet'!$B$17,Paramètres!$A$1:$I$89,5,0)</f>
        <v>18.851196000000382</v>
      </c>
      <c r="GB149" s="13">
        <f t="shared" si="157"/>
        <v>6.172221809210666</v>
      </c>
      <c r="GC149" s="20">
        <f t="shared" si="133"/>
        <v>43.582452684375909</v>
      </c>
      <c r="GD149" s="59">
        <f t="shared" si="134"/>
        <v>329.79399807820653</v>
      </c>
      <c r="GE149" s="59">
        <f ca="1">AVERAGE(OFFSET($GD$3,0,0,'Données projet'!$E$17+1,1))-AVERAGE(OFFSET($H$3,0,0,'Données projet'!$E$17+1,1))</f>
        <v>592.58528889137358</v>
      </c>
      <c r="GF149" s="59">
        <f t="shared" si="158"/>
        <v>311.31528020403709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>
        <f>EXP(-LN(2)/35)*GL148+(1-EXP(-LN(2)/35))/(LN(2)/35)*GH149*GI149*VLOOKUP('Données projet'!$B$17,Paramètres!$A$1:$I$89,3,0)*0.475*44/12</f>
        <v>216.52031427680865</v>
      </c>
      <c r="GM149" s="21">
        <f>EXP(-LN(2)/25)*GM148+(1-EXP(-LN(2)/25))/(LN(2)/25)*Calculateur!GH149*Calculateur!GJ149*VLOOKUP('Données projet'!$B$17,Paramètres!$A$1:$I$89,3,0)*0.475*44/12</f>
        <v>0</v>
      </c>
      <c r="GN149" s="21">
        <f>EXP(-LN(2)/2)*GN148+(1-EXP(-LN(2)/2))/(LN(2)/2)*GH149*GK149*VLOOKUP('Données projet'!$B$17,Paramètres!$A$1:$I$89,3,0)*0.475*44/12</f>
        <v>0</v>
      </c>
      <c r="GO149" s="21">
        <f t="shared" si="135"/>
        <v>216.52031427680865</v>
      </c>
      <c r="GP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328.00000000000006</v>
      </c>
      <c r="GV149" s="17">
        <f>GU149*VLOOKUP('Données projet'!$B$18,Paramètres!$A$1:$I$89,3,0)*VLOOKUP('Données projet'!$B$18,Paramètres!$A$1:$I$89,5,0)</f>
        <v>255.84000000000006</v>
      </c>
      <c r="GW149" s="13">
        <f t="shared" si="159"/>
        <v>61.834803371075836</v>
      </c>
      <c r="GX149" s="20">
        <f t="shared" si="136"/>
        <v>553.28361587129041</v>
      </c>
      <c r="GY149" s="59">
        <f t="shared" si="137"/>
        <v>839.49516126512106</v>
      </c>
      <c r="GZ149" s="59">
        <f ca="1">AVERAGE(OFFSET($GY$3,0,0,'Données projet'!$E$18+1,1))-AVERAGE(OFFSET($H$3,0,0,'Données projet'!$E$18+1,1))</f>
        <v>308.85018589589453</v>
      </c>
      <c r="HA149" s="59">
        <f t="shared" si="160"/>
        <v>302.59481222418219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>
        <f>EXP(-LN(2)/35)*HG148+(1-EXP(-LN(2)/35))/(LN(2)/35)*HC149*HD149*VLOOKUP('Données projet'!$B$18,Paramètres!$A$1:$I$89,3,0)*0.475*44/12</f>
        <v>10.964627310755629</v>
      </c>
      <c r="HH149" s="21">
        <f>EXP(-LN(2)/25)*HH148+(1-EXP(-LN(2)/25))/(LN(2)/25)*Calculateur!HC149*Calculateur!HE149*VLOOKUP('Données projet'!$B$18,Paramètres!$A$1:$I$89,3,0)*0.475*44/12</f>
        <v>0</v>
      </c>
      <c r="HI149" s="21">
        <f>EXP(-LN(2)/2)*HI148+(1-EXP(-LN(2)/2))/(LN(2)/2)*HC149*HF149*VLOOKUP('Données projet'!$B$18,Paramètres!$A$1:$I$89,3,0)*0.475*44/12</f>
        <v>0</v>
      </c>
      <c r="HJ149" s="22">
        <f t="shared" si="138"/>
        <v>10.964627310755629</v>
      </c>
    </row>
    <row r="150" spans="1:218" x14ac:dyDescent="0.35">
      <c r="A150" s="10">
        <f t="shared" si="139"/>
        <v>147</v>
      </c>
      <c r="B150" s="72">
        <f>'Scénario référence'!$B$16*5+'Scénario référence'!$B$17*0+'Scénario référence'!$B$18*5</f>
        <v>5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66">
        <f t="shared" si="110"/>
        <v>183.33333333333334</v>
      </c>
      <c r="I150" s="6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19.8100000000004</v>
      </c>
      <c r="O150" s="13">
        <f>N150*VLOOKUP('Données projet'!$B$9,Paramètres!$A$1:$I$89,3,0)*VLOOKUP('Données projet'!$B$9,Paramètres!$A$1:$I$89,5,0)</f>
        <v>17.924088000000364</v>
      </c>
      <c r="P150" s="13">
        <f t="shared" si="141"/>
        <v>5.9032212091029486</v>
      </c>
      <c r="Q150" s="20">
        <f t="shared" si="108"/>
        <v>41.499230205854936</v>
      </c>
      <c r="R150" s="59">
        <f t="shared" si="109"/>
        <v>327.83432269850334</v>
      </c>
      <c r="S150" s="59">
        <f ca="1">AVERAGE(OFFSET($R$3,0,0,'Données projet'!$E$9+1,1))-AVERAGE(OFFSET($H$3,0,0,'Données projet'!$E$9+1,1))</f>
        <v>567.42635821507474</v>
      </c>
      <c r="T150" s="59">
        <f t="shared" si="142"/>
        <v>299.04735309930152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201.83475430713318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201.83475430713318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19.8100000000004</v>
      </c>
      <c r="AJ150" s="13">
        <f>AI150*VLOOKUP('Données projet'!$B$10,Paramètres!$A$1:$I$89,3,0)*VLOOKUP('Données projet'!$B$10,Paramètres!$A$1:$I$89,5,0)</f>
        <v>20.08734000000041</v>
      </c>
      <c r="AK150" s="13">
        <f t="shared" si="143"/>
        <v>6.5285137703520215</v>
      </c>
      <c r="AL150" s="20">
        <f t="shared" si="112"/>
        <v>46.355945316697152</v>
      </c>
      <c r="AM150" s="59">
        <f t="shared" si="113"/>
        <v>332.69103780934557</v>
      </c>
      <c r="AN150" s="59">
        <f ca="1">AVERAGE(OFFSET($AM$3,0,0,'Données projet'!$E$10+1,1))-AVERAGE(OFFSET($H$3,0,0,'Données projet'!$E$10+1,1))</f>
        <v>626.09203985591455</v>
      </c>
      <c r="AO150" s="59">
        <f t="shared" si="144"/>
        <v>327.65191296575199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226.19412120626995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226.19412120626995</v>
      </c>
      <c r="AY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404.00000000000017</v>
      </c>
      <c r="BE150" s="13">
        <f>BD150*VLOOKUP('Données projet'!$B$11,Paramètres!$A$1:$I$89,3,0)*VLOOKUP('Données projet'!$B$11,Paramètres!$A$1:$I$89,5,0)</f>
        <v>346.63200000000018</v>
      </c>
      <c r="BF150" s="13">
        <f t="shared" si="145"/>
        <v>80.868615263336864</v>
      </c>
      <c r="BG150" s="20">
        <f t="shared" si="115"/>
        <v>744.56357158364528</v>
      </c>
      <c r="BH150" s="59">
        <f t="shared" si="116"/>
        <v>1030.8986640762937</v>
      </c>
      <c r="BI150" s="59">
        <f ca="1">AVERAGE(OFFSET($BH$3,0,0,'Données projet'!$E$11+1,1))-AVERAGE(OFFSET($H$3,0,0,'Données projet'!$E$11+1,1))</f>
        <v>481.23392184981651</v>
      </c>
      <c r="BJ150" s="59">
        <f t="shared" si="146"/>
        <v>275.88160405468193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58.557764467491829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58.557764467491829</v>
      </c>
      <c r="BT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5.2499999999990337</v>
      </c>
      <c r="BZ150" s="13">
        <f>BY150*VLOOKUP('Données projet'!$B$12,Paramètres!$A$1:$I$89,3,0)*VLOOKUP('Données projet'!$B$12,Paramètres!$A$1:$I$89,5,0)</f>
        <v>2.4569999999995478</v>
      </c>
      <c r="CA150" s="13">
        <f t="shared" si="147"/>
        <v>1.0197977774625564</v>
      </c>
      <c r="CB150" s="20">
        <f t="shared" si="118"/>
        <v>6.0554227957464972</v>
      </c>
      <c r="CC150" s="59">
        <f t="shared" si="119"/>
        <v>292.39051528839491</v>
      </c>
      <c r="CD150" s="59">
        <f ca="1">AVERAGE(OFFSET($CC$3,0,0,'Données projet'!$E$12+1,1))-AVERAGE(OFFSET($H$3,0,0,'Données projet'!$E$12+1,1))</f>
        <v>331.86732359395467</v>
      </c>
      <c r="CE150" s="59">
        <f t="shared" si="148"/>
        <v>208.64489375183106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114.43938320517871</v>
      </c>
      <c r="CL150" s="21">
        <f>EXP(-LN(2)/25)*CL149+(1-EXP(-LN(2)/25))/(LN(2)/25)*Calculateur!CG150*Calculateur!CI150*VLOOKUP('Données projet'!$B$12,Paramètres!$A$1:$I$89,3,0)*0.475*44/12</f>
        <v>0</v>
      </c>
      <c r="CM150" s="21">
        <f>EXP(-LN(2)/2)*CM149+(1-EXP(-LN(2)/2))/(LN(2)/2)*CG150*CJ150*VLOOKUP('Données projet'!$B$12,Paramètres!$A$1:$I$89,3,0)*0.475*44/12</f>
        <v>0</v>
      </c>
      <c r="CN150" s="22">
        <f t="shared" si="120"/>
        <v>114.43938320517871</v>
      </c>
      <c r="CO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319</v>
      </c>
      <c r="CU150" s="17">
        <f>CT150*VLOOKUP('Données projet'!$B$13,Paramètres!$A$1:$I$89,3,0)*VLOOKUP('Données projet'!$B$13,Paramètres!$A$1:$I$89,5,0)</f>
        <v>233.89079999999998</v>
      </c>
      <c r="CV150" s="13">
        <f t="shared" si="149"/>
        <v>57.123140349023068</v>
      </c>
      <c r="CW150" s="20">
        <f t="shared" si="121"/>
        <v>506.84927944121517</v>
      </c>
      <c r="CX150" s="59">
        <f t="shared" si="122"/>
        <v>793.18437193386353</v>
      </c>
      <c r="CY150" s="59">
        <f ca="1">AVERAGE(OFFSET($CX$3,0,0,'Données projet'!$E$13+1,1))-AVERAGE(OFFSET($H$3,0,0,'Données projet'!$E$13+1,1))</f>
        <v>352.45777291109863</v>
      </c>
      <c r="CZ150" s="59">
        <f t="shared" si="150"/>
        <v>340.92165104349181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10.546664056906179</v>
      </c>
      <c r="DG150" s="21">
        <f>EXP(-LN(2)/25)*DG149+(1-EXP(-LN(2)/25))/(LN(2)/25)*Calculateur!DB150*Calculateur!DD150*VLOOKUP('Données projet'!$B$13,Paramètres!$A$1:$I$89,3,0)*0.475*44/12</f>
        <v>0</v>
      </c>
      <c r="DH150" s="21">
        <f>EXP(-LN(2)/2)*DH149+(1-EXP(-LN(2)/2))/(LN(2)/2)*DB150*DE150*VLOOKUP('Données projet'!$B$13,Paramètres!$A$1:$I$89,3,0)*0.475*44/12</f>
        <v>0</v>
      </c>
      <c r="DI150" s="22">
        <f t="shared" si="123"/>
        <v>10.546664056906179</v>
      </c>
      <c r="DJ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19.8100000000004</v>
      </c>
      <c r="DP150" s="17">
        <f>DO150*VLOOKUP('Données projet'!$B$14,Paramètres!$A$1:$I$89,3,0)*VLOOKUP('Données projet'!$B$14,Paramètres!$A$1:$I$89,5,0)</f>
        <v>13.288548000000269</v>
      </c>
      <c r="DQ150" s="13">
        <f t="shared" si="151"/>
        <v>4.531654695205642</v>
      </c>
      <c r="DR150" s="20">
        <f t="shared" si="124"/>
        <v>31.036853027483627</v>
      </c>
      <c r="DS150" s="59">
        <f t="shared" si="125"/>
        <v>317.37194552013204</v>
      </c>
      <c r="DT150" s="59">
        <f ca="1">AVERAGE(OFFSET($DS$3,0,0,'Données projet'!$E$14+1,1))-AVERAGE(OFFSET($H$3,0,0,'Données projet'!$E$14+1,1))</f>
        <v>441.20130048888439</v>
      </c>
      <c r="DU150" s="59">
        <f t="shared" si="152"/>
        <v>237.47732532183946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184.43520652203549</v>
      </c>
      <c r="EB150" s="21">
        <f>EXP(-LN(2)/25)*EB149+(1-EXP(-LN(2)/25))/(LN(2)/25)*Calculateur!DW150*Calculateur!DY150*VLOOKUP('Données projet'!$B$14,Paramètres!$A$1:$I$89,3,0)*0.475*44/12</f>
        <v>0</v>
      </c>
      <c r="EC150" s="21">
        <f>EXP(-LN(2)/2)*EC149+(1-EXP(-LN(2)/2))/(LN(2)/2)*DW150*DZ150*VLOOKUP('Données projet'!$B$14,Paramètres!$A$1:$I$89,3,0)*0.475*44/12</f>
        <v>0</v>
      </c>
      <c r="ED150" s="22">
        <f t="shared" si="126"/>
        <v>184.43520652203549</v>
      </c>
      <c r="EE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319</v>
      </c>
      <c r="EK150" s="17">
        <f>EJ150*VLOOKUP('Données projet'!$B$15,Paramètres!$A$1:$I$89,3,0)*VLOOKUP('Données projet'!$B$15,Paramètres!$A$1:$I$89,5,0)</f>
        <v>253.79640000000001</v>
      </c>
      <c r="EL150" s="13">
        <f t="shared" si="153"/>
        <v>61.39816832228076</v>
      </c>
      <c r="EM150" s="20">
        <f t="shared" si="127"/>
        <v>548.96387316130563</v>
      </c>
      <c r="EN150" s="59">
        <f t="shared" si="128"/>
        <v>835.29896565395404</v>
      </c>
      <c r="EO150" s="59">
        <f ca="1">AVERAGE(OFFSET($EN$3,0,0,'Données projet'!$E$15+1,1))-AVERAGE(OFFSET($H$3,0,0,'Données projet'!$E$15+1,1))</f>
        <v>377.27600411578322</v>
      </c>
      <c r="EP150" s="59">
        <f t="shared" si="154"/>
        <v>364.58250627635425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>
        <f>EXP(-LN(2)/35)*EV149+(1-EXP(-LN(2)/35))/(LN(2)/35)*ER150*ES150*VLOOKUP('Données projet'!$B$15,Paramètres!$A$1:$I$89,3,0)*0.475*44/12</f>
        <v>14.105706554090741</v>
      </c>
      <c r="EW150" s="21">
        <f>EXP(-LN(2)/25)*EW149+(1-EXP(-LN(2)/25))/(LN(2)/25)*Calculateur!ER150*Calculateur!ET150*VLOOKUP('Données projet'!$B$15,Paramètres!$A$1:$I$89,3,0)*0.475*44/12</f>
        <v>0</v>
      </c>
      <c r="EX150" s="21">
        <f>EXP(-LN(2)/2)*EX149+(1-EXP(-LN(2)/2))/(LN(2)/2)*ER150*EU150*VLOOKUP('Données projet'!$B$15,Paramètres!$A$1:$I$89,3,0)*0.475*44/12</f>
        <v>0</v>
      </c>
      <c r="EY150" s="22">
        <f t="shared" si="129"/>
        <v>14.105706554090741</v>
      </c>
      <c r="EZ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319</v>
      </c>
      <c r="FF150" s="17">
        <f>FE150*VLOOKUP('Données projet'!$B$16,Paramètres!$A$1:$I$89,3,0)*VLOOKUP('Données projet'!$B$16,Paramètres!$A$1:$I$89,5,0)</f>
        <v>258.77280000000002</v>
      </c>
      <c r="FG150" s="13">
        <f t="shared" si="155"/>
        <v>62.460716522234691</v>
      </c>
      <c r="FH150" s="20">
        <f t="shared" si="130"/>
        <v>559.48170794289206</v>
      </c>
      <c r="FI150" s="59">
        <f t="shared" si="131"/>
        <v>845.81680043554047</v>
      </c>
      <c r="FJ150" s="59">
        <f ca="1">AVERAGE(OFFSET($FI$3,0,0,'Données projet'!$E$16+1,1))-AVERAGE(OFFSET($H$3,0,0,'Données projet'!$E$16+1,1))</f>
        <v>383.47399633251354</v>
      </c>
      <c r="FK150" s="59">
        <f t="shared" si="156"/>
        <v>370.49129421395628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>
        <f>EXP(-LN(2)/35)*FQ149+(1-EXP(-LN(2)/35))/(LN(2)/35)*FM150*FN150*VLOOKUP('Données projet'!$B$16,Paramètres!$A$1:$I$89,3,0)*0.475*44/12</f>
        <v>14.382289035543518</v>
      </c>
      <c r="FR150" s="21">
        <f>EXP(-LN(2)/25)*FR149+(1-EXP(-LN(2)/25))/(LN(2)/25)*Calculateur!FM150*Calculateur!FO150*VLOOKUP('Données projet'!$B$16,Paramètres!$A$1:$I$89,3,0)*0.475*44/12</f>
        <v>0</v>
      </c>
      <c r="FS150" s="21">
        <f>EXP(-LN(2)/2)*FS149+(1-EXP(-LN(2)/2))/(LN(2)/2)*FM150*FP150*VLOOKUP('Données projet'!$B$16,Paramètres!$A$1:$I$89,3,0)*0.475*44/12</f>
        <v>0</v>
      </c>
      <c r="FT150" s="22">
        <f t="shared" si="132"/>
        <v>14.382289035543518</v>
      </c>
      <c r="FU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19.8100000000004</v>
      </c>
      <c r="GA150" s="17">
        <f>FZ150*VLOOKUP('Données projet'!$B$17,Paramètres!$A$1:$I$89,3,0)*VLOOKUP('Données projet'!$B$17,Paramètres!$A$1:$I$89,5,0)</f>
        <v>18.851196000000382</v>
      </c>
      <c r="GB150" s="13">
        <f t="shared" si="157"/>
        <v>6.172221809210666</v>
      </c>
      <c r="GC150" s="20">
        <f t="shared" si="133"/>
        <v>43.582452684375909</v>
      </c>
      <c r="GD150" s="59">
        <f t="shared" si="134"/>
        <v>329.91754517702429</v>
      </c>
      <c r="GE150" s="59">
        <f ca="1">AVERAGE(OFFSET($GD$3,0,0,'Données projet'!$E$17+1,1))-AVERAGE(OFFSET($H$3,0,0,'Données projet'!$E$17+1,1))</f>
        <v>592.58528889137358</v>
      </c>
      <c r="GF150" s="59">
        <f t="shared" si="158"/>
        <v>311.31528020403709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>
        <f>EXP(-LN(2)/35)*GL149+(1-EXP(-LN(2)/35))/(LN(2)/35)*GH150*GI150*VLOOKUP('Données projet'!$B$17,Paramètres!$A$1:$I$89,3,0)*0.475*44/12</f>
        <v>212.27448297819186</v>
      </c>
      <c r="GM150" s="21">
        <f>EXP(-LN(2)/25)*GM149+(1-EXP(-LN(2)/25))/(LN(2)/25)*Calculateur!GH150*Calculateur!GJ150*VLOOKUP('Données projet'!$B$17,Paramètres!$A$1:$I$89,3,0)*0.475*44/12</f>
        <v>0</v>
      </c>
      <c r="GN150" s="21">
        <f>EXP(-LN(2)/2)*GN149+(1-EXP(-LN(2)/2))/(LN(2)/2)*GH150*GK150*VLOOKUP('Données projet'!$B$17,Paramètres!$A$1:$I$89,3,0)*0.475*44/12</f>
        <v>0</v>
      </c>
      <c r="GO150" s="21">
        <f t="shared" si="135"/>
        <v>212.27448297819186</v>
      </c>
      <c r="GP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328.00000000000006</v>
      </c>
      <c r="GV150" s="17">
        <f>GU150*VLOOKUP('Données projet'!$B$18,Paramètres!$A$1:$I$89,3,0)*VLOOKUP('Données projet'!$B$18,Paramètres!$A$1:$I$89,5,0)</f>
        <v>255.84000000000006</v>
      </c>
      <c r="GW150" s="13">
        <f t="shared" si="159"/>
        <v>61.834803371075836</v>
      </c>
      <c r="GX150" s="20">
        <f t="shared" si="136"/>
        <v>553.28361587129041</v>
      </c>
      <c r="GY150" s="59">
        <f t="shared" si="137"/>
        <v>839.61870836393882</v>
      </c>
      <c r="GZ150" s="59">
        <f ca="1">AVERAGE(OFFSET($GY$3,0,0,'Données projet'!$E$18+1,1))-AVERAGE(OFFSET($H$3,0,0,'Données projet'!$E$18+1,1))</f>
        <v>308.85018589589453</v>
      </c>
      <c r="HA150" s="59">
        <f t="shared" si="160"/>
        <v>302.59481222418219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>
        <f>EXP(-LN(2)/35)*HG149+(1-EXP(-LN(2)/35))/(LN(2)/35)*HC150*HD150*VLOOKUP('Données projet'!$B$18,Paramètres!$A$1:$I$89,3,0)*0.475*44/12</f>
        <v>10.74961765695401</v>
      </c>
      <c r="HH150" s="21">
        <f>EXP(-LN(2)/25)*HH149+(1-EXP(-LN(2)/25))/(LN(2)/25)*Calculateur!HC150*Calculateur!HE150*VLOOKUP('Données projet'!$B$18,Paramètres!$A$1:$I$89,3,0)*0.475*44/12</f>
        <v>0</v>
      </c>
      <c r="HI150" s="21">
        <f>EXP(-LN(2)/2)*HI149+(1-EXP(-LN(2)/2))/(LN(2)/2)*HC150*HF150*VLOOKUP('Données projet'!$B$18,Paramètres!$A$1:$I$89,3,0)*0.475*44/12</f>
        <v>0</v>
      </c>
      <c r="HJ150" s="22">
        <f t="shared" si="138"/>
        <v>10.74961765695401</v>
      </c>
    </row>
    <row r="151" spans="1:218" x14ac:dyDescent="0.35">
      <c r="A151" s="10">
        <f t="shared" si="139"/>
        <v>148</v>
      </c>
      <c r="B151" s="72">
        <f>'Scénario référence'!$B$16*5+'Scénario référence'!$B$17*0+'Scénario référence'!$B$18*5</f>
        <v>5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66">
        <f t="shared" si="110"/>
        <v>183.33333333333334</v>
      </c>
      <c r="I151" s="6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19.8100000000004</v>
      </c>
      <c r="O151" s="13">
        <f>N151*VLOOKUP('Données projet'!$B$9,Paramètres!$A$1:$I$89,3,0)*VLOOKUP('Données projet'!$B$9,Paramètres!$A$1:$I$89,5,0)</f>
        <v>17.924088000000364</v>
      </c>
      <c r="P151" s="13">
        <f t="shared" si="141"/>
        <v>5.9032212091029486</v>
      </c>
      <c r="Q151" s="20">
        <f t="shared" si="108"/>
        <v>41.499230205854936</v>
      </c>
      <c r="R151" s="59">
        <f t="shared" si="109"/>
        <v>327.95572653136662</v>
      </c>
      <c r="S151" s="59">
        <f ca="1">AVERAGE(OFFSET($R$3,0,0,'Données projet'!$E$9+1,1))-AVERAGE(OFFSET($H$3,0,0,'Données projet'!$E$9+1,1))</f>
        <v>567.42635821507474</v>
      </c>
      <c r="T151" s="59">
        <f t="shared" si="142"/>
        <v>299.04735309930152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197.87689788221462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197.87689788221462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19.8100000000004</v>
      </c>
      <c r="AJ151" s="13">
        <f>AI151*VLOOKUP('Données projet'!$B$10,Paramètres!$A$1:$I$89,3,0)*VLOOKUP('Données projet'!$B$10,Paramètres!$A$1:$I$89,5,0)</f>
        <v>20.08734000000041</v>
      </c>
      <c r="AK151" s="13">
        <f t="shared" si="143"/>
        <v>6.5285137703520215</v>
      </c>
      <c r="AL151" s="20">
        <f t="shared" si="112"/>
        <v>46.355945316697152</v>
      </c>
      <c r="AM151" s="59">
        <f t="shared" si="113"/>
        <v>332.81244164220885</v>
      </c>
      <c r="AN151" s="59">
        <f ca="1">AVERAGE(OFFSET($AM$3,0,0,'Données projet'!$E$10+1,1))-AVERAGE(OFFSET($H$3,0,0,'Données projet'!$E$10+1,1))</f>
        <v>626.09203985591455</v>
      </c>
      <c r="AO151" s="59">
        <f t="shared" si="144"/>
        <v>327.65191296575199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221.75859245420605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221.75859245420605</v>
      </c>
      <c r="AY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404.00000000000017</v>
      </c>
      <c r="BE151" s="13">
        <f>BD151*VLOOKUP('Données projet'!$B$11,Paramètres!$A$1:$I$89,3,0)*VLOOKUP('Données projet'!$B$11,Paramètres!$A$1:$I$89,5,0)</f>
        <v>346.63200000000018</v>
      </c>
      <c r="BF151" s="13">
        <f t="shared" si="145"/>
        <v>80.868615263336864</v>
      </c>
      <c r="BG151" s="20">
        <f t="shared" si="115"/>
        <v>744.56357158364528</v>
      </c>
      <c r="BH151" s="59">
        <f t="shared" si="116"/>
        <v>1031.020067909157</v>
      </c>
      <c r="BI151" s="59">
        <f ca="1">AVERAGE(OFFSET($BH$3,0,0,'Données projet'!$E$11+1,1))-AVERAGE(OFFSET($H$3,0,0,'Données projet'!$E$11+1,1))</f>
        <v>481.23392184981651</v>
      </c>
      <c r="BJ151" s="59">
        <f t="shared" si="146"/>
        <v>275.88160405468193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57.409482422993911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57.409482422993911</v>
      </c>
      <c r="BT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5.2499999999990337</v>
      </c>
      <c r="BZ151" s="13">
        <f>BY151*VLOOKUP('Données projet'!$B$12,Paramètres!$A$1:$I$89,3,0)*VLOOKUP('Données projet'!$B$12,Paramètres!$A$1:$I$89,5,0)</f>
        <v>2.4569999999995478</v>
      </c>
      <c r="CA151" s="13">
        <f t="shared" si="147"/>
        <v>1.0197977774625564</v>
      </c>
      <c r="CB151" s="20">
        <f t="shared" si="118"/>
        <v>6.0554227957464972</v>
      </c>
      <c r="CC151" s="59">
        <f t="shared" si="119"/>
        <v>292.51191912125819</v>
      </c>
      <c r="CD151" s="59">
        <f ca="1">AVERAGE(OFFSET($CC$3,0,0,'Données projet'!$E$12+1,1))-AVERAGE(OFFSET($H$3,0,0,'Données projet'!$E$12+1,1))</f>
        <v>331.86732359395467</v>
      </c>
      <c r="CE151" s="59">
        <f t="shared" si="148"/>
        <v>208.64489375183106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112.19529670165663</v>
      </c>
      <c r="CL151" s="21">
        <f>EXP(-LN(2)/25)*CL150+(1-EXP(-LN(2)/25))/(LN(2)/25)*Calculateur!CG151*Calculateur!CI151*VLOOKUP('Données projet'!$B$12,Paramètres!$A$1:$I$89,3,0)*0.475*44/12</f>
        <v>0</v>
      </c>
      <c r="CM151" s="21">
        <f>EXP(-LN(2)/2)*CM150+(1-EXP(-LN(2)/2))/(LN(2)/2)*CG151*CJ151*VLOOKUP('Données projet'!$B$12,Paramètres!$A$1:$I$89,3,0)*0.475*44/12</f>
        <v>0</v>
      </c>
      <c r="CN151" s="22">
        <f t="shared" si="120"/>
        <v>112.19529670165663</v>
      </c>
      <c r="CO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319</v>
      </c>
      <c r="CU151" s="17">
        <f>CT151*VLOOKUP('Données projet'!$B$13,Paramètres!$A$1:$I$89,3,0)*VLOOKUP('Données projet'!$B$13,Paramètres!$A$1:$I$89,5,0)</f>
        <v>233.89079999999998</v>
      </c>
      <c r="CV151" s="13">
        <f t="shared" si="149"/>
        <v>57.123140349023068</v>
      </c>
      <c r="CW151" s="20">
        <f t="shared" si="121"/>
        <v>506.84927944121517</v>
      </c>
      <c r="CX151" s="59">
        <f t="shared" si="122"/>
        <v>793.30577576672681</v>
      </c>
      <c r="CY151" s="59">
        <f ca="1">AVERAGE(OFFSET($CX$3,0,0,'Données projet'!$E$13+1,1))-AVERAGE(OFFSET($H$3,0,0,'Données projet'!$E$13+1,1))</f>
        <v>352.45777291109863</v>
      </c>
      <c r="CZ151" s="59">
        <f t="shared" si="150"/>
        <v>340.92165104349181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10.339850407580135</v>
      </c>
      <c r="DG151" s="21">
        <f>EXP(-LN(2)/25)*DG150+(1-EXP(-LN(2)/25))/(LN(2)/25)*Calculateur!DB151*Calculateur!DD151*VLOOKUP('Données projet'!$B$13,Paramètres!$A$1:$I$89,3,0)*0.475*44/12</f>
        <v>0</v>
      </c>
      <c r="DH151" s="21">
        <f>EXP(-LN(2)/2)*DH150+(1-EXP(-LN(2)/2))/(LN(2)/2)*DB151*DE151*VLOOKUP('Données projet'!$B$13,Paramètres!$A$1:$I$89,3,0)*0.475*44/12</f>
        <v>0</v>
      </c>
      <c r="DI151" s="22">
        <f t="shared" si="123"/>
        <v>10.339850407580135</v>
      </c>
      <c r="DJ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19.8100000000004</v>
      </c>
      <c r="DP151" s="17">
        <f>DO151*VLOOKUP('Données projet'!$B$14,Paramètres!$A$1:$I$89,3,0)*VLOOKUP('Données projet'!$B$14,Paramètres!$A$1:$I$89,5,0)</f>
        <v>13.288548000000269</v>
      </c>
      <c r="DQ151" s="13">
        <f t="shared" si="151"/>
        <v>4.531654695205642</v>
      </c>
      <c r="DR151" s="20">
        <f t="shared" si="124"/>
        <v>31.036853027483627</v>
      </c>
      <c r="DS151" s="59">
        <f t="shared" si="125"/>
        <v>317.49334935299532</v>
      </c>
      <c r="DT151" s="59">
        <f ca="1">AVERAGE(OFFSET($DS$3,0,0,'Données projet'!$E$14+1,1))-AVERAGE(OFFSET($H$3,0,0,'Données projet'!$E$14+1,1))</f>
        <v>441.20130048888439</v>
      </c>
      <c r="DU151" s="59">
        <f t="shared" si="152"/>
        <v>237.47732532183946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180.81854461650644</v>
      </c>
      <c r="EB151" s="21">
        <f>EXP(-LN(2)/25)*EB150+(1-EXP(-LN(2)/25))/(LN(2)/25)*Calculateur!DW151*Calculateur!DY151*VLOOKUP('Données projet'!$B$14,Paramètres!$A$1:$I$89,3,0)*0.475*44/12</f>
        <v>0</v>
      </c>
      <c r="EC151" s="21">
        <f>EXP(-LN(2)/2)*EC150+(1-EXP(-LN(2)/2))/(LN(2)/2)*DW151*DZ151*VLOOKUP('Données projet'!$B$14,Paramètres!$A$1:$I$89,3,0)*0.475*44/12</f>
        <v>0</v>
      </c>
      <c r="ED151" s="22">
        <f t="shared" si="126"/>
        <v>180.81854461650644</v>
      </c>
      <c r="EE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319</v>
      </c>
      <c r="EK151" s="17">
        <f>EJ151*VLOOKUP('Données projet'!$B$15,Paramètres!$A$1:$I$89,3,0)*VLOOKUP('Données projet'!$B$15,Paramètres!$A$1:$I$89,5,0)</f>
        <v>253.79640000000001</v>
      </c>
      <c r="EL151" s="13">
        <f t="shared" si="153"/>
        <v>61.39816832228076</v>
      </c>
      <c r="EM151" s="20">
        <f t="shared" si="127"/>
        <v>548.96387316130563</v>
      </c>
      <c r="EN151" s="59">
        <f t="shared" si="128"/>
        <v>835.42036948681732</v>
      </c>
      <c r="EO151" s="59">
        <f ca="1">AVERAGE(OFFSET($EN$3,0,0,'Données projet'!$E$15+1,1))-AVERAGE(OFFSET($H$3,0,0,'Données projet'!$E$15+1,1))</f>
        <v>377.27600411578322</v>
      </c>
      <c r="EP151" s="59">
        <f t="shared" si="154"/>
        <v>364.58250627635425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>
        <f>EXP(-LN(2)/35)*EV150+(1-EXP(-LN(2)/35))/(LN(2)/35)*ER151*ES151*VLOOKUP('Données projet'!$B$15,Paramètres!$A$1:$I$89,3,0)*0.475*44/12</f>
        <v>13.829102252196481</v>
      </c>
      <c r="EW151" s="21">
        <f>EXP(-LN(2)/25)*EW150+(1-EXP(-LN(2)/25))/(LN(2)/25)*Calculateur!ER151*Calculateur!ET151*VLOOKUP('Données projet'!$B$15,Paramètres!$A$1:$I$89,3,0)*0.475*44/12</f>
        <v>0</v>
      </c>
      <c r="EX151" s="21">
        <f>EXP(-LN(2)/2)*EX150+(1-EXP(-LN(2)/2))/(LN(2)/2)*ER151*EU151*VLOOKUP('Données projet'!$B$15,Paramètres!$A$1:$I$89,3,0)*0.475*44/12</f>
        <v>0</v>
      </c>
      <c r="EY151" s="22">
        <f t="shared" si="129"/>
        <v>13.829102252196481</v>
      </c>
      <c r="EZ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319</v>
      </c>
      <c r="FF151" s="17">
        <f>FE151*VLOOKUP('Données projet'!$B$16,Paramètres!$A$1:$I$89,3,0)*VLOOKUP('Données projet'!$B$16,Paramètres!$A$1:$I$89,5,0)</f>
        <v>258.77280000000002</v>
      </c>
      <c r="FG151" s="13">
        <f t="shared" si="155"/>
        <v>62.460716522234691</v>
      </c>
      <c r="FH151" s="20">
        <f t="shared" si="130"/>
        <v>559.48170794289206</v>
      </c>
      <c r="FI151" s="59">
        <f t="shared" si="131"/>
        <v>845.93820426840375</v>
      </c>
      <c r="FJ151" s="59">
        <f ca="1">AVERAGE(OFFSET($FI$3,0,0,'Données projet'!$E$16+1,1))-AVERAGE(OFFSET($H$3,0,0,'Données projet'!$E$16+1,1))</f>
        <v>383.47399633251354</v>
      </c>
      <c r="FK151" s="59">
        <f t="shared" si="156"/>
        <v>370.49129421395628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>
        <f>EXP(-LN(2)/35)*FQ150+(1-EXP(-LN(2)/35))/(LN(2)/35)*FM151*FN151*VLOOKUP('Données projet'!$B$16,Paramètres!$A$1:$I$89,3,0)*0.475*44/12</f>
        <v>14.100261119886627</v>
      </c>
      <c r="FR151" s="21">
        <f>EXP(-LN(2)/25)*FR150+(1-EXP(-LN(2)/25))/(LN(2)/25)*Calculateur!FM151*Calculateur!FO151*VLOOKUP('Données projet'!$B$16,Paramètres!$A$1:$I$89,3,0)*0.475*44/12</f>
        <v>0</v>
      </c>
      <c r="FS151" s="21">
        <f>EXP(-LN(2)/2)*FS150+(1-EXP(-LN(2)/2))/(LN(2)/2)*FM151*FP151*VLOOKUP('Données projet'!$B$16,Paramètres!$A$1:$I$89,3,0)*0.475*44/12</f>
        <v>0</v>
      </c>
      <c r="FT151" s="22">
        <f t="shared" si="132"/>
        <v>14.100261119886627</v>
      </c>
      <c r="FU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19.8100000000004</v>
      </c>
      <c r="GA151" s="17">
        <f>FZ151*VLOOKUP('Données projet'!$B$17,Paramètres!$A$1:$I$89,3,0)*VLOOKUP('Données projet'!$B$17,Paramètres!$A$1:$I$89,5,0)</f>
        <v>18.851196000000382</v>
      </c>
      <c r="GB151" s="13">
        <f t="shared" si="157"/>
        <v>6.172221809210666</v>
      </c>
      <c r="GC151" s="20">
        <f t="shared" si="133"/>
        <v>43.582452684375909</v>
      </c>
      <c r="GD151" s="59">
        <f t="shared" si="134"/>
        <v>330.03894900988757</v>
      </c>
      <c r="GE151" s="59">
        <f ca="1">AVERAGE(OFFSET($GD$3,0,0,'Données projet'!$E$17+1,1))-AVERAGE(OFFSET($H$3,0,0,'Données projet'!$E$17+1,1))</f>
        <v>592.58528889137358</v>
      </c>
      <c r="GF151" s="59">
        <f t="shared" si="158"/>
        <v>311.31528020403709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>
        <f>EXP(-LN(2)/35)*GL150+(1-EXP(-LN(2)/35))/(LN(2)/35)*GH151*GI151*VLOOKUP('Données projet'!$B$17,Paramètres!$A$1:$I$89,3,0)*0.475*44/12</f>
        <v>208.11190984163957</v>
      </c>
      <c r="GM151" s="21">
        <f>EXP(-LN(2)/25)*GM150+(1-EXP(-LN(2)/25))/(LN(2)/25)*Calculateur!GH151*Calculateur!GJ151*VLOOKUP('Données projet'!$B$17,Paramètres!$A$1:$I$89,3,0)*0.475*44/12</f>
        <v>0</v>
      </c>
      <c r="GN151" s="21">
        <f>EXP(-LN(2)/2)*GN150+(1-EXP(-LN(2)/2))/(LN(2)/2)*GH151*GK151*VLOOKUP('Données projet'!$B$17,Paramètres!$A$1:$I$89,3,0)*0.475*44/12</f>
        <v>0</v>
      </c>
      <c r="GO151" s="21">
        <f t="shared" si="135"/>
        <v>208.11190984163957</v>
      </c>
      <c r="GP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328.00000000000006</v>
      </c>
      <c r="GV151" s="17">
        <f>GU151*VLOOKUP('Données projet'!$B$18,Paramètres!$A$1:$I$89,3,0)*VLOOKUP('Données projet'!$B$18,Paramètres!$A$1:$I$89,5,0)</f>
        <v>255.84000000000006</v>
      </c>
      <c r="GW151" s="13">
        <f t="shared" si="159"/>
        <v>61.834803371075836</v>
      </c>
      <c r="GX151" s="20">
        <f t="shared" si="136"/>
        <v>553.28361587129041</v>
      </c>
      <c r="GY151" s="59">
        <f t="shared" si="137"/>
        <v>839.7401121968021</v>
      </c>
      <c r="GZ151" s="59">
        <f ca="1">AVERAGE(OFFSET($GY$3,0,0,'Données projet'!$E$18+1,1))-AVERAGE(OFFSET($H$3,0,0,'Données projet'!$E$18+1,1))</f>
        <v>308.85018589589453</v>
      </c>
      <c r="HA151" s="59">
        <f t="shared" si="160"/>
        <v>302.59481222418219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>
        <f>EXP(-LN(2)/35)*HG150+(1-EXP(-LN(2)/35))/(LN(2)/35)*HC151*HD151*VLOOKUP('Données projet'!$B$18,Paramètres!$A$1:$I$89,3,0)*0.475*44/12</f>
        <v>10.538824211320501</v>
      </c>
      <c r="HH151" s="21">
        <f>EXP(-LN(2)/25)*HH150+(1-EXP(-LN(2)/25))/(LN(2)/25)*Calculateur!HC151*Calculateur!HE151*VLOOKUP('Données projet'!$B$18,Paramètres!$A$1:$I$89,3,0)*0.475*44/12</f>
        <v>0</v>
      </c>
      <c r="HI151" s="21">
        <f>EXP(-LN(2)/2)*HI150+(1-EXP(-LN(2)/2))/(LN(2)/2)*HC151*HF151*VLOOKUP('Données projet'!$B$18,Paramètres!$A$1:$I$89,3,0)*0.475*44/12</f>
        <v>0</v>
      </c>
      <c r="HJ151" s="22">
        <f t="shared" si="138"/>
        <v>10.538824211320501</v>
      </c>
    </row>
    <row r="152" spans="1:218" x14ac:dyDescent="0.35">
      <c r="A152" s="10">
        <f t="shared" si="139"/>
        <v>149</v>
      </c>
      <c r="B152" s="72">
        <f>'Scénario référence'!$B$16*5+'Scénario référence'!$B$17*0+'Scénario référence'!$B$18*5</f>
        <v>5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66">
        <f t="shared" si="110"/>
        <v>183.33333333333334</v>
      </c>
      <c r="I152" s="6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19.8100000000004</v>
      </c>
      <c r="O152" s="13">
        <f>N152*VLOOKUP('Données projet'!$B$9,Paramètres!$A$1:$I$89,3,0)*VLOOKUP('Données projet'!$B$9,Paramètres!$A$1:$I$89,5,0)</f>
        <v>17.924088000000364</v>
      </c>
      <c r="P152" s="13">
        <f t="shared" si="141"/>
        <v>5.9032212091029486</v>
      </c>
      <c r="Q152" s="20">
        <f t="shared" si="108"/>
        <v>41.499230205854936</v>
      </c>
      <c r="R152" s="59">
        <f t="shared" si="109"/>
        <v>328.07502427914801</v>
      </c>
      <c r="S152" s="59">
        <f ca="1">AVERAGE(OFFSET($R$3,0,0,'Données projet'!$E$9+1,1))-AVERAGE(OFFSET($H$3,0,0,'Données projet'!$E$9+1,1))</f>
        <v>567.42635821507474</v>
      </c>
      <c r="T152" s="59">
        <f t="shared" si="142"/>
        <v>299.04735309930152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193.99665260773466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193.99665260773466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19.8100000000004</v>
      </c>
      <c r="AJ152" s="13">
        <f>AI152*VLOOKUP('Données projet'!$B$10,Paramètres!$A$1:$I$89,3,0)*VLOOKUP('Données projet'!$B$10,Paramètres!$A$1:$I$89,5,0)</f>
        <v>20.08734000000041</v>
      </c>
      <c r="AK152" s="13">
        <f t="shared" si="143"/>
        <v>6.5285137703520215</v>
      </c>
      <c r="AL152" s="20">
        <f t="shared" si="112"/>
        <v>46.355945316697152</v>
      </c>
      <c r="AM152" s="59">
        <f t="shared" si="113"/>
        <v>332.93173938999024</v>
      </c>
      <c r="AN152" s="59">
        <f ca="1">AVERAGE(OFFSET($AM$3,0,0,'Données projet'!$E$10+1,1))-AVERAGE(OFFSET($H$3,0,0,'Données projet'!$E$10+1,1))</f>
        <v>626.09203985591455</v>
      </c>
      <c r="AO152" s="59">
        <f t="shared" si="144"/>
        <v>327.65191296575199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217.41004171556472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217.41004171556472</v>
      </c>
      <c r="AY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404.00000000000017</v>
      </c>
      <c r="BE152" s="13">
        <f>BD152*VLOOKUP('Données projet'!$B$11,Paramètres!$A$1:$I$89,3,0)*VLOOKUP('Données projet'!$B$11,Paramètres!$A$1:$I$89,5,0)</f>
        <v>346.63200000000018</v>
      </c>
      <c r="BF152" s="13">
        <f t="shared" si="145"/>
        <v>80.868615263336864</v>
      </c>
      <c r="BG152" s="20">
        <f t="shared" si="115"/>
        <v>744.56357158364528</v>
      </c>
      <c r="BH152" s="59">
        <f t="shared" si="116"/>
        <v>1031.1393656569385</v>
      </c>
      <c r="BI152" s="59">
        <f ca="1">AVERAGE(OFFSET($BH$3,0,0,'Données projet'!$E$11+1,1))-AVERAGE(OFFSET($H$3,0,0,'Données projet'!$E$11+1,1))</f>
        <v>481.23392184981651</v>
      </c>
      <c r="BJ152" s="59">
        <f t="shared" si="146"/>
        <v>275.88160405468193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56.283717489005703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56.283717489005703</v>
      </c>
      <c r="BT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5.2499999999990337</v>
      </c>
      <c r="BZ152" s="13">
        <f>BY152*VLOOKUP('Données projet'!$B$12,Paramètres!$A$1:$I$89,3,0)*VLOOKUP('Données projet'!$B$12,Paramètres!$A$1:$I$89,5,0)</f>
        <v>2.4569999999995478</v>
      </c>
      <c r="CA152" s="13">
        <f t="shared" si="147"/>
        <v>1.0197977774625564</v>
      </c>
      <c r="CB152" s="20">
        <f t="shared" si="118"/>
        <v>6.0554227957464972</v>
      </c>
      <c r="CC152" s="59">
        <f t="shared" si="119"/>
        <v>292.63121686903958</v>
      </c>
      <c r="CD152" s="59">
        <f ca="1">AVERAGE(OFFSET($CC$3,0,0,'Données projet'!$E$12+1,1))-AVERAGE(OFFSET($H$3,0,0,'Données projet'!$E$12+1,1))</f>
        <v>331.86732359395467</v>
      </c>
      <c r="CE152" s="59">
        <f t="shared" si="148"/>
        <v>208.64489375183106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109.99521536571099</v>
      </c>
      <c r="CL152" s="21">
        <f>EXP(-LN(2)/25)*CL151+(1-EXP(-LN(2)/25))/(LN(2)/25)*Calculateur!CG152*Calculateur!CI152*VLOOKUP('Données projet'!$B$12,Paramètres!$A$1:$I$89,3,0)*0.475*44/12</f>
        <v>0</v>
      </c>
      <c r="CM152" s="21">
        <f>EXP(-LN(2)/2)*CM151+(1-EXP(-LN(2)/2))/(LN(2)/2)*CG152*CJ152*VLOOKUP('Données projet'!$B$12,Paramètres!$A$1:$I$89,3,0)*0.475*44/12</f>
        <v>0</v>
      </c>
      <c r="CN152" s="22">
        <f t="shared" si="120"/>
        <v>109.99521536571099</v>
      </c>
      <c r="CO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319</v>
      </c>
      <c r="CU152" s="17">
        <f>CT152*VLOOKUP('Données projet'!$B$13,Paramètres!$A$1:$I$89,3,0)*VLOOKUP('Données projet'!$B$13,Paramètres!$A$1:$I$89,5,0)</f>
        <v>233.89079999999998</v>
      </c>
      <c r="CV152" s="13">
        <f t="shared" si="149"/>
        <v>57.123140349023068</v>
      </c>
      <c r="CW152" s="20">
        <f t="shared" si="121"/>
        <v>506.84927944121517</v>
      </c>
      <c r="CX152" s="59">
        <f t="shared" si="122"/>
        <v>793.42507351450831</v>
      </c>
      <c r="CY152" s="59">
        <f ca="1">AVERAGE(OFFSET($CX$3,0,0,'Données projet'!$E$13+1,1))-AVERAGE(OFFSET($H$3,0,0,'Données projet'!$E$13+1,1))</f>
        <v>352.45777291109863</v>
      </c>
      <c r="CZ152" s="59">
        <f t="shared" si="150"/>
        <v>340.92165104349181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10.137092247773504</v>
      </c>
      <c r="DG152" s="21">
        <f>EXP(-LN(2)/25)*DG151+(1-EXP(-LN(2)/25))/(LN(2)/25)*Calculateur!DB152*Calculateur!DD152*VLOOKUP('Données projet'!$B$13,Paramètres!$A$1:$I$89,3,0)*0.475*44/12</f>
        <v>0</v>
      </c>
      <c r="DH152" s="21">
        <f>EXP(-LN(2)/2)*DH151+(1-EXP(-LN(2)/2))/(LN(2)/2)*DB152*DE152*VLOOKUP('Données projet'!$B$13,Paramètres!$A$1:$I$89,3,0)*0.475*44/12</f>
        <v>0</v>
      </c>
      <c r="DI152" s="22">
        <f t="shared" si="123"/>
        <v>10.137092247773504</v>
      </c>
      <c r="DJ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19.8100000000004</v>
      </c>
      <c r="DP152" s="17">
        <f>DO152*VLOOKUP('Données projet'!$B$14,Paramètres!$A$1:$I$89,3,0)*VLOOKUP('Données projet'!$B$14,Paramètres!$A$1:$I$89,5,0)</f>
        <v>13.288548000000269</v>
      </c>
      <c r="DQ152" s="13">
        <f t="shared" si="151"/>
        <v>4.531654695205642</v>
      </c>
      <c r="DR152" s="20">
        <f t="shared" si="124"/>
        <v>31.036853027483627</v>
      </c>
      <c r="DS152" s="59">
        <f t="shared" si="125"/>
        <v>317.61264710077671</v>
      </c>
      <c r="DT152" s="59">
        <f ca="1">AVERAGE(OFFSET($DS$3,0,0,'Données projet'!$E$14+1,1))-AVERAGE(OFFSET($H$3,0,0,'Données projet'!$E$14+1,1))</f>
        <v>441.20130048888439</v>
      </c>
      <c r="DU152" s="59">
        <f t="shared" si="152"/>
        <v>237.47732532183946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177.2728032449989</v>
      </c>
      <c r="EB152" s="21">
        <f>EXP(-LN(2)/25)*EB151+(1-EXP(-LN(2)/25))/(LN(2)/25)*Calculateur!DW152*Calculateur!DY152*VLOOKUP('Données projet'!$B$14,Paramètres!$A$1:$I$89,3,0)*0.475*44/12</f>
        <v>0</v>
      </c>
      <c r="EC152" s="21">
        <f>EXP(-LN(2)/2)*EC151+(1-EXP(-LN(2)/2))/(LN(2)/2)*DW152*DZ152*VLOOKUP('Données projet'!$B$14,Paramètres!$A$1:$I$89,3,0)*0.475*44/12</f>
        <v>0</v>
      </c>
      <c r="ED152" s="22">
        <f t="shared" si="126"/>
        <v>177.2728032449989</v>
      </c>
      <c r="EE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319</v>
      </c>
      <c r="EK152" s="17">
        <f>EJ152*VLOOKUP('Données projet'!$B$15,Paramètres!$A$1:$I$89,3,0)*VLOOKUP('Données projet'!$B$15,Paramètres!$A$1:$I$89,5,0)</f>
        <v>253.79640000000001</v>
      </c>
      <c r="EL152" s="13">
        <f t="shared" si="153"/>
        <v>61.39816832228076</v>
      </c>
      <c r="EM152" s="20">
        <f t="shared" si="127"/>
        <v>548.96387316130563</v>
      </c>
      <c r="EN152" s="59">
        <f t="shared" si="128"/>
        <v>835.53966723459871</v>
      </c>
      <c r="EO152" s="59">
        <f ca="1">AVERAGE(OFFSET($EN$3,0,0,'Données projet'!$E$15+1,1))-AVERAGE(OFFSET($H$3,0,0,'Données projet'!$E$15+1,1))</f>
        <v>377.27600411578322</v>
      </c>
      <c r="EP152" s="59">
        <f t="shared" si="154"/>
        <v>364.58250627635425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>
        <f>EXP(-LN(2)/35)*EV151+(1-EXP(-LN(2)/35))/(LN(2)/35)*ER152*ES152*VLOOKUP('Données projet'!$B$15,Paramètres!$A$1:$I$89,3,0)*0.475*44/12</f>
        <v>13.557921991950403</v>
      </c>
      <c r="EW152" s="21">
        <f>EXP(-LN(2)/25)*EW151+(1-EXP(-LN(2)/25))/(LN(2)/25)*Calculateur!ER152*Calculateur!ET152*VLOOKUP('Données projet'!$B$15,Paramètres!$A$1:$I$89,3,0)*0.475*44/12</f>
        <v>0</v>
      </c>
      <c r="EX152" s="21">
        <f>EXP(-LN(2)/2)*EX151+(1-EXP(-LN(2)/2))/(LN(2)/2)*ER152*EU152*VLOOKUP('Données projet'!$B$15,Paramètres!$A$1:$I$89,3,0)*0.475*44/12</f>
        <v>0</v>
      </c>
      <c r="EY152" s="22">
        <f t="shared" si="129"/>
        <v>13.557921991950403</v>
      </c>
      <c r="EZ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319</v>
      </c>
      <c r="FF152" s="17">
        <f>FE152*VLOOKUP('Données projet'!$B$16,Paramètres!$A$1:$I$89,3,0)*VLOOKUP('Données projet'!$B$16,Paramètres!$A$1:$I$89,5,0)</f>
        <v>258.77280000000002</v>
      </c>
      <c r="FG152" s="13">
        <f t="shared" si="155"/>
        <v>62.460716522234691</v>
      </c>
      <c r="FH152" s="20">
        <f t="shared" si="130"/>
        <v>559.48170794289206</v>
      </c>
      <c r="FI152" s="59">
        <f t="shared" si="131"/>
        <v>846.05750201618514</v>
      </c>
      <c r="FJ152" s="59">
        <f ca="1">AVERAGE(OFFSET($FI$3,0,0,'Données projet'!$E$16+1,1))-AVERAGE(OFFSET($H$3,0,0,'Données projet'!$E$16+1,1))</f>
        <v>383.47399633251354</v>
      </c>
      <c r="FK152" s="59">
        <f t="shared" si="156"/>
        <v>370.49129421395628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>
        <f>EXP(-LN(2)/35)*FQ151+(1-EXP(-LN(2)/35))/(LN(2)/35)*FM152*FN152*VLOOKUP('Données projet'!$B$16,Paramètres!$A$1:$I$89,3,0)*0.475*44/12</f>
        <v>13.823763599635722</v>
      </c>
      <c r="FR152" s="21">
        <f>EXP(-LN(2)/25)*FR151+(1-EXP(-LN(2)/25))/(LN(2)/25)*Calculateur!FM152*Calculateur!FO152*VLOOKUP('Données projet'!$B$16,Paramètres!$A$1:$I$89,3,0)*0.475*44/12</f>
        <v>0</v>
      </c>
      <c r="FS152" s="21">
        <f>EXP(-LN(2)/2)*FS151+(1-EXP(-LN(2)/2))/(LN(2)/2)*FM152*FP152*VLOOKUP('Données projet'!$B$16,Paramètres!$A$1:$I$89,3,0)*0.475*44/12</f>
        <v>0</v>
      </c>
      <c r="FT152" s="22">
        <f t="shared" si="132"/>
        <v>13.823763599635722</v>
      </c>
      <c r="FU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19.8100000000004</v>
      </c>
      <c r="GA152" s="17">
        <f>FZ152*VLOOKUP('Données projet'!$B$17,Paramètres!$A$1:$I$89,3,0)*VLOOKUP('Données projet'!$B$17,Paramètres!$A$1:$I$89,5,0)</f>
        <v>18.851196000000382</v>
      </c>
      <c r="GB152" s="13">
        <f t="shared" si="157"/>
        <v>6.172221809210666</v>
      </c>
      <c r="GC152" s="20">
        <f t="shared" si="133"/>
        <v>43.582452684375909</v>
      </c>
      <c r="GD152" s="59">
        <f t="shared" si="134"/>
        <v>330.15824675766896</v>
      </c>
      <c r="GE152" s="59">
        <f ca="1">AVERAGE(OFFSET($GD$3,0,0,'Données projet'!$E$17+1,1))-AVERAGE(OFFSET($H$3,0,0,'Données projet'!$E$17+1,1))</f>
        <v>592.58528889137358</v>
      </c>
      <c r="GF152" s="59">
        <f t="shared" si="158"/>
        <v>311.31528020403709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>
        <f>EXP(-LN(2)/35)*GL151+(1-EXP(-LN(2)/35))/(LN(2)/35)*GH152*GI152*VLOOKUP('Données projet'!$B$17,Paramètres!$A$1:$I$89,3,0)*0.475*44/12</f>
        <v>204.03096222537616</v>
      </c>
      <c r="GM152" s="21">
        <f>EXP(-LN(2)/25)*GM151+(1-EXP(-LN(2)/25))/(LN(2)/25)*Calculateur!GH152*Calculateur!GJ152*VLOOKUP('Données projet'!$B$17,Paramètres!$A$1:$I$89,3,0)*0.475*44/12</f>
        <v>0</v>
      </c>
      <c r="GN152" s="21">
        <f>EXP(-LN(2)/2)*GN151+(1-EXP(-LN(2)/2))/(LN(2)/2)*GH152*GK152*VLOOKUP('Données projet'!$B$17,Paramètres!$A$1:$I$89,3,0)*0.475*44/12</f>
        <v>0</v>
      </c>
      <c r="GO152" s="21">
        <f t="shared" si="135"/>
        <v>204.03096222537616</v>
      </c>
      <c r="GP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328.00000000000006</v>
      </c>
      <c r="GV152" s="17">
        <f>GU152*VLOOKUP('Données projet'!$B$18,Paramètres!$A$1:$I$89,3,0)*VLOOKUP('Données projet'!$B$18,Paramètres!$A$1:$I$89,5,0)</f>
        <v>255.84000000000006</v>
      </c>
      <c r="GW152" s="13">
        <f t="shared" si="159"/>
        <v>61.834803371075836</v>
      </c>
      <c r="GX152" s="20">
        <f t="shared" si="136"/>
        <v>553.28361587129041</v>
      </c>
      <c r="GY152" s="59">
        <f t="shared" si="137"/>
        <v>839.85940994458349</v>
      </c>
      <c r="GZ152" s="59">
        <f ca="1">AVERAGE(OFFSET($GY$3,0,0,'Données projet'!$E$18+1,1))-AVERAGE(OFFSET($H$3,0,0,'Données projet'!$E$18+1,1))</f>
        <v>308.85018589589453</v>
      </c>
      <c r="HA152" s="59">
        <f t="shared" si="160"/>
        <v>302.59481222418219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>
        <f>EXP(-LN(2)/35)*HG151+(1-EXP(-LN(2)/35))/(LN(2)/35)*HC152*HD152*VLOOKUP('Données projet'!$B$18,Paramètres!$A$1:$I$89,3,0)*0.475*44/12</f>
        <v>10.332164296584558</v>
      </c>
      <c r="HH152" s="21">
        <f>EXP(-LN(2)/25)*HH151+(1-EXP(-LN(2)/25))/(LN(2)/25)*Calculateur!HC152*Calculateur!HE152*VLOOKUP('Données projet'!$B$18,Paramètres!$A$1:$I$89,3,0)*0.475*44/12</f>
        <v>0</v>
      </c>
      <c r="HI152" s="21">
        <f>EXP(-LN(2)/2)*HI151+(1-EXP(-LN(2)/2))/(LN(2)/2)*HC152*HF152*VLOOKUP('Données projet'!$B$18,Paramètres!$A$1:$I$89,3,0)*0.475*44/12</f>
        <v>0</v>
      </c>
      <c r="HJ152" s="22">
        <f t="shared" si="138"/>
        <v>10.332164296584558</v>
      </c>
    </row>
    <row r="153" spans="1:218" x14ac:dyDescent="0.35">
      <c r="A153" s="10">
        <f>A152+1</f>
        <v>150</v>
      </c>
      <c r="B153" s="72">
        <f>'Scénario référence'!$B$16*5+'Scénario référence'!$B$17*0+'Scénario référence'!$B$18*5</f>
        <v>5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66">
        <f t="shared" si="110"/>
        <v>183.33333333333334</v>
      </c>
      <c r="I153" s="6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19.8100000000004</v>
      </c>
      <c r="O153" s="13">
        <f>N153*VLOOKUP('Données projet'!$B$9,Paramètres!$A$1:$I$89,3,0)*VLOOKUP('Données projet'!$B$9,Paramètres!$A$1:$I$89,5,0)</f>
        <v>17.924088000000364</v>
      </c>
      <c r="P153" s="13">
        <f t="shared" si="141"/>
        <v>5.9032212091029486</v>
      </c>
      <c r="Q153" s="20">
        <f t="shared" si="108"/>
        <v>41.499230205854936</v>
      </c>
      <c r="R153" s="59">
        <f t="shared" si="109"/>
        <v>328.19225247771527</v>
      </c>
      <c r="S153" s="59">
        <f ca="1">AVERAGE(OFFSET($R$3,0,0,'Données projet'!$E$9+1,1))-AVERAGE(OFFSET($H$3,0,0,'Données projet'!$E$9+1,1))</f>
        <v>567.42635821507474</v>
      </c>
      <c r="T153" s="59">
        <f t="shared" si="142"/>
        <v>299.04735309930152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190.19249657637133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190.19249657637133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19.8100000000004</v>
      </c>
      <c r="AJ153" s="13">
        <f>AI153*VLOOKUP('Données projet'!$B$10,Paramètres!$A$1:$I$89,3,0)*VLOOKUP('Données projet'!$B$10,Paramètres!$A$1:$I$89,5,0)</f>
        <v>20.08734000000041</v>
      </c>
      <c r="AK153" s="13">
        <f t="shared" si="143"/>
        <v>6.5285137703520215</v>
      </c>
      <c r="AL153" s="20">
        <f t="shared" si="112"/>
        <v>46.355945316697152</v>
      </c>
      <c r="AM153" s="59">
        <f t="shared" si="113"/>
        <v>333.0489675885575</v>
      </c>
      <c r="AN153" s="59">
        <f ca="1">AVERAGE(OFFSET($AM$3,0,0,'Données projet'!$E$10+1,1))-AVERAGE(OFFSET($H$3,0,0,'Données projet'!$E$10+1,1))</f>
        <v>626.09203985591455</v>
      </c>
      <c r="AO153" s="59">
        <f t="shared" si="144"/>
        <v>327.65191296575199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213.14676340455409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213.14676340455409</v>
      </c>
      <c r="AY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404.00000000000017</v>
      </c>
      <c r="BE153" s="13">
        <f>BD153*VLOOKUP('Données projet'!$B$11,Paramètres!$A$1:$I$89,3,0)*VLOOKUP('Données projet'!$B$11,Paramètres!$A$1:$I$89,5,0)</f>
        <v>346.63200000000018</v>
      </c>
      <c r="BF153" s="13">
        <f t="shared" si="145"/>
        <v>80.868615263336864</v>
      </c>
      <c r="BG153" s="20">
        <f t="shared" si="115"/>
        <v>744.56357158364528</v>
      </c>
      <c r="BH153" s="59">
        <f t="shared" si="116"/>
        <v>1031.2565938555056</v>
      </c>
      <c r="BI153" s="59">
        <f ca="1">AVERAGE(OFFSET($BH$3,0,0,'Données projet'!$E$11+1,1))-AVERAGE(OFFSET($H$3,0,0,'Données projet'!$E$11+1,1))</f>
        <v>481.23392184981651</v>
      </c>
      <c r="BJ153" s="59">
        <f t="shared" si="146"/>
        <v>275.88160405468193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55.180028118724195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55.180028118724195</v>
      </c>
      <c r="BT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5.2499999999990337</v>
      </c>
      <c r="BZ153" s="13">
        <f>BY153*VLOOKUP('Données projet'!$B$12,Paramètres!$A$1:$I$89,3,0)*VLOOKUP('Données projet'!$B$12,Paramètres!$A$1:$I$89,5,0)</f>
        <v>2.4569999999995478</v>
      </c>
      <c r="CA153" s="13">
        <f t="shared" si="147"/>
        <v>1.0197977774625564</v>
      </c>
      <c r="CB153" s="20">
        <f t="shared" si="118"/>
        <v>6.0554227957464972</v>
      </c>
      <c r="CC153" s="59">
        <f t="shared" si="119"/>
        <v>292.74844506760684</v>
      </c>
      <c r="CD153" s="59">
        <f ca="1">AVERAGE(OFFSET($CC$3,0,0,'Données projet'!$E$12+1,1))-AVERAGE(OFFSET($H$3,0,0,'Données projet'!$E$12+1,1))</f>
        <v>331.86732359395467</v>
      </c>
      <c r="CE153" s="59">
        <f t="shared" si="148"/>
        <v>208.64489375183106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107.83827628284614</v>
      </c>
      <c r="CL153" s="21">
        <f>EXP(-LN(2)/25)*CL152+(1-EXP(-LN(2)/25))/(LN(2)/25)*Calculateur!CG153*Calculateur!CI153*VLOOKUP('Données projet'!$B$12,Paramètres!$A$1:$I$89,3,0)*0.475*44/12</f>
        <v>0</v>
      </c>
      <c r="CM153" s="21">
        <f>EXP(-LN(2)/2)*CM152+(1-EXP(-LN(2)/2))/(LN(2)/2)*CG153*CJ153*VLOOKUP('Données projet'!$B$12,Paramètres!$A$1:$I$89,3,0)*0.475*44/12</f>
        <v>0</v>
      </c>
      <c r="CN153" s="22">
        <f t="shared" si="120"/>
        <v>107.83827628284614</v>
      </c>
      <c r="CO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319</v>
      </c>
      <c r="CU153" s="17">
        <f>CT153*VLOOKUP('Données projet'!$B$13,Paramètres!$A$1:$I$89,3,0)*VLOOKUP('Données projet'!$B$13,Paramètres!$A$1:$I$89,5,0)</f>
        <v>233.89079999999998</v>
      </c>
      <c r="CV153" s="13">
        <f t="shared" si="149"/>
        <v>57.123140349023068</v>
      </c>
      <c r="CW153" s="20">
        <f t="shared" si="121"/>
        <v>506.84927944121517</v>
      </c>
      <c r="CX153" s="59">
        <f t="shared" si="122"/>
        <v>793.54230171307552</v>
      </c>
      <c r="CY153" s="59">
        <f ca="1">AVERAGE(OFFSET($CX$3,0,0,'Données projet'!$E$13+1,1))-AVERAGE(OFFSET($H$3,0,0,'Données projet'!$E$13+1,1))</f>
        <v>352.45777291109863</v>
      </c>
      <c r="CZ153" s="59">
        <f t="shared" si="150"/>
        <v>340.92165104349181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9.938310051810415</v>
      </c>
      <c r="DG153" s="21">
        <f>EXP(-LN(2)/25)*DG152+(1-EXP(-LN(2)/25))/(LN(2)/25)*Calculateur!DB153*Calculateur!DD153*VLOOKUP('Données projet'!$B$13,Paramètres!$A$1:$I$89,3,0)*0.475*44/12</f>
        <v>0</v>
      </c>
      <c r="DH153" s="21">
        <f>EXP(-LN(2)/2)*DH152+(1-EXP(-LN(2)/2))/(LN(2)/2)*DB153*DE153*VLOOKUP('Données projet'!$B$13,Paramètres!$A$1:$I$89,3,0)*0.475*44/12</f>
        <v>0</v>
      </c>
      <c r="DI153" s="22">
        <f t="shared" si="123"/>
        <v>9.938310051810415</v>
      </c>
      <c r="DJ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19.8100000000004</v>
      </c>
      <c r="DP153" s="17">
        <f>DO153*VLOOKUP('Données projet'!$B$14,Paramètres!$A$1:$I$89,3,0)*VLOOKUP('Données projet'!$B$14,Paramètres!$A$1:$I$89,5,0)</f>
        <v>13.288548000000269</v>
      </c>
      <c r="DQ153" s="13">
        <f t="shared" si="151"/>
        <v>4.531654695205642</v>
      </c>
      <c r="DR153" s="20">
        <f t="shared" si="124"/>
        <v>31.036853027483627</v>
      </c>
      <c r="DS153" s="59">
        <f t="shared" si="125"/>
        <v>317.72987529934397</v>
      </c>
      <c r="DT153" s="59">
        <f ca="1">AVERAGE(OFFSET($DS$3,0,0,'Données projet'!$E$14+1,1))-AVERAGE(OFFSET($H$3,0,0,'Données projet'!$E$14+1,1))</f>
        <v>441.20130048888439</v>
      </c>
      <c r="DU153" s="59">
        <f t="shared" si="152"/>
        <v>237.47732532183946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173.79659169909792</v>
      </c>
      <c r="EB153" s="21">
        <f>EXP(-LN(2)/25)*EB152+(1-EXP(-LN(2)/25))/(LN(2)/25)*Calculateur!DW153*Calculateur!DY153*VLOOKUP('Données projet'!$B$14,Paramètres!$A$1:$I$89,3,0)*0.475*44/12</f>
        <v>0</v>
      </c>
      <c r="EC153" s="21">
        <f>EXP(-LN(2)/2)*EC152+(1-EXP(-LN(2)/2))/(LN(2)/2)*DW153*DZ153*VLOOKUP('Données projet'!$B$14,Paramètres!$A$1:$I$89,3,0)*0.475*44/12</f>
        <v>0</v>
      </c>
      <c r="ED153" s="22">
        <f t="shared" si="126"/>
        <v>173.79659169909792</v>
      </c>
      <c r="EE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319</v>
      </c>
      <c r="EK153" s="17">
        <f>EJ153*VLOOKUP('Données projet'!$B$15,Paramètres!$A$1:$I$89,3,0)*VLOOKUP('Données projet'!$B$15,Paramètres!$A$1:$I$89,5,0)</f>
        <v>253.79640000000001</v>
      </c>
      <c r="EL153" s="13">
        <f t="shared" si="153"/>
        <v>61.39816832228076</v>
      </c>
      <c r="EM153" s="20">
        <f t="shared" si="127"/>
        <v>548.96387316130563</v>
      </c>
      <c r="EN153" s="59">
        <f t="shared" si="128"/>
        <v>835.65689543316603</v>
      </c>
      <c r="EO153" s="59">
        <f ca="1">AVERAGE(OFFSET($EN$3,0,0,'Données projet'!$E$15+1,1))-AVERAGE(OFFSET($H$3,0,0,'Données projet'!$E$15+1,1))</f>
        <v>377.27600411578322</v>
      </c>
      <c r="EP153" s="59">
        <f t="shared" si="154"/>
        <v>364.58250627635425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>
        <f>EXP(-LN(2)/35)*EV152+(1-EXP(-LN(2)/35))/(LN(2)/35)*ER153*ES153*VLOOKUP('Données projet'!$B$15,Paramètres!$A$1:$I$89,3,0)*0.475*44/12</f>
        <v>13.292059411204123</v>
      </c>
      <c r="EW153" s="21">
        <f>EXP(-LN(2)/25)*EW152+(1-EXP(-LN(2)/25))/(LN(2)/25)*Calculateur!ER153*Calculateur!ET153*VLOOKUP('Données projet'!$B$15,Paramètres!$A$1:$I$89,3,0)*0.475*44/12</f>
        <v>0</v>
      </c>
      <c r="EX153" s="21">
        <f>EXP(-LN(2)/2)*EX152+(1-EXP(-LN(2)/2))/(LN(2)/2)*ER153*EU153*VLOOKUP('Données projet'!$B$15,Paramètres!$A$1:$I$89,3,0)*0.475*44/12</f>
        <v>0</v>
      </c>
      <c r="EY153" s="22">
        <f t="shared" si="129"/>
        <v>13.292059411204123</v>
      </c>
      <c r="EZ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319</v>
      </c>
      <c r="FF153" s="17">
        <f>FE153*VLOOKUP('Données projet'!$B$16,Paramètres!$A$1:$I$89,3,0)*VLOOKUP('Données projet'!$B$16,Paramètres!$A$1:$I$89,5,0)</f>
        <v>258.77280000000002</v>
      </c>
      <c r="FG153" s="13">
        <f t="shared" si="155"/>
        <v>62.460716522234691</v>
      </c>
      <c r="FH153" s="20">
        <f t="shared" si="130"/>
        <v>559.48170794289206</v>
      </c>
      <c r="FI153" s="59">
        <f t="shared" si="131"/>
        <v>846.17473021475234</v>
      </c>
      <c r="FJ153" s="59">
        <f ca="1">AVERAGE(OFFSET($FI$3,0,0,'Données projet'!$E$16+1,1))-AVERAGE(OFFSET($H$3,0,0,'Données projet'!$E$16+1,1))</f>
        <v>383.47399633251354</v>
      </c>
      <c r="FK153" s="59">
        <f t="shared" si="156"/>
        <v>370.49129421395628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>
        <f>EXP(-LN(2)/35)*FQ152+(1-EXP(-LN(2)/35))/(LN(2)/35)*FM153*FN153*VLOOKUP('Données projet'!$B$16,Paramètres!$A$1:$I$89,3,0)*0.475*44/12</f>
        <v>13.552688027110104</v>
      </c>
      <c r="FR153" s="21">
        <f>EXP(-LN(2)/25)*FR152+(1-EXP(-LN(2)/25))/(LN(2)/25)*Calculateur!FM153*Calculateur!FO153*VLOOKUP('Données projet'!$B$16,Paramètres!$A$1:$I$89,3,0)*0.475*44/12</f>
        <v>0</v>
      </c>
      <c r="FS153" s="21">
        <f>EXP(-LN(2)/2)*FS152+(1-EXP(-LN(2)/2))/(LN(2)/2)*FM153*FP153*VLOOKUP('Données projet'!$B$16,Paramètres!$A$1:$I$89,3,0)*0.475*44/12</f>
        <v>0</v>
      </c>
      <c r="FT153" s="22">
        <f t="shared" si="132"/>
        <v>13.552688027110104</v>
      </c>
      <c r="FU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19.8100000000004</v>
      </c>
      <c r="GA153" s="17">
        <f>FZ153*VLOOKUP('Données projet'!$B$17,Paramètres!$A$1:$I$89,3,0)*VLOOKUP('Données projet'!$B$17,Paramètres!$A$1:$I$89,5,0)</f>
        <v>18.851196000000382</v>
      </c>
      <c r="GB153" s="13">
        <f t="shared" si="157"/>
        <v>6.172221809210666</v>
      </c>
      <c r="GC153" s="20">
        <f t="shared" si="133"/>
        <v>43.582452684375909</v>
      </c>
      <c r="GD153" s="59">
        <f t="shared" si="134"/>
        <v>330.27547495623628</v>
      </c>
      <c r="GE153" s="59">
        <f ca="1">AVERAGE(OFFSET($GD$3,0,0,'Données projet'!$E$17+1,1))-AVERAGE(OFFSET($H$3,0,0,'Données projet'!$E$17+1,1))</f>
        <v>592.58528889137358</v>
      </c>
      <c r="GF153" s="59">
        <f t="shared" si="158"/>
        <v>311.31528020403709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>
        <f>EXP(-LN(2)/35)*GL152+(1-EXP(-LN(2)/35))/(LN(2)/35)*GH153*GI153*VLOOKUP('Données projet'!$B$17,Paramètres!$A$1:$I$89,3,0)*0.475*44/12</f>
        <v>200.03003950273541</v>
      </c>
      <c r="GM153" s="21">
        <f>EXP(-LN(2)/25)*GM152+(1-EXP(-LN(2)/25))/(LN(2)/25)*Calculateur!GH153*Calculateur!GJ153*VLOOKUP('Données projet'!$B$17,Paramètres!$A$1:$I$89,3,0)*0.475*44/12</f>
        <v>0</v>
      </c>
      <c r="GN153" s="21">
        <f>EXP(-LN(2)/2)*GN152+(1-EXP(-LN(2)/2))/(LN(2)/2)*GH153*GK153*VLOOKUP('Données projet'!$B$17,Paramètres!$A$1:$I$89,3,0)*0.475*44/12</f>
        <v>0</v>
      </c>
      <c r="GO153" s="21">
        <f t="shared" si="135"/>
        <v>200.03003950273541</v>
      </c>
      <c r="GP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328.00000000000006</v>
      </c>
      <c r="GV153" s="17">
        <f>GU153*VLOOKUP('Données projet'!$B$18,Paramètres!$A$1:$I$89,3,0)*VLOOKUP('Données projet'!$B$18,Paramètres!$A$1:$I$89,5,0)</f>
        <v>255.84000000000006</v>
      </c>
      <c r="GW153" s="13">
        <f t="shared" si="159"/>
        <v>61.834803371075836</v>
      </c>
      <c r="GX153" s="20">
        <f t="shared" si="136"/>
        <v>553.28361587129041</v>
      </c>
      <c r="GY153" s="59">
        <f t="shared" si="137"/>
        <v>839.97663814315069</v>
      </c>
      <c r="GZ153" s="59">
        <f ca="1">AVERAGE(OFFSET($GY$3,0,0,'Données projet'!$E$18+1,1))-AVERAGE(OFFSET($H$3,0,0,'Données projet'!$E$18+1,1))</f>
        <v>308.85018589589453</v>
      </c>
      <c r="HA153" s="59">
        <f t="shared" si="160"/>
        <v>302.59481222418219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>
        <f>EXP(-LN(2)/35)*HG152+(1-EXP(-LN(2)/35))/(LN(2)/35)*HC153*HD153*VLOOKUP('Données projet'!$B$18,Paramètres!$A$1:$I$89,3,0)*0.475*44/12</f>
        <v>10.129556856726486</v>
      </c>
      <c r="HH153" s="21">
        <f>EXP(-LN(2)/25)*HH152+(1-EXP(-LN(2)/25))/(LN(2)/25)*Calculateur!HC153*Calculateur!HE153*VLOOKUP('Données projet'!$B$18,Paramètres!$A$1:$I$89,3,0)*0.475*44/12</f>
        <v>0</v>
      </c>
      <c r="HI153" s="21">
        <f>EXP(-LN(2)/2)*HI152+(1-EXP(-LN(2)/2))/(LN(2)/2)*HC153*HF153*VLOOKUP('Données projet'!$B$18,Paramètres!$A$1:$I$89,3,0)*0.475*44/12</f>
        <v>0</v>
      </c>
      <c r="HJ153" s="22">
        <f t="shared" si="138"/>
        <v>10.129556856726486</v>
      </c>
    </row>
    <row r="154" spans="1:218" x14ac:dyDescent="0.35">
      <c r="A154" s="10">
        <f t="shared" ref="A154:A202" si="161">A153+1</f>
        <v>151</v>
      </c>
      <c r="B154" s="72">
        <f>'Scénario référence'!$B$16*5+'Scénario référence'!$B$17*0+'Scénario référence'!$B$18*5</f>
        <v>5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66">
        <f t="shared" si="110"/>
        <v>183.33333333333334</v>
      </c>
      <c r="I154" s="6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19.8100000000004</v>
      </c>
      <c r="O154" s="13">
        <f>N154*VLOOKUP('Données projet'!$B$9,Paramètres!$A$1:$I$89,3,0)*VLOOKUP('Données projet'!$B$9,Paramètres!$A$1:$I$89,5,0)</f>
        <v>17.924088000000364</v>
      </c>
      <c r="P154" s="13">
        <f t="shared" si="141"/>
        <v>5.9032212091029486</v>
      </c>
      <c r="Q154" s="20">
        <f t="shared" ref="Q154:Q203" si="162">(O154+P154)*0.475*44/12</f>
        <v>41.499230205854936</v>
      </c>
      <c r="R154" s="59">
        <f t="shared" si="109"/>
        <v>328.30744702912028</v>
      </c>
      <c r="S154" s="59">
        <f ca="1">AVERAGE(OFFSET($R$3,0,0,'Données projet'!$E$9+1,1))-AVERAGE(OFFSET($H$3,0,0,'Données projet'!$E$9+1,1))</f>
        <v>567.42635821507474</v>
      </c>
      <c r="T154" s="59">
        <f t="shared" si="142"/>
        <v>299.04735309930152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186.46293772447694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186.46293772447694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19.8100000000004</v>
      </c>
      <c r="AJ154" s="13">
        <f>AI154*VLOOKUP('Données projet'!$B$10,Paramètres!$A$1:$I$89,3,0)*VLOOKUP('Données projet'!$B$10,Paramètres!$A$1:$I$89,5,0)</f>
        <v>20.08734000000041</v>
      </c>
      <c r="AK154" s="13">
        <f t="shared" ref="AK154:AK203" si="164">EXP(-1.0587+0.8836*LN(AJ154)+0.284)</f>
        <v>6.5285137703520215</v>
      </c>
      <c r="AL154" s="20">
        <f t="shared" ref="AL154:AL203" si="165">(AJ154+AK154)*0.475*44/12</f>
        <v>46.355945316697152</v>
      </c>
      <c r="AM154" s="59">
        <f t="shared" si="113"/>
        <v>333.16416213996251</v>
      </c>
      <c r="AN154" s="59">
        <f ca="1">AVERAGE(OFFSET($AM$3,0,0,'Données projet'!$E$10+1,1))-AVERAGE(OFFSET($H$3,0,0,'Données projet'!$E$10+1,1))</f>
        <v>626.09203985591455</v>
      </c>
      <c r="AO154" s="59">
        <f t="shared" si="144"/>
        <v>327.65191296575199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208.96708538087938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208.96708538087938</v>
      </c>
      <c r="AY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404.00000000000017</v>
      </c>
      <c r="BE154" s="13">
        <f>BD154*VLOOKUP('Données projet'!$B$11,Paramètres!$A$1:$I$89,3,0)*VLOOKUP('Données projet'!$B$11,Paramètres!$A$1:$I$89,5,0)</f>
        <v>346.63200000000018</v>
      </c>
      <c r="BF154" s="13">
        <f t="shared" ref="BF154:BF203" si="167">EXP(-1.0587+0.8836*LN(BE154)+0.284)</f>
        <v>80.868615263336864</v>
      </c>
      <c r="BG154" s="20">
        <f t="shared" ref="BG154:BG203" si="168">(BE154+BF154)*0.475*44/12</f>
        <v>744.56357158364528</v>
      </c>
      <c r="BH154" s="59">
        <f t="shared" si="116"/>
        <v>1031.3717884069106</v>
      </c>
      <c r="BI154" s="59">
        <f ca="1">AVERAGE(OFFSET($BH$3,0,0,'Données projet'!$E$11+1,1))-AVERAGE(OFFSET($H$3,0,0,'Données projet'!$E$11+1,1))</f>
        <v>481.23392184981651</v>
      </c>
      <c r="BJ154" s="59">
        <f t="shared" si="146"/>
        <v>275.88160405468193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54.097981423809863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54.097981423809863</v>
      </c>
      <c r="BT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5.2499999999990337</v>
      </c>
      <c r="BZ154" s="13">
        <f>BY154*VLOOKUP('Données projet'!$B$12,Paramètres!$A$1:$I$89,3,0)*VLOOKUP('Données projet'!$B$12,Paramètres!$A$1:$I$89,5,0)</f>
        <v>2.4569999999995478</v>
      </c>
      <c r="CA154" s="13">
        <f t="shared" ref="CA154:CA203" si="170">EXP(-1.0587+0.8836*LN(BZ154)+0.284)</f>
        <v>1.0197977774625564</v>
      </c>
      <c r="CB154" s="20">
        <f t="shared" ref="CB154:CB203" si="171">(BZ154+CA154)*0.475*44/12</f>
        <v>6.0554227957464972</v>
      </c>
      <c r="CC154" s="59">
        <f t="shared" si="119"/>
        <v>292.86363961901185</v>
      </c>
      <c r="CD154" s="59">
        <f ca="1">AVERAGE(OFFSET($CC$3,0,0,'Données projet'!$E$12+1,1))-AVERAGE(OFFSET($H$3,0,0,'Données projet'!$E$12+1,1))</f>
        <v>331.86732359395467</v>
      </c>
      <c r="CE154" s="59">
        <f t="shared" si="148"/>
        <v>208.64489375183106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105.72363345979333</v>
      </c>
      <c r="CL154" s="21">
        <f>EXP(-LN(2)/25)*CL153+(1-EXP(-LN(2)/25))/(LN(2)/25)*Calculateur!CG154*Calculateur!CI154*VLOOKUP('Données projet'!$B$12,Paramètres!$A$1:$I$89,3,0)*0.475*44/12</f>
        <v>0</v>
      </c>
      <c r="CM154" s="21">
        <f>EXP(-LN(2)/2)*CM153+(1-EXP(-LN(2)/2))/(LN(2)/2)*CG154*CJ154*VLOOKUP('Données projet'!$B$12,Paramètres!$A$1:$I$89,3,0)*0.475*44/12</f>
        <v>0</v>
      </c>
      <c r="CN154" s="22">
        <f t="shared" ref="CN154:CN203" si="172">SUM(CK154:CM154)</f>
        <v>105.72363345979333</v>
      </c>
      <c r="CO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319</v>
      </c>
      <c r="CU154" s="17">
        <f>CT154*VLOOKUP('Données projet'!$B$13,Paramètres!$A$1:$I$89,3,0)*VLOOKUP('Données projet'!$B$13,Paramètres!$A$1:$I$89,5,0)</f>
        <v>233.89079999999998</v>
      </c>
      <c r="CV154" s="13">
        <f t="shared" ref="CV154:CV203" si="173">EXP(-1.0587+0.8836*LN(CU154)+0.284)</f>
        <v>57.123140349023068</v>
      </c>
      <c r="CW154" s="20">
        <f t="shared" ref="CW154:CW203" si="174">(CU154+CV154)*0.475*44/12</f>
        <v>506.84927944121517</v>
      </c>
      <c r="CX154" s="59">
        <f t="shared" si="122"/>
        <v>793.65749626448053</v>
      </c>
      <c r="CY154" s="59">
        <f ca="1">AVERAGE(OFFSET($CX$3,0,0,'Données projet'!$E$13+1,1))-AVERAGE(OFFSET($H$3,0,0,'Données projet'!$E$13+1,1))</f>
        <v>352.45777291109863</v>
      </c>
      <c r="CZ154" s="59">
        <f t="shared" si="150"/>
        <v>340.92165104349181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9.7434258534649949</v>
      </c>
      <c r="DG154" s="21">
        <f>EXP(-LN(2)/25)*DG153+(1-EXP(-LN(2)/25))/(LN(2)/25)*Calculateur!DB154*Calculateur!DD154*VLOOKUP('Données projet'!$B$13,Paramètres!$A$1:$I$89,3,0)*0.475*44/12</f>
        <v>0</v>
      </c>
      <c r="DH154" s="21">
        <f>EXP(-LN(2)/2)*DH153+(1-EXP(-LN(2)/2))/(LN(2)/2)*DB154*DE154*VLOOKUP('Données projet'!$B$13,Paramètres!$A$1:$I$89,3,0)*0.475*44/12</f>
        <v>0</v>
      </c>
      <c r="DI154" s="22">
        <f t="shared" ref="DI154:DI203" si="175">SUM(DF154:DH154)</f>
        <v>9.7434258534649949</v>
      </c>
      <c r="DJ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19.8100000000004</v>
      </c>
      <c r="DP154" s="17">
        <f>DO154*VLOOKUP('Données projet'!$B$14,Paramètres!$A$1:$I$89,3,0)*VLOOKUP('Données projet'!$B$14,Paramètres!$A$1:$I$89,5,0)</f>
        <v>13.288548000000269</v>
      </c>
      <c r="DQ154" s="13">
        <f t="shared" ref="DQ154:DQ203" si="176">EXP(-1.0587+0.8836*LN(DP154)+0.284)</f>
        <v>4.531654695205642</v>
      </c>
      <c r="DR154" s="20">
        <f t="shared" ref="DR154:DR203" si="177">(DP154+DQ154)*0.475*44/12</f>
        <v>31.036853027483627</v>
      </c>
      <c r="DS154" s="59">
        <f t="shared" si="125"/>
        <v>317.84506985074898</v>
      </c>
      <c r="DT154" s="59">
        <f ca="1">AVERAGE(OFFSET($DS$3,0,0,'Données projet'!$E$14+1,1))-AVERAGE(OFFSET($H$3,0,0,'Données projet'!$E$14+1,1))</f>
        <v>441.20130048888439</v>
      </c>
      <c r="DU154" s="59">
        <f t="shared" si="152"/>
        <v>237.47732532183946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170.38854654133237</v>
      </c>
      <c r="EB154" s="21">
        <f>EXP(-LN(2)/25)*EB153+(1-EXP(-LN(2)/25))/(LN(2)/25)*Calculateur!DW154*Calculateur!DY154*VLOOKUP('Données projet'!$B$14,Paramètres!$A$1:$I$89,3,0)*0.475*44/12</f>
        <v>0</v>
      </c>
      <c r="EC154" s="21">
        <f>EXP(-LN(2)/2)*EC153+(1-EXP(-LN(2)/2))/(LN(2)/2)*DW154*DZ154*VLOOKUP('Données projet'!$B$14,Paramètres!$A$1:$I$89,3,0)*0.475*44/12</f>
        <v>0</v>
      </c>
      <c r="ED154" s="22">
        <f t="shared" ref="ED154:ED203" si="178">SUM(EA154:EC154)</f>
        <v>170.38854654133237</v>
      </c>
      <c r="EE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319</v>
      </c>
      <c r="EK154" s="17">
        <f>EJ154*VLOOKUP('Données projet'!$B$15,Paramètres!$A$1:$I$89,3,0)*VLOOKUP('Données projet'!$B$15,Paramètres!$A$1:$I$89,5,0)</f>
        <v>253.79640000000001</v>
      </c>
      <c r="EL154" s="13">
        <f t="shared" ref="EL154:EL203" si="179">EXP(-1.0587+0.8836*LN(EK154)+0.284)</f>
        <v>61.39816832228076</v>
      </c>
      <c r="EM154" s="20">
        <f t="shared" ref="EM154:EM203" si="180">(EK154+EL154)*0.475*44/12</f>
        <v>548.96387316130563</v>
      </c>
      <c r="EN154" s="59">
        <f t="shared" si="128"/>
        <v>835.77208998457104</v>
      </c>
      <c r="EO154" s="59">
        <f ca="1">AVERAGE(OFFSET($EN$3,0,0,'Données projet'!$E$15+1,1))-AVERAGE(OFFSET($H$3,0,0,'Données projet'!$E$15+1,1))</f>
        <v>377.27600411578322</v>
      </c>
      <c r="EP154" s="59">
        <f t="shared" si="154"/>
        <v>364.58250627635425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>
        <f>EXP(-LN(2)/35)*EV153+(1-EXP(-LN(2)/35))/(LN(2)/35)*ER154*ES154*VLOOKUP('Données projet'!$B$15,Paramètres!$A$1:$I$89,3,0)*0.475*44/12</f>
        <v>13.031410233506117</v>
      </c>
      <c r="EW154" s="21">
        <f>EXP(-LN(2)/25)*EW153+(1-EXP(-LN(2)/25))/(LN(2)/25)*Calculateur!ER154*Calculateur!ET154*VLOOKUP('Données projet'!$B$15,Paramètres!$A$1:$I$89,3,0)*0.475*44/12</f>
        <v>0</v>
      </c>
      <c r="EX154" s="21">
        <f>EXP(-LN(2)/2)*EX153+(1-EXP(-LN(2)/2))/(LN(2)/2)*ER154*EU154*VLOOKUP('Données projet'!$B$15,Paramètres!$A$1:$I$89,3,0)*0.475*44/12</f>
        <v>0</v>
      </c>
      <c r="EY154" s="22">
        <f t="shared" ref="EY154:EY203" si="181">SUM(EV154:EX154)</f>
        <v>13.031410233506117</v>
      </c>
      <c r="EZ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319</v>
      </c>
      <c r="FF154" s="17">
        <f>FE154*VLOOKUP('Données projet'!$B$16,Paramètres!$A$1:$I$89,3,0)*VLOOKUP('Données projet'!$B$16,Paramètres!$A$1:$I$89,5,0)</f>
        <v>258.77280000000002</v>
      </c>
      <c r="FG154" s="13">
        <f t="shared" ref="FG154:FG203" si="182">EXP(-1.0587+0.8836*LN(FF154)+0.284)</f>
        <v>62.460716522234691</v>
      </c>
      <c r="FH154" s="20">
        <f t="shared" ref="FH154:FH203" si="183">(FF154+FG154)*0.475*44/12</f>
        <v>559.48170794289206</v>
      </c>
      <c r="FI154" s="59">
        <f t="shared" si="131"/>
        <v>846.28992476615736</v>
      </c>
      <c r="FJ154" s="59">
        <f ca="1">AVERAGE(OFFSET($FI$3,0,0,'Données projet'!$E$16+1,1))-AVERAGE(OFFSET($H$3,0,0,'Données projet'!$E$16+1,1))</f>
        <v>383.47399633251354</v>
      </c>
      <c r="FK154" s="59">
        <f t="shared" si="156"/>
        <v>370.49129421395628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>
        <f>EXP(-LN(2)/35)*FQ153+(1-EXP(-LN(2)/35))/(LN(2)/35)*FM154*FN154*VLOOKUP('Données projet'!$B$16,Paramètres!$A$1:$I$89,3,0)*0.475*44/12</f>
        <v>13.286928081221941</v>
      </c>
      <c r="FR154" s="21">
        <f>EXP(-LN(2)/25)*FR153+(1-EXP(-LN(2)/25))/(LN(2)/25)*Calculateur!FM154*Calculateur!FO154*VLOOKUP('Données projet'!$B$16,Paramètres!$A$1:$I$89,3,0)*0.475*44/12</f>
        <v>0</v>
      </c>
      <c r="FS154" s="21">
        <f>EXP(-LN(2)/2)*FS153+(1-EXP(-LN(2)/2))/(LN(2)/2)*FM154*FP154*VLOOKUP('Données projet'!$B$16,Paramètres!$A$1:$I$89,3,0)*0.475*44/12</f>
        <v>0</v>
      </c>
      <c r="FT154" s="22">
        <f t="shared" ref="FT154:FT203" si="184">SUM(FQ154:FS154)</f>
        <v>13.286928081221941</v>
      </c>
      <c r="FU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19.8100000000004</v>
      </c>
      <c r="GA154" s="17">
        <f>FZ154*VLOOKUP('Données projet'!$B$17,Paramètres!$A$1:$I$89,3,0)*VLOOKUP('Données projet'!$B$17,Paramètres!$A$1:$I$89,5,0)</f>
        <v>18.851196000000382</v>
      </c>
      <c r="GB154" s="13">
        <f t="shared" ref="GB154:GB203" si="185">EXP(-1.0587+0.8836*LN(GA154)+0.284)</f>
        <v>6.172221809210666</v>
      </c>
      <c r="GC154" s="20">
        <f t="shared" ref="GC154:GC203" si="186">(GA154+GB154)*0.475*44/12</f>
        <v>43.582452684375909</v>
      </c>
      <c r="GD154" s="59">
        <f t="shared" si="134"/>
        <v>330.39066950764129</v>
      </c>
      <c r="GE154" s="59">
        <f ca="1">AVERAGE(OFFSET($GD$3,0,0,'Données projet'!$E$17+1,1))-AVERAGE(OFFSET($H$3,0,0,'Données projet'!$E$17+1,1))</f>
        <v>592.58528889137358</v>
      </c>
      <c r="GF154" s="59">
        <f t="shared" si="158"/>
        <v>311.31528020403709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>
        <f>EXP(-LN(2)/35)*GL153+(1-EXP(-LN(2)/35))/(LN(2)/35)*GH154*GI154*VLOOKUP('Données projet'!$B$17,Paramètres!$A$1:$I$89,3,0)*0.475*44/12</f>
        <v>196.10757243436373</v>
      </c>
      <c r="GM154" s="21">
        <f>EXP(-LN(2)/25)*GM153+(1-EXP(-LN(2)/25))/(LN(2)/25)*Calculateur!GH154*Calculateur!GJ154*VLOOKUP('Données projet'!$B$17,Paramètres!$A$1:$I$89,3,0)*0.475*44/12</f>
        <v>0</v>
      </c>
      <c r="GN154" s="21">
        <f>EXP(-LN(2)/2)*GN153+(1-EXP(-LN(2)/2))/(LN(2)/2)*GH154*GK154*VLOOKUP('Données projet'!$B$17,Paramètres!$A$1:$I$89,3,0)*0.475*44/12</f>
        <v>0</v>
      </c>
      <c r="GO154" s="21">
        <f t="shared" ref="GO154:GO203" si="187">SUM(GL154:GN154)</f>
        <v>196.10757243436373</v>
      </c>
      <c r="GP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328.00000000000006</v>
      </c>
      <c r="GV154" s="17">
        <f>GU154*VLOOKUP('Données projet'!$B$18,Paramètres!$A$1:$I$89,3,0)*VLOOKUP('Données projet'!$B$18,Paramètres!$A$1:$I$89,5,0)</f>
        <v>255.84000000000006</v>
      </c>
      <c r="GW154" s="13">
        <f t="shared" ref="GW154:GW203" si="188">EXP(-1.0587+0.8836*LN(GV154)+0.284)</f>
        <v>61.834803371075836</v>
      </c>
      <c r="GX154" s="20">
        <f t="shared" ref="GX154:GX203" si="189">(GV154+GW154)*0.475*44/12</f>
        <v>553.28361587129041</v>
      </c>
      <c r="GY154" s="59">
        <f t="shared" si="137"/>
        <v>840.09183269455571</v>
      </c>
      <c r="GZ154" s="59">
        <f ca="1">AVERAGE(OFFSET($GY$3,0,0,'Données projet'!$E$18+1,1))-AVERAGE(OFFSET($H$3,0,0,'Données projet'!$E$18+1,1))</f>
        <v>308.85018589589453</v>
      </c>
      <c r="HA154" s="59">
        <f t="shared" si="160"/>
        <v>302.59481222418219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>
        <f>EXP(-LN(2)/35)*HG153+(1-EXP(-LN(2)/35))/(LN(2)/35)*HC154*HD154*VLOOKUP('Données projet'!$B$18,Paramètres!$A$1:$I$89,3,0)*0.475*44/12</f>
        <v>9.9309224251856936</v>
      </c>
      <c r="HH154" s="21">
        <f>EXP(-LN(2)/25)*HH153+(1-EXP(-LN(2)/25))/(LN(2)/25)*Calculateur!HC154*Calculateur!HE154*VLOOKUP('Données projet'!$B$18,Paramètres!$A$1:$I$89,3,0)*0.475*44/12</f>
        <v>0</v>
      </c>
      <c r="HI154" s="21">
        <f>EXP(-LN(2)/2)*HI153+(1-EXP(-LN(2)/2))/(LN(2)/2)*HC154*HF154*VLOOKUP('Données projet'!$B$18,Paramètres!$A$1:$I$89,3,0)*0.475*44/12</f>
        <v>0</v>
      </c>
      <c r="HJ154" s="22">
        <f t="shared" ref="HJ154:HJ203" si="190">SUM(HG154:HI154)</f>
        <v>9.9309224251856936</v>
      </c>
    </row>
    <row r="155" spans="1:218" x14ac:dyDescent="0.35">
      <c r="A155" s="10">
        <f t="shared" si="161"/>
        <v>152</v>
      </c>
      <c r="B155" s="72">
        <f>'Scénario référence'!$B$16*5+'Scénario référence'!$B$17*0+'Scénario référence'!$B$18*5</f>
        <v>5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66">
        <f t="shared" si="110"/>
        <v>183.33333333333334</v>
      </c>
      <c r="I155" s="6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19.8100000000004</v>
      </c>
      <c r="O155" s="13">
        <f>N155*VLOOKUP('Données projet'!$B$9,Paramètres!$A$1:$I$89,3,0)*VLOOKUP('Données projet'!$B$9,Paramètres!$A$1:$I$89,5,0)</f>
        <v>17.924088000000364</v>
      </c>
      <c r="P155" s="13">
        <f t="shared" si="141"/>
        <v>5.9032212091029486</v>
      </c>
      <c r="Q155" s="20">
        <f t="shared" si="162"/>
        <v>41.499230205854936</v>
      </c>
      <c r="R155" s="59">
        <f t="shared" si="109"/>
        <v>328.42064321259483</v>
      </c>
      <c r="S155" s="59">
        <f ca="1">AVERAGE(OFFSET($R$3,0,0,'Données projet'!$E$9+1,1))-AVERAGE(OFFSET($H$3,0,0,'Données projet'!$E$9+1,1))</f>
        <v>567.42635821507474</v>
      </c>
      <c r="T155" s="59">
        <f t="shared" si="142"/>
        <v>299.04735309930152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182.80651324686195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182.80651324686195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19.8100000000004</v>
      </c>
      <c r="AJ155" s="13">
        <f>AI155*VLOOKUP('Données projet'!$B$10,Paramètres!$A$1:$I$89,3,0)*VLOOKUP('Données projet'!$B$10,Paramètres!$A$1:$I$89,5,0)</f>
        <v>20.08734000000041</v>
      </c>
      <c r="AK155" s="13">
        <f t="shared" si="164"/>
        <v>6.5285137703520215</v>
      </c>
      <c r="AL155" s="20">
        <f t="shared" si="165"/>
        <v>46.355945316697152</v>
      </c>
      <c r="AM155" s="59">
        <f t="shared" si="113"/>
        <v>333.27735832343706</v>
      </c>
      <c r="AN155" s="59">
        <f ca="1">AVERAGE(OFFSET($AM$3,0,0,'Données projet'!$E$10+1,1))-AVERAGE(OFFSET($H$3,0,0,'Données projet'!$E$10+1,1))</f>
        <v>626.09203985591455</v>
      </c>
      <c r="AO155" s="59">
        <f t="shared" si="144"/>
        <v>327.65191296575199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204.86936829389705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204.86936829389705</v>
      </c>
      <c r="AY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404.00000000000017</v>
      </c>
      <c r="BE155" s="13">
        <f>BD155*VLOOKUP('Données projet'!$B$11,Paramètres!$A$1:$I$89,3,0)*VLOOKUP('Données projet'!$B$11,Paramètres!$A$1:$I$89,5,0)</f>
        <v>346.63200000000018</v>
      </c>
      <c r="BF155" s="13">
        <f t="shared" si="167"/>
        <v>80.868615263336864</v>
      </c>
      <c r="BG155" s="20">
        <f t="shared" si="168"/>
        <v>744.56357158364528</v>
      </c>
      <c r="BH155" s="59">
        <f t="shared" si="116"/>
        <v>1031.4849845903852</v>
      </c>
      <c r="BI155" s="59">
        <f ca="1">AVERAGE(OFFSET($BH$3,0,0,'Données projet'!$E$11+1,1))-AVERAGE(OFFSET($H$3,0,0,'Données projet'!$E$11+1,1))</f>
        <v>481.23392184981651</v>
      </c>
      <c r="BJ155" s="59">
        <f t="shared" si="146"/>
        <v>275.88160405468193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53.037153004599482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53.037153004599482</v>
      </c>
      <c r="BT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5.2499999999990337</v>
      </c>
      <c r="BZ155" s="13">
        <f>BY155*VLOOKUP('Données projet'!$B$12,Paramètres!$A$1:$I$89,3,0)*VLOOKUP('Données projet'!$B$12,Paramètres!$A$1:$I$89,5,0)</f>
        <v>2.4569999999995478</v>
      </c>
      <c r="CA155" s="13">
        <f t="shared" si="170"/>
        <v>1.0197977774625564</v>
      </c>
      <c r="CB155" s="20">
        <f t="shared" si="171"/>
        <v>6.0554227957464972</v>
      </c>
      <c r="CC155" s="59">
        <f t="shared" si="119"/>
        <v>292.97683580248639</v>
      </c>
      <c r="CD155" s="59">
        <f ca="1">AVERAGE(OFFSET($CC$3,0,0,'Données projet'!$E$12+1,1))-AVERAGE(OFFSET($H$3,0,0,'Données projet'!$E$12+1,1))</f>
        <v>331.86732359395467</v>
      </c>
      <c r="CE155" s="59">
        <f t="shared" si="148"/>
        <v>208.64489375183106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103.65045749269582</v>
      </c>
      <c r="CL155" s="21">
        <f>EXP(-LN(2)/25)*CL154+(1-EXP(-LN(2)/25))/(LN(2)/25)*Calculateur!CG155*Calculateur!CI155*VLOOKUP('Données projet'!$B$12,Paramètres!$A$1:$I$89,3,0)*0.475*44/12</f>
        <v>0</v>
      </c>
      <c r="CM155" s="21">
        <f>EXP(-LN(2)/2)*CM154+(1-EXP(-LN(2)/2))/(LN(2)/2)*CG155*CJ155*VLOOKUP('Données projet'!$B$12,Paramètres!$A$1:$I$89,3,0)*0.475*44/12</f>
        <v>0</v>
      </c>
      <c r="CN155" s="22">
        <f t="shared" si="172"/>
        <v>103.65045749269582</v>
      </c>
      <c r="CO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319</v>
      </c>
      <c r="CU155" s="17">
        <f>CT155*VLOOKUP('Données projet'!$B$13,Paramètres!$A$1:$I$89,3,0)*VLOOKUP('Données projet'!$B$13,Paramètres!$A$1:$I$89,5,0)</f>
        <v>233.89079999999998</v>
      </c>
      <c r="CV155" s="13">
        <f t="shared" si="173"/>
        <v>57.123140349023068</v>
      </c>
      <c r="CW155" s="20">
        <f t="shared" si="174"/>
        <v>506.84927944121517</v>
      </c>
      <c r="CX155" s="59">
        <f t="shared" si="122"/>
        <v>793.77069244795507</v>
      </c>
      <c r="CY155" s="59">
        <f ca="1">AVERAGE(OFFSET($CX$3,0,0,'Données projet'!$E$13+1,1))-AVERAGE(OFFSET($H$3,0,0,'Données projet'!$E$13+1,1))</f>
        <v>352.45777291109863</v>
      </c>
      <c r="CZ155" s="59">
        <f t="shared" si="150"/>
        <v>340.92165104349181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9.5523632153815043</v>
      </c>
      <c r="DG155" s="21">
        <f>EXP(-LN(2)/25)*DG154+(1-EXP(-LN(2)/25))/(LN(2)/25)*Calculateur!DB155*Calculateur!DD155*VLOOKUP('Données projet'!$B$13,Paramètres!$A$1:$I$89,3,0)*0.475*44/12</f>
        <v>0</v>
      </c>
      <c r="DH155" s="21">
        <f>EXP(-LN(2)/2)*DH154+(1-EXP(-LN(2)/2))/(LN(2)/2)*DB155*DE155*VLOOKUP('Données projet'!$B$13,Paramètres!$A$1:$I$89,3,0)*0.475*44/12</f>
        <v>0</v>
      </c>
      <c r="DI155" s="22">
        <f t="shared" si="175"/>
        <v>9.5523632153815043</v>
      </c>
      <c r="DJ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19.8100000000004</v>
      </c>
      <c r="DP155" s="17">
        <f>DO155*VLOOKUP('Données projet'!$B$14,Paramètres!$A$1:$I$89,3,0)*VLOOKUP('Données projet'!$B$14,Paramètres!$A$1:$I$89,5,0)</f>
        <v>13.288548000000269</v>
      </c>
      <c r="DQ155" s="13">
        <f t="shared" si="176"/>
        <v>4.531654695205642</v>
      </c>
      <c r="DR155" s="20">
        <f t="shared" si="177"/>
        <v>31.036853027483627</v>
      </c>
      <c r="DS155" s="59">
        <f t="shared" si="125"/>
        <v>317.95826603422353</v>
      </c>
      <c r="DT155" s="59">
        <f ca="1">AVERAGE(OFFSET($DS$3,0,0,'Données projet'!$E$14+1,1))-AVERAGE(OFFSET($H$3,0,0,'Données projet'!$E$14+1,1))</f>
        <v>441.20130048888439</v>
      </c>
      <c r="DU155" s="59">
        <f t="shared" si="152"/>
        <v>237.47732532183946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167.04733107040832</v>
      </c>
      <c r="EB155" s="21">
        <f>EXP(-LN(2)/25)*EB154+(1-EXP(-LN(2)/25))/(LN(2)/25)*Calculateur!DW155*Calculateur!DY155*VLOOKUP('Données projet'!$B$14,Paramètres!$A$1:$I$89,3,0)*0.475*44/12</f>
        <v>0</v>
      </c>
      <c r="EC155" s="21">
        <f>EXP(-LN(2)/2)*EC154+(1-EXP(-LN(2)/2))/(LN(2)/2)*DW155*DZ155*VLOOKUP('Données projet'!$B$14,Paramètres!$A$1:$I$89,3,0)*0.475*44/12</f>
        <v>0</v>
      </c>
      <c r="ED155" s="22">
        <f t="shared" si="178"/>
        <v>167.04733107040832</v>
      </c>
      <c r="EE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319</v>
      </c>
      <c r="EK155" s="17">
        <f>EJ155*VLOOKUP('Données projet'!$B$15,Paramètres!$A$1:$I$89,3,0)*VLOOKUP('Données projet'!$B$15,Paramètres!$A$1:$I$89,5,0)</f>
        <v>253.79640000000001</v>
      </c>
      <c r="EL155" s="13">
        <f t="shared" si="179"/>
        <v>61.39816832228076</v>
      </c>
      <c r="EM155" s="20">
        <f t="shared" si="180"/>
        <v>548.96387316130563</v>
      </c>
      <c r="EN155" s="59">
        <f t="shared" si="128"/>
        <v>835.88528616804547</v>
      </c>
      <c r="EO155" s="59">
        <f ca="1">AVERAGE(OFFSET($EN$3,0,0,'Données projet'!$E$15+1,1))-AVERAGE(OFFSET($H$3,0,0,'Données projet'!$E$15+1,1))</f>
        <v>377.27600411578322</v>
      </c>
      <c r="EP155" s="59">
        <f t="shared" si="154"/>
        <v>364.58250627635425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>
        <f>EXP(-LN(2)/35)*EV154+(1-EXP(-LN(2)/35))/(LN(2)/35)*ER155*ES155*VLOOKUP('Données projet'!$B$15,Paramètres!$A$1:$I$89,3,0)*0.475*44/12</f>
        <v>12.775872227202468</v>
      </c>
      <c r="EW155" s="21">
        <f>EXP(-LN(2)/25)*EW154+(1-EXP(-LN(2)/25))/(LN(2)/25)*Calculateur!ER155*Calculateur!ET155*VLOOKUP('Données projet'!$B$15,Paramètres!$A$1:$I$89,3,0)*0.475*44/12</f>
        <v>0</v>
      </c>
      <c r="EX155" s="21">
        <f>EXP(-LN(2)/2)*EX154+(1-EXP(-LN(2)/2))/(LN(2)/2)*ER155*EU155*VLOOKUP('Données projet'!$B$15,Paramètres!$A$1:$I$89,3,0)*0.475*44/12</f>
        <v>0</v>
      </c>
      <c r="EY155" s="22">
        <f t="shared" si="181"/>
        <v>12.775872227202468</v>
      </c>
      <c r="EZ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319</v>
      </c>
      <c r="FF155" s="17">
        <f>FE155*VLOOKUP('Données projet'!$B$16,Paramètres!$A$1:$I$89,3,0)*VLOOKUP('Données projet'!$B$16,Paramètres!$A$1:$I$89,5,0)</f>
        <v>258.77280000000002</v>
      </c>
      <c r="FG155" s="13">
        <f t="shared" si="182"/>
        <v>62.460716522234691</v>
      </c>
      <c r="FH155" s="20">
        <f t="shared" si="183"/>
        <v>559.48170794289206</v>
      </c>
      <c r="FI155" s="59">
        <f t="shared" si="131"/>
        <v>846.40312094963201</v>
      </c>
      <c r="FJ155" s="59">
        <f ca="1">AVERAGE(OFFSET($FI$3,0,0,'Données projet'!$E$16+1,1))-AVERAGE(OFFSET($H$3,0,0,'Données projet'!$E$16+1,1))</f>
        <v>383.47399633251354</v>
      </c>
      <c r="FK155" s="59">
        <f t="shared" si="156"/>
        <v>370.49129421395628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>
        <f>EXP(-LN(2)/35)*FQ154+(1-EXP(-LN(2)/35))/(LN(2)/35)*FM155*FN155*VLOOKUP('Données projet'!$B$16,Paramètres!$A$1:$I$89,3,0)*0.475*44/12</f>
        <v>13.026379525775083</v>
      </c>
      <c r="FR155" s="21">
        <f>EXP(-LN(2)/25)*FR154+(1-EXP(-LN(2)/25))/(LN(2)/25)*Calculateur!FM155*Calculateur!FO155*VLOOKUP('Données projet'!$B$16,Paramètres!$A$1:$I$89,3,0)*0.475*44/12</f>
        <v>0</v>
      </c>
      <c r="FS155" s="21">
        <f>EXP(-LN(2)/2)*FS154+(1-EXP(-LN(2)/2))/(LN(2)/2)*FM155*FP155*VLOOKUP('Données projet'!$B$16,Paramètres!$A$1:$I$89,3,0)*0.475*44/12</f>
        <v>0</v>
      </c>
      <c r="FT155" s="22">
        <f t="shared" si="184"/>
        <v>13.026379525775083</v>
      </c>
      <c r="FU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19.8100000000004</v>
      </c>
      <c r="GA155" s="17">
        <f>FZ155*VLOOKUP('Données projet'!$B$17,Paramètres!$A$1:$I$89,3,0)*VLOOKUP('Données projet'!$B$17,Paramètres!$A$1:$I$89,5,0)</f>
        <v>18.851196000000382</v>
      </c>
      <c r="GB155" s="13">
        <f t="shared" si="185"/>
        <v>6.172221809210666</v>
      </c>
      <c r="GC155" s="20">
        <f t="shared" si="186"/>
        <v>43.582452684375909</v>
      </c>
      <c r="GD155" s="59">
        <f t="shared" si="134"/>
        <v>330.50386569111583</v>
      </c>
      <c r="GE155" s="59">
        <f ca="1">AVERAGE(OFFSET($GD$3,0,0,'Données projet'!$E$17+1,1))-AVERAGE(OFFSET($H$3,0,0,'Données projet'!$E$17+1,1))</f>
        <v>592.58528889137358</v>
      </c>
      <c r="GF155" s="59">
        <f t="shared" si="158"/>
        <v>311.31528020403709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>
        <f>EXP(-LN(2)/35)*GL154+(1-EXP(-LN(2)/35))/(LN(2)/35)*GH155*GI155*VLOOKUP('Données projet'!$B$17,Paramètres!$A$1:$I$89,3,0)*0.475*44/12</f>
        <v>192.26202255273415</v>
      </c>
      <c r="GM155" s="21">
        <f>EXP(-LN(2)/25)*GM154+(1-EXP(-LN(2)/25))/(LN(2)/25)*Calculateur!GH155*Calculateur!GJ155*VLOOKUP('Données projet'!$B$17,Paramètres!$A$1:$I$89,3,0)*0.475*44/12</f>
        <v>0</v>
      </c>
      <c r="GN155" s="21">
        <f>EXP(-LN(2)/2)*GN154+(1-EXP(-LN(2)/2))/(LN(2)/2)*GH155*GK155*VLOOKUP('Données projet'!$B$17,Paramètres!$A$1:$I$89,3,0)*0.475*44/12</f>
        <v>0</v>
      </c>
      <c r="GO155" s="21">
        <f t="shared" si="187"/>
        <v>192.26202255273415</v>
      </c>
      <c r="GP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328.00000000000006</v>
      </c>
      <c r="GV155" s="17">
        <f>GU155*VLOOKUP('Données projet'!$B$18,Paramètres!$A$1:$I$89,3,0)*VLOOKUP('Données projet'!$B$18,Paramètres!$A$1:$I$89,5,0)</f>
        <v>255.84000000000006</v>
      </c>
      <c r="GW155" s="13">
        <f t="shared" si="188"/>
        <v>61.834803371075836</v>
      </c>
      <c r="GX155" s="20">
        <f t="shared" si="189"/>
        <v>553.28361587129041</v>
      </c>
      <c r="GY155" s="59">
        <f t="shared" si="137"/>
        <v>840.20502887803036</v>
      </c>
      <c r="GZ155" s="59">
        <f ca="1">AVERAGE(OFFSET($GY$3,0,0,'Données projet'!$E$18+1,1))-AVERAGE(OFFSET($H$3,0,0,'Données projet'!$E$18+1,1))</f>
        <v>308.85018589589453</v>
      </c>
      <c r="HA155" s="59">
        <f t="shared" si="160"/>
        <v>302.59481222418219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>
        <f>EXP(-LN(2)/35)*HG154+(1-EXP(-LN(2)/35))/(LN(2)/35)*HC155*HD155*VLOOKUP('Données projet'!$B$18,Paramètres!$A$1:$I$89,3,0)*0.475*44/12</f>
        <v>9.736183093692377</v>
      </c>
      <c r="HH155" s="21">
        <f>EXP(-LN(2)/25)*HH154+(1-EXP(-LN(2)/25))/(LN(2)/25)*Calculateur!HC155*Calculateur!HE155*VLOOKUP('Données projet'!$B$18,Paramètres!$A$1:$I$89,3,0)*0.475*44/12</f>
        <v>0</v>
      </c>
      <c r="HI155" s="21">
        <f>EXP(-LN(2)/2)*HI154+(1-EXP(-LN(2)/2))/(LN(2)/2)*HC155*HF155*VLOOKUP('Données projet'!$B$18,Paramètres!$A$1:$I$89,3,0)*0.475*44/12</f>
        <v>0</v>
      </c>
      <c r="HJ155" s="22">
        <f t="shared" si="190"/>
        <v>9.736183093692377</v>
      </c>
    </row>
    <row r="156" spans="1:218" x14ac:dyDescent="0.35">
      <c r="A156" s="10">
        <f t="shared" si="161"/>
        <v>153</v>
      </c>
      <c r="B156" s="72">
        <f>'Scénario référence'!$B$16*5+'Scénario référence'!$B$17*0+'Scénario référence'!$B$18*5</f>
        <v>5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66">
        <f t="shared" si="110"/>
        <v>183.33333333333334</v>
      </c>
      <c r="I156" s="6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19.8100000000004</v>
      </c>
      <c r="O156" s="13">
        <f>N156*VLOOKUP('Données projet'!$B$9,Paramètres!$A$1:$I$89,3,0)*VLOOKUP('Données projet'!$B$9,Paramètres!$A$1:$I$89,5,0)</f>
        <v>17.924088000000364</v>
      </c>
      <c r="P156" s="13">
        <f t="shared" si="141"/>
        <v>5.9032212091029486</v>
      </c>
      <c r="Q156" s="20">
        <f t="shared" si="162"/>
        <v>41.499230205854936</v>
      </c>
      <c r="R156" s="59">
        <f t="shared" si="109"/>
        <v>328.53187569535493</v>
      </c>
      <c r="S156" s="59">
        <f ca="1">AVERAGE(OFFSET($R$3,0,0,'Données projet'!$E$9+1,1))-AVERAGE(OFFSET($H$3,0,0,'Données projet'!$E$9+1,1))</f>
        <v>567.42635821507474</v>
      </c>
      <c r="T156" s="59">
        <f t="shared" si="142"/>
        <v>299.04735309930152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179.22178902305427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179.22178902305427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19.8100000000004</v>
      </c>
      <c r="AJ156" s="13">
        <f>AI156*VLOOKUP('Données projet'!$B$10,Paramètres!$A$1:$I$89,3,0)*VLOOKUP('Données projet'!$B$10,Paramètres!$A$1:$I$89,5,0)</f>
        <v>20.08734000000041</v>
      </c>
      <c r="AK156" s="13">
        <f t="shared" si="164"/>
        <v>6.5285137703520215</v>
      </c>
      <c r="AL156" s="20">
        <f t="shared" si="165"/>
        <v>46.355945316697152</v>
      </c>
      <c r="AM156" s="59">
        <f t="shared" si="113"/>
        <v>333.38859080619716</v>
      </c>
      <c r="AN156" s="59">
        <f ca="1">AVERAGE(OFFSET($AM$3,0,0,'Données projet'!$E$10+1,1))-AVERAGE(OFFSET($H$3,0,0,'Données projet'!$E$10+1,1))</f>
        <v>626.09203985591455</v>
      </c>
      <c r="AO156" s="59">
        <f t="shared" si="144"/>
        <v>327.65191296575199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200.85200493962981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200.85200493962981</v>
      </c>
      <c r="AY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404.00000000000017</v>
      </c>
      <c r="BE156" s="13">
        <f>BD156*VLOOKUP('Données projet'!$B$11,Paramètres!$A$1:$I$89,3,0)*VLOOKUP('Données projet'!$B$11,Paramètres!$A$1:$I$89,5,0)</f>
        <v>346.63200000000018</v>
      </c>
      <c r="BF156" s="13">
        <f t="shared" si="167"/>
        <v>80.868615263336864</v>
      </c>
      <c r="BG156" s="20">
        <f t="shared" si="168"/>
        <v>744.56357158364528</v>
      </c>
      <c r="BH156" s="59">
        <f t="shared" si="116"/>
        <v>1031.5962170731452</v>
      </c>
      <c r="BI156" s="59">
        <f ca="1">AVERAGE(OFFSET($BH$3,0,0,'Données projet'!$E$11+1,1))-AVERAGE(OFFSET($H$3,0,0,'Données projet'!$E$11+1,1))</f>
        <v>481.23392184981651</v>
      </c>
      <c r="BJ156" s="59">
        <f t="shared" si="146"/>
        <v>275.88160405468193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51.997126783648376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51.997126783648376</v>
      </c>
      <c r="BT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5.2499999999990337</v>
      </c>
      <c r="BZ156" s="13">
        <f>BY156*VLOOKUP('Données projet'!$B$12,Paramètres!$A$1:$I$89,3,0)*VLOOKUP('Données projet'!$B$12,Paramètres!$A$1:$I$89,5,0)</f>
        <v>2.4569999999995478</v>
      </c>
      <c r="CA156" s="13">
        <f t="shared" si="170"/>
        <v>1.0197977774625564</v>
      </c>
      <c r="CB156" s="20">
        <f t="shared" si="171"/>
        <v>6.0554227957464972</v>
      </c>
      <c r="CC156" s="59">
        <f t="shared" si="119"/>
        <v>293.08806828524649</v>
      </c>
      <c r="CD156" s="59">
        <f ca="1">AVERAGE(OFFSET($CC$3,0,0,'Données projet'!$E$12+1,1))-AVERAGE(OFFSET($H$3,0,0,'Données projet'!$E$12+1,1))</f>
        <v>331.86732359395467</v>
      </c>
      <c r="CE156" s="59">
        <f t="shared" si="148"/>
        <v>208.64489375183106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101.61793524180062</v>
      </c>
      <c r="CL156" s="21">
        <f>EXP(-LN(2)/25)*CL155+(1-EXP(-LN(2)/25))/(LN(2)/25)*Calculateur!CG156*Calculateur!CI156*VLOOKUP('Données projet'!$B$12,Paramètres!$A$1:$I$89,3,0)*0.475*44/12</f>
        <v>0</v>
      </c>
      <c r="CM156" s="21">
        <f>EXP(-LN(2)/2)*CM155+(1-EXP(-LN(2)/2))/(LN(2)/2)*CG156*CJ156*VLOOKUP('Données projet'!$B$12,Paramètres!$A$1:$I$89,3,0)*0.475*44/12</f>
        <v>0</v>
      </c>
      <c r="CN156" s="22">
        <f t="shared" si="172"/>
        <v>101.61793524180062</v>
      </c>
      <c r="CO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319</v>
      </c>
      <c r="CU156" s="17">
        <f>CT156*VLOOKUP('Données projet'!$B$13,Paramètres!$A$1:$I$89,3,0)*VLOOKUP('Données projet'!$B$13,Paramètres!$A$1:$I$89,5,0)</f>
        <v>233.89079999999998</v>
      </c>
      <c r="CV156" s="13">
        <f t="shared" si="173"/>
        <v>57.123140349023068</v>
      </c>
      <c r="CW156" s="20">
        <f t="shared" si="174"/>
        <v>506.84927944121517</v>
      </c>
      <c r="CX156" s="59">
        <f t="shared" si="122"/>
        <v>793.88192493071517</v>
      </c>
      <c r="CY156" s="59">
        <f ca="1">AVERAGE(OFFSET($CX$3,0,0,'Données projet'!$E$13+1,1))-AVERAGE(OFFSET($H$3,0,0,'Données projet'!$E$13+1,1))</f>
        <v>352.45777291109863</v>
      </c>
      <c r="CZ156" s="59">
        <f t="shared" si="150"/>
        <v>340.92165104349181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9.3650471990941284</v>
      </c>
      <c r="DG156" s="21">
        <f>EXP(-LN(2)/25)*DG155+(1-EXP(-LN(2)/25))/(LN(2)/25)*Calculateur!DB156*Calculateur!DD156*VLOOKUP('Données projet'!$B$13,Paramètres!$A$1:$I$89,3,0)*0.475*44/12</f>
        <v>0</v>
      </c>
      <c r="DH156" s="21">
        <f>EXP(-LN(2)/2)*DH155+(1-EXP(-LN(2)/2))/(LN(2)/2)*DB156*DE156*VLOOKUP('Données projet'!$B$13,Paramètres!$A$1:$I$89,3,0)*0.475*44/12</f>
        <v>0</v>
      </c>
      <c r="DI156" s="22">
        <f t="shared" si="175"/>
        <v>9.3650471990941284</v>
      </c>
      <c r="DJ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19.8100000000004</v>
      </c>
      <c r="DP156" s="17">
        <f>DO156*VLOOKUP('Données projet'!$B$14,Paramètres!$A$1:$I$89,3,0)*VLOOKUP('Données projet'!$B$14,Paramètres!$A$1:$I$89,5,0)</f>
        <v>13.288548000000269</v>
      </c>
      <c r="DQ156" s="13">
        <f t="shared" si="176"/>
        <v>4.531654695205642</v>
      </c>
      <c r="DR156" s="20">
        <f t="shared" si="177"/>
        <v>31.036853027483627</v>
      </c>
      <c r="DS156" s="59">
        <f t="shared" si="125"/>
        <v>318.06949851698363</v>
      </c>
      <c r="DT156" s="59">
        <f ca="1">AVERAGE(OFFSET($DS$3,0,0,'Données projet'!$E$14+1,1))-AVERAGE(OFFSET($H$3,0,0,'Données projet'!$E$14+1,1))</f>
        <v>441.20130048888439</v>
      </c>
      <c r="DU156" s="59">
        <f t="shared" si="152"/>
        <v>237.47732532183946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163.77163479692888</v>
      </c>
      <c r="EB156" s="21">
        <f>EXP(-LN(2)/25)*EB155+(1-EXP(-LN(2)/25))/(LN(2)/25)*Calculateur!DW156*Calculateur!DY156*VLOOKUP('Données projet'!$B$14,Paramètres!$A$1:$I$89,3,0)*0.475*44/12</f>
        <v>0</v>
      </c>
      <c r="EC156" s="21">
        <f>EXP(-LN(2)/2)*EC155+(1-EXP(-LN(2)/2))/(LN(2)/2)*DW156*DZ156*VLOOKUP('Données projet'!$B$14,Paramètres!$A$1:$I$89,3,0)*0.475*44/12</f>
        <v>0</v>
      </c>
      <c r="ED156" s="22">
        <f t="shared" si="178"/>
        <v>163.77163479692888</v>
      </c>
      <c r="EE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319</v>
      </c>
      <c r="EK156" s="17">
        <f>EJ156*VLOOKUP('Données projet'!$B$15,Paramètres!$A$1:$I$89,3,0)*VLOOKUP('Données projet'!$B$15,Paramètres!$A$1:$I$89,5,0)</f>
        <v>253.79640000000001</v>
      </c>
      <c r="EL156" s="13">
        <f t="shared" si="179"/>
        <v>61.39816832228076</v>
      </c>
      <c r="EM156" s="20">
        <f t="shared" si="180"/>
        <v>548.96387316130563</v>
      </c>
      <c r="EN156" s="59">
        <f t="shared" si="128"/>
        <v>835.99651865080568</v>
      </c>
      <c r="EO156" s="59">
        <f ca="1">AVERAGE(OFFSET($EN$3,0,0,'Données projet'!$E$15+1,1))-AVERAGE(OFFSET($H$3,0,0,'Données projet'!$E$15+1,1))</f>
        <v>377.27600411578322</v>
      </c>
      <c r="EP156" s="59">
        <f t="shared" si="154"/>
        <v>364.58250627635425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>
        <f>EXP(-LN(2)/35)*EV155+(1-EXP(-LN(2)/35))/(LN(2)/35)*ER156*ES156*VLOOKUP('Données projet'!$B$15,Paramètres!$A$1:$I$89,3,0)*0.475*44/12</f>
        <v>12.52534516533964</v>
      </c>
      <c r="EW156" s="21">
        <f>EXP(-LN(2)/25)*EW155+(1-EXP(-LN(2)/25))/(LN(2)/25)*Calculateur!ER156*Calculateur!ET156*VLOOKUP('Données projet'!$B$15,Paramètres!$A$1:$I$89,3,0)*0.475*44/12</f>
        <v>0</v>
      </c>
      <c r="EX156" s="21">
        <f>EXP(-LN(2)/2)*EX155+(1-EXP(-LN(2)/2))/(LN(2)/2)*ER156*EU156*VLOOKUP('Données projet'!$B$15,Paramètres!$A$1:$I$89,3,0)*0.475*44/12</f>
        <v>0</v>
      </c>
      <c r="EY156" s="22">
        <f t="shared" si="181"/>
        <v>12.52534516533964</v>
      </c>
      <c r="EZ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319</v>
      </c>
      <c r="FF156" s="17">
        <f>FE156*VLOOKUP('Données projet'!$B$16,Paramètres!$A$1:$I$89,3,0)*VLOOKUP('Données projet'!$B$16,Paramètres!$A$1:$I$89,5,0)</f>
        <v>258.77280000000002</v>
      </c>
      <c r="FG156" s="13">
        <f t="shared" si="182"/>
        <v>62.460716522234691</v>
      </c>
      <c r="FH156" s="20">
        <f t="shared" si="183"/>
        <v>559.48170794289206</v>
      </c>
      <c r="FI156" s="59">
        <f t="shared" si="131"/>
        <v>846.514353432392</v>
      </c>
      <c r="FJ156" s="59">
        <f ca="1">AVERAGE(OFFSET($FI$3,0,0,'Données projet'!$E$16+1,1))-AVERAGE(OFFSET($H$3,0,0,'Données projet'!$E$16+1,1))</f>
        <v>383.47399633251354</v>
      </c>
      <c r="FK156" s="59">
        <f t="shared" si="156"/>
        <v>370.49129421395628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>
        <f>EXP(-LN(2)/35)*FQ155+(1-EXP(-LN(2)/35))/(LN(2)/35)*FM156*FN156*VLOOKUP('Données projet'!$B$16,Paramètres!$A$1:$I$89,3,0)*0.475*44/12</f>
        <v>12.77094016858161</v>
      </c>
      <c r="FR156" s="21">
        <f>EXP(-LN(2)/25)*FR155+(1-EXP(-LN(2)/25))/(LN(2)/25)*Calculateur!FM156*Calculateur!FO156*VLOOKUP('Données projet'!$B$16,Paramètres!$A$1:$I$89,3,0)*0.475*44/12</f>
        <v>0</v>
      </c>
      <c r="FS156" s="21">
        <f>EXP(-LN(2)/2)*FS155+(1-EXP(-LN(2)/2))/(LN(2)/2)*FM156*FP156*VLOOKUP('Données projet'!$B$16,Paramètres!$A$1:$I$89,3,0)*0.475*44/12</f>
        <v>0</v>
      </c>
      <c r="FT156" s="22">
        <f t="shared" si="184"/>
        <v>12.77094016858161</v>
      </c>
      <c r="FU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19.8100000000004</v>
      </c>
      <c r="GA156" s="17">
        <f>FZ156*VLOOKUP('Données projet'!$B$17,Paramètres!$A$1:$I$89,3,0)*VLOOKUP('Données projet'!$B$17,Paramètres!$A$1:$I$89,5,0)</f>
        <v>18.851196000000382</v>
      </c>
      <c r="GB156" s="13">
        <f t="shared" si="185"/>
        <v>6.172221809210666</v>
      </c>
      <c r="GC156" s="20">
        <f t="shared" si="186"/>
        <v>43.582452684375909</v>
      </c>
      <c r="GD156" s="59">
        <f t="shared" si="134"/>
        <v>330.61509817387594</v>
      </c>
      <c r="GE156" s="59">
        <f ca="1">AVERAGE(OFFSET($GD$3,0,0,'Données projet'!$E$17+1,1))-AVERAGE(OFFSET($H$3,0,0,'Données projet'!$E$17+1,1))</f>
        <v>592.58528889137358</v>
      </c>
      <c r="GF156" s="59">
        <f t="shared" si="158"/>
        <v>311.31528020403709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>
        <f>EXP(-LN(2)/35)*GL155+(1-EXP(-LN(2)/35))/(LN(2)/35)*GH156*GI156*VLOOKUP('Données projet'!$B$17,Paramètres!$A$1:$I$89,3,0)*0.475*44/12</f>
        <v>188.49188155872952</v>
      </c>
      <c r="GM156" s="21">
        <f>EXP(-LN(2)/25)*GM155+(1-EXP(-LN(2)/25))/(LN(2)/25)*Calculateur!GH156*Calculateur!GJ156*VLOOKUP('Données projet'!$B$17,Paramètres!$A$1:$I$89,3,0)*0.475*44/12</f>
        <v>0</v>
      </c>
      <c r="GN156" s="21">
        <f>EXP(-LN(2)/2)*GN155+(1-EXP(-LN(2)/2))/(LN(2)/2)*GH156*GK156*VLOOKUP('Données projet'!$B$17,Paramètres!$A$1:$I$89,3,0)*0.475*44/12</f>
        <v>0</v>
      </c>
      <c r="GO156" s="21">
        <f t="shared" si="187"/>
        <v>188.49188155872952</v>
      </c>
      <c r="GP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328.00000000000006</v>
      </c>
      <c r="GV156" s="17">
        <f>GU156*VLOOKUP('Données projet'!$B$18,Paramètres!$A$1:$I$89,3,0)*VLOOKUP('Données projet'!$B$18,Paramètres!$A$1:$I$89,5,0)</f>
        <v>255.84000000000006</v>
      </c>
      <c r="GW156" s="13">
        <f t="shared" si="188"/>
        <v>61.834803371075836</v>
      </c>
      <c r="GX156" s="20">
        <f t="shared" si="189"/>
        <v>553.28361587129041</v>
      </c>
      <c r="GY156" s="59">
        <f t="shared" si="137"/>
        <v>840.31626136079035</v>
      </c>
      <c r="GZ156" s="59">
        <f ca="1">AVERAGE(OFFSET($GY$3,0,0,'Données projet'!$E$18+1,1))-AVERAGE(OFFSET($H$3,0,0,'Données projet'!$E$18+1,1))</f>
        <v>308.85018589589453</v>
      </c>
      <c r="HA156" s="59">
        <f t="shared" si="160"/>
        <v>302.59481222418219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>
        <f>EXP(-LN(2)/35)*HG155+(1-EXP(-LN(2)/35))/(LN(2)/35)*HC156*HD156*VLOOKUP('Données projet'!$B$18,Paramètres!$A$1:$I$89,3,0)*0.475*44/12</f>
        <v>9.5452624817103793</v>
      </c>
      <c r="HH156" s="21">
        <f>EXP(-LN(2)/25)*HH155+(1-EXP(-LN(2)/25))/(LN(2)/25)*Calculateur!HC156*Calculateur!HE156*VLOOKUP('Données projet'!$B$18,Paramètres!$A$1:$I$89,3,0)*0.475*44/12</f>
        <v>0</v>
      </c>
      <c r="HI156" s="21">
        <f>EXP(-LN(2)/2)*HI155+(1-EXP(-LN(2)/2))/(LN(2)/2)*HC156*HF156*VLOOKUP('Données projet'!$B$18,Paramètres!$A$1:$I$89,3,0)*0.475*44/12</f>
        <v>0</v>
      </c>
      <c r="HJ156" s="22">
        <f t="shared" si="190"/>
        <v>9.5452624817103793</v>
      </c>
    </row>
    <row r="157" spans="1:218" x14ac:dyDescent="0.35">
      <c r="A157" s="10">
        <f t="shared" si="161"/>
        <v>154</v>
      </c>
      <c r="B157" s="72">
        <f>'Scénario référence'!$B$16*5+'Scénario référence'!$B$17*0+'Scénario référence'!$B$18*5</f>
        <v>5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66">
        <f t="shared" si="110"/>
        <v>183.33333333333334</v>
      </c>
      <c r="I157" s="6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19.8100000000004</v>
      </c>
      <c r="O157" s="13">
        <f>N157*VLOOKUP('Données projet'!$B$9,Paramètres!$A$1:$I$89,3,0)*VLOOKUP('Données projet'!$B$9,Paramètres!$A$1:$I$89,5,0)</f>
        <v>17.924088000000364</v>
      </c>
      <c r="P157" s="13">
        <f t="shared" si="141"/>
        <v>5.9032212091029486</v>
      </c>
      <c r="Q157" s="20">
        <f t="shared" si="162"/>
        <v>41.499230205854936</v>
      </c>
      <c r="R157" s="59">
        <f t="shared" si="109"/>
        <v>328.64117854321768</v>
      </c>
      <c r="S157" s="59">
        <f ca="1">AVERAGE(OFFSET($R$3,0,0,'Données projet'!$E$9+1,1))-AVERAGE(OFFSET($H$3,0,0,'Données projet'!$E$9+1,1))</f>
        <v>567.42635821507474</v>
      </c>
      <c r="T157" s="59">
        <f t="shared" si="142"/>
        <v>299.04735309930152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175.70735905480956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175.70735905480956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19.8100000000004</v>
      </c>
      <c r="AJ157" s="13">
        <f>AI157*VLOOKUP('Données projet'!$B$10,Paramètres!$A$1:$I$89,3,0)*VLOOKUP('Données projet'!$B$10,Paramètres!$A$1:$I$89,5,0)</f>
        <v>20.08734000000041</v>
      </c>
      <c r="AK157" s="13">
        <f t="shared" si="164"/>
        <v>6.5285137703520215</v>
      </c>
      <c r="AL157" s="20">
        <f t="shared" si="165"/>
        <v>46.355945316697152</v>
      </c>
      <c r="AM157" s="59">
        <f t="shared" si="113"/>
        <v>333.49789365405991</v>
      </c>
      <c r="AN157" s="59">
        <f ca="1">AVERAGE(OFFSET($AM$3,0,0,'Données projet'!$E$10+1,1))-AVERAGE(OFFSET($H$3,0,0,'Données projet'!$E$10+1,1))</f>
        <v>626.09203985591455</v>
      </c>
      <c r="AO157" s="59">
        <f t="shared" si="144"/>
        <v>327.65191296575199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196.91341963039005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196.91341963039005</v>
      </c>
      <c r="AY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404.00000000000017</v>
      </c>
      <c r="BE157" s="13">
        <f>BD157*VLOOKUP('Données projet'!$B$11,Paramètres!$A$1:$I$89,3,0)*VLOOKUP('Données projet'!$B$11,Paramètres!$A$1:$I$89,5,0)</f>
        <v>346.63200000000018</v>
      </c>
      <c r="BF157" s="13">
        <f t="shared" si="167"/>
        <v>80.868615263336864</v>
      </c>
      <c r="BG157" s="20">
        <f t="shared" si="168"/>
        <v>744.56357158364528</v>
      </c>
      <c r="BH157" s="59">
        <f t="shared" si="116"/>
        <v>1031.7055199210081</v>
      </c>
      <c r="BI157" s="59">
        <f ca="1">AVERAGE(OFFSET($BH$3,0,0,'Données projet'!$E$11+1,1))-AVERAGE(OFFSET($H$3,0,0,'Données projet'!$E$11+1,1))</f>
        <v>481.23392184981651</v>
      </c>
      <c r="BJ157" s="59">
        <f t="shared" si="146"/>
        <v>275.88160405468193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50.977494842536764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50.977494842536764</v>
      </c>
      <c r="BT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5.2499999999990337</v>
      </c>
      <c r="BZ157" s="13">
        <f>BY157*VLOOKUP('Données projet'!$B$12,Paramètres!$A$1:$I$89,3,0)*VLOOKUP('Données projet'!$B$12,Paramètres!$A$1:$I$89,5,0)</f>
        <v>2.4569999999995478</v>
      </c>
      <c r="CA157" s="13">
        <f t="shared" si="170"/>
        <v>1.0197977774625564</v>
      </c>
      <c r="CB157" s="20">
        <f t="shared" si="171"/>
        <v>6.0554227957464972</v>
      </c>
      <c r="CC157" s="59">
        <f t="shared" si="119"/>
        <v>293.19737113310924</v>
      </c>
      <c r="CD157" s="59">
        <f ca="1">AVERAGE(OFFSET($CC$3,0,0,'Données projet'!$E$12+1,1))-AVERAGE(OFFSET($H$3,0,0,'Données projet'!$E$12+1,1))</f>
        <v>331.86732359395467</v>
      </c>
      <c r="CE157" s="59">
        <f t="shared" si="148"/>
        <v>208.64489375183106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99.625269512529314</v>
      </c>
      <c r="CL157" s="21">
        <f>EXP(-LN(2)/25)*CL156+(1-EXP(-LN(2)/25))/(LN(2)/25)*Calculateur!CG157*Calculateur!CI157*VLOOKUP('Données projet'!$B$12,Paramètres!$A$1:$I$89,3,0)*0.475*44/12</f>
        <v>0</v>
      </c>
      <c r="CM157" s="21">
        <f>EXP(-LN(2)/2)*CM156+(1-EXP(-LN(2)/2))/(LN(2)/2)*CG157*CJ157*VLOOKUP('Données projet'!$B$12,Paramètres!$A$1:$I$89,3,0)*0.475*44/12</f>
        <v>0</v>
      </c>
      <c r="CN157" s="22">
        <f t="shared" si="172"/>
        <v>99.625269512529314</v>
      </c>
      <c r="CO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319</v>
      </c>
      <c r="CU157" s="17">
        <f>CT157*VLOOKUP('Données projet'!$B$13,Paramètres!$A$1:$I$89,3,0)*VLOOKUP('Données projet'!$B$13,Paramètres!$A$1:$I$89,5,0)</f>
        <v>233.89079999999998</v>
      </c>
      <c r="CV157" s="13">
        <f t="shared" si="173"/>
        <v>57.123140349023068</v>
      </c>
      <c r="CW157" s="20">
        <f t="shared" si="174"/>
        <v>506.84927944121517</v>
      </c>
      <c r="CX157" s="59">
        <f t="shared" si="122"/>
        <v>793.99122777857792</v>
      </c>
      <c r="CY157" s="59">
        <f ca="1">AVERAGE(OFFSET($CX$3,0,0,'Données projet'!$E$13+1,1))-AVERAGE(OFFSET($H$3,0,0,'Données projet'!$E$13+1,1))</f>
        <v>352.45777291109863</v>
      </c>
      <c r="CZ157" s="59">
        <f t="shared" si="150"/>
        <v>340.92165104349181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9.1814043356346602</v>
      </c>
      <c r="DG157" s="21">
        <f>EXP(-LN(2)/25)*DG156+(1-EXP(-LN(2)/25))/(LN(2)/25)*Calculateur!DB157*Calculateur!DD157*VLOOKUP('Données projet'!$B$13,Paramètres!$A$1:$I$89,3,0)*0.475*44/12</f>
        <v>0</v>
      </c>
      <c r="DH157" s="21">
        <f>EXP(-LN(2)/2)*DH156+(1-EXP(-LN(2)/2))/(LN(2)/2)*DB157*DE157*VLOOKUP('Données projet'!$B$13,Paramètres!$A$1:$I$89,3,0)*0.475*44/12</f>
        <v>0</v>
      </c>
      <c r="DI157" s="22">
        <f t="shared" si="175"/>
        <v>9.1814043356346602</v>
      </c>
      <c r="DJ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19.8100000000004</v>
      </c>
      <c r="DP157" s="17">
        <f>DO157*VLOOKUP('Données projet'!$B$14,Paramètres!$A$1:$I$89,3,0)*VLOOKUP('Données projet'!$B$14,Paramètres!$A$1:$I$89,5,0)</f>
        <v>13.288548000000269</v>
      </c>
      <c r="DQ157" s="13">
        <f t="shared" si="176"/>
        <v>4.531654695205642</v>
      </c>
      <c r="DR157" s="20">
        <f t="shared" si="177"/>
        <v>31.036853027483627</v>
      </c>
      <c r="DS157" s="59">
        <f t="shared" si="125"/>
        <v>318.17880136484638</v>
      </c>
      <c r="DT157" s="59">
        <f ca="1">AVERAGE(OFFSET($DS$3,0,0,'Données projet'!$E$14+1,1))-AVERAGE(OFFSET($H$3,0,0,'Données projet'!$E$14+1,1))</f>
        <v>441.20130048888439</v>
      </c>
      <c r="DU157" s="59">
        <f t="shared" si="152"/>
        <v>237.47732532183946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160.56017292939492</v>
      </c>
      <c r="EB157" s="21">
        <f>EXP(-LN(2)/25)*EB156+(1-EXP(-LN(2)/25))/(LN(2)/25)*Calculateur!DW157*Calculateur!DY157*VLOOKUP('Données projet'!$B$14,Paramètres!$A$1:$I$89,3,0)*0.475*44/12</f>
        <v>0</v>
      </c>
      <c r="EC157" s="21">
        <f>EXP(-LN(2)/2)*EC156+(1-EXP(-LN(2)/2))/(LN(2)/2)*DW157*DZ157*VLOOKUP('Données projet'!$B$14,Paramètres!$A$1:$I$89,3,0)*0.475*44/12</f>
        <v>0</v>
      </c>
      <c r="ED157" s="22">
        <f t="shared" si="178"/>
        <v>160.56017292939492</v>
      </c>
      <c r="EE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319</v>
      </c>
      <c r="EK157" s="17">
        <f>EJ157*VLOOKUP('Données projet'!$B$15,Paramètres!$A$1:$I$89,3,0)*VLOOKUP('Données projet'!$B$15,Paramètres!$A$1:$I$89,5,0)</f>
        <v>253.79640000000001</v>
      </c>
      <c r="EL157" s="13">
        <f t="shared" si="179"/>
        <v>61.39816832228076</v>
      </c>
      <c r="EM157" s="20">
        <f t="shared" si="180"/>
        <v>548.96387316130563</v>
      </c>
      <c r="EN157" s="59">
        <f t="shared" si="128"/>
        <v>836.10582149866832</v>
      </c>
      <c r="EO157" s="59">
        <f ca="1">AVERAGE(OFFSET($EN$3,0,0,'Données projet'!$E$15+1,1))-AVERAGE(OFFSET($H$3,0,0,'Données projet'!$E$15+1,1))</f>
        <v>377.27600411578322</v>
      </c>
      <c r="EP157" s="59">
        <f t="shared" si="154"/>
        <v>364.58250627635425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>
        <f>EXP(-LN(2)/35)*EV156+(1-EXP(-LN(2)/35))/(LN(2)/35)*ER157*ES157*VLOOKUP('Données projet'!$B$15,Paramètres!$A$1:$I$89,3,0)*0.475*44/12</f>
        <v>12.279730786353522</v>
      </c>
      <c r="EW157" s="21">
        <f>EXP(-LN(2)/25)*EW156+(1-EXP(-LN(2)/25))/(LN(2)/25)*Calculateur!ER157*Calculateur!ET157*VLOOKUP('Données projet'!$B$15,Paramètres!$A$1:$I$89,3,0)*0.475*44/12</f>
        <v>0</v>
      </c>
      <c r="EX157" s="21">
        <f>EXP(-LN(2)/2)*EX156+(1-EXP(-LN(2)/2))/(LN(2)/2)*ER157*EU157*VLOOKUP('Données projet'!$B$15,Paramètres!$A$1:$I$89,3,0)*0.475*44/12</f>
        <v>0</v>
      </c>
      <c r="EY157" s="22">
        <f t="shared" si="181"/>
        <v>12.279730786353522</v>
      </c>
      <c r="EZ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319</v>
      </c>
      <c r="FF157" s="17">
        <f>FE157*VLOOKUP('Données projet'!$B$16,Paramètres!$A$1:$I$89,3,0)*VLOOKUP('Données projet'!$B$16,Paramètres!$A$1:$I$89,5,0)</f>
        <v>258.77280000000002</v>
      </c>
      <c r="FG157" s="13">
        <f t="shared" si="182"/>
        <v>62.460716522234691</v>
      </c>
      <c r="FH157" s="20">
        <f t="shared" si="183"/>
        <v>559.48170794289206</v>
      </c>
      <c r="FI157" s="59">
        <f t="shared" si="131"/>
        <v>846.62365628025486</v>
      </c>
      <c r="FJ157" s="59">
        <f ca="1">AVERAGE(OFFSET($FI$3,0,0,'Données projet'!$E$16+1,1))-AVERAGE(OFFSET($H$3,0,0,'Données projet'!$E$16+1,1))</f>
        <v>383.47399633251354</v>
      </c>
      <c r="FK157" s="59">
        <f t="shared" si="156"/>
        <v>370.49129421395628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>
        <f>EXP(-LN(2)/35)*FQ156+(1-EXP(-LN(2)/35))/(LN(2)/35)*FM157*FN157*VLOOKUP('Données projet'!$B$16,Paramètres!$A$1:$I$89,3,0)*0.475*44/12</f>
        <v>12.520509821380077</v>
      </c>
      <c r="FR157" s="21">
        <f>EXP(-LN(2)/25)*FR156+(1-EXP(-LN(2)/25))/(LN(2)/25)*Calculateur!FM157*Calculateur!FO157*VLOOKUP('Données projet'!$B$16,Paramètres!$A$1:$I$89,3,0)*0.475*44/12</f>
        <v>0</v>
      </c>
      <c r="FS157" s="21">
        <f>EXP(-LN(2)/2)*FS156+(1-EXP(-LN(2)/2))/(LN(2)/2)*FM157*FP157*VLOOKUP('Données projet'!$B$16,Paramètres!$A$1:$I$89,3,0)*0.475*44/12</f>
        <v>0</v>
      </c>
      <c r="FT157" s="22">
        <f t="shared" si="184"/>
        <v>12.520509821380077</v>
      </c>
      <c r="FU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19.8100000000004</v>
      </c>
      <c r="GA157" s="17">
        <f>FZ157*VLOOKUP('Données projet'!$B$17,Paramètres!$A$1:$I$89,3,0)*VLOOKUP('Données projet'!$B$17,Paramètres!$A$1:$I$89,5,0)</f>
        <v>18.851196000000382</v>
      </c>
      <c r="GB157" s="13">
        <f t="shared" si="185"/>
        <v>6.172221809210666</v>
      </c>
      <c r="GC157" s="20">
        <f t="shared" si="186"/>
        <v>43.582452684375909</v>
      </c>
      <c r="GD157" s="59">
        <f t="shared" si="134"/>
        <v>330.72440102173869</v>
      </c>
      <c r="GE157" s="59">
        <f ca="1">AVERAGE(OFFSET($GD$3,0,0,'Données projet'!$E$17+1,1))-AVERAGE(OFFSET($H$3,0,0,'Données projet'!$E$17+1,1))</f>
        <v>592.58528889137358</v>
      </c>
      <c r="GF157" s="59">
        <f t="shared" si="158"/>
        <v>311.31528020403709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>
        <f>EXP(-LN(2)/35)*GL156+(1-EXP(-LN(2)/35))/(LN(2)/35)*GH157*GI157*VLOOKUP('Données projet'!$B$17,Paramètres!$A$1:$I$89,3,0)*0.475*44/12</f>
        <v>184.79567073005836</v>
      </c>
      <c r="GM157" s="21">
        <f>EXP(-LN(2)/25)*GM156+(1-EXP(-LN(2)/25))/(LN(2)/25)*Calculateur!GH157*Calculateur!GJ157*VLOOKUP('Données projet'!$B$17,Paramètres!$A$1:$I$89,3,0)*0.475*44/12</f>
        <v>0</v>
      </c>
      <c r="GN157" s="21">
        <f>EXP(-LN(2)/2)*GN156+(1-EXP(-LN(2)/2))/(LN(2)/2)*GH157*GK157*VLOOKUP('Données projet'!$B$17,Paramètres!$A$1:$I$89,3,0)*0.475*44/12</f>
        <v>0</v>
      </c>
      <c r="GO157" s="21">
        <f t="shared" si="187"/>
        <v>184.79567073005836</v>
      </c>
      <c r="GP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328.00000000000006</v>
      </c>
      <c r="GV157" s="17">
        <f>GU157*VLOOKUP('Données projet'!$B$18,Paramètres!$A$1:$I$89,3,0)*VLOOKUP('Données projet'!$B$18,Paramètres!$A$1:$I$89,5,0)</f>
        <v>255.84000000000006</v>
      </c>
      <c r="GW157" s="13">
        <f t="shared" si="188"/>
        <v>61.834803371075836</v>
      </c>
      <c r="GX157" s="20">
        <f t="shared" si="189"/>
        <v>553.28361587129041</v>
      </c>
      <c r="GY157" s="59">
        <f t="shared" si="137"/>
        <v>840.42556420865321</v>
      </c>
      <c r="GZ157" s="59">
        <f ca="1">AVERAGE(OFFSET($GY$3,0,0,'Données projet'!$E$18+1,1))-AVERAGE(OFFSET($H$3,0,0,'Données projet'!$E$18+1,1))</f>
        <v>308.85018589589453</v>
      </c>
      <c r="HA157" s="59">
        <f t="shared" si="160"/>
        <v>302.59481222418219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>
        <f>EXP(-LN(2)/35)*HG156+(1-EXP(-LN(2)/35))/(LN(2)/35)*HC157*HD157*VLOOKUP('Données projet'!$B$18,Paramètres!$A$1:$I$89,3,0)*0.475*44/12</f>
        <v>9.3580857064792742</v>
      </c>
      <c r="HH157" s="21">
        <f>EXP(-LN(2)/25)*HH156+(1-EXP(-LN(2)/25))/(LN(2)/25)*Calculateur!HC157*Calculateur!HE157*VLOOKUP('Données projet'!$B$18,Paramètres!$A$1:$I$89,3,0)*0.475*44/12</f>
        <v>0</v>
      </c>
      <c r="HI157" s="21">
        <f>EXP(-LN(2)/2)*HI156+(1-EXP(-LN(2)/2))/(LN(2)/2)*HC157*HF157*VLOOKUP('Données projet'!$B$18,Paramètres!$A$1:$I$89,3,0)*0.475*44/12</f>
        <v>0</v>
      </c>
      <c r="HJ157" s="22">
        <f t="shared" si="190"/>
        <v>9.3580857064792742</v>
      </c>
    </row>
    <row r="158" spans="1:218" x14ac:dyDescent="0.35">
      <c r="A158" s="10">
        <f t="shared" si="161"/>
        <v>155</v>
      </c>
      <c r="B158" s="72">
        <f>'Scénario référence'!$B$16*5+'Scénario référence'!$B$17*0+'Scénario référence'!$B$18*5</f>
        <v>5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66">
        <f t="shared" si="110"/>
        <v>183.33333333333334</v>
      </c>
      <c r="I158" s="6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19.8100000000004</v>
      </c>
      <c r="O158" s="13">
        <f>N158*VLOOKUP('Données projet'!$B$9,Paramètres!$A$1:$I$89,3,0)*VLOOKUP('Données projet'!$B$9,Paramètres!$A$1:$I$89,5,0)</f>
        <v>17.924088000000364</v>
      </c>
      <c r="P158" s="13">
        <f t="shared" si="141"/>
        <v>5.9032212091029486</v>
      </c>
      <c r="Q158" s="20">
        <f t="shared" si="162"/>
        <v>41.499230205854936</v>
      </c>
      <c r="R158" s="59">
        <f t="shared" si="109"/>
        <v>328.74858523103461</v>
      </c>
      <c r="S158" s="59">
        <f ca="1">AVERAGE(OFFSET($R$3,0,0,'Données projet'!$E$9+1,1))-AVERAGE(OFFSET($H$3,0,0,'Données projet'!$E$9+1,1))</f>
        <v>567.42635821507474</v>
      </c>
      <c r="T158" s="59">
        <f t="shared" si="142"/>
        <v>299.04735309930152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172.2618449146515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172.2618449146515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19.8100000000004</v>
      </c>
      <c r="AJ158" s="13">
        <f>AI158*VLOOKUP('Données projet'!$B$10,Paramètres!$A$1:$I$89,3,0)*VLOOKUP('Données projet'!$B$10,Paramètres!$A$1:$I$89,5,0)</f>
        <v>20.08734000000041</v>
      </c>
      <c r="AK158" s="13">
        <f t="shared" si="164"/>
        <v>6.5285137703520215</v>
      </c>
      <c r="AL158" s="20">
        <f t="shared" si="165"/>
        <v>46.355945316697152</v>
      </c>
      <c r="AM158" s="59">
        <f t="shared" si="113"/>
        <v>333.60530034187684</v>
      </c>
      <c r="AN158" s="59">
        <f ca="1">AVERAGE(OFFSET($AM$3,0,0,'Données projet'!$E$10+1,1))-AVERAGE(OFFSET($H$3,0,0,'Données projet'!$E$10+1,1))</f>
        <v>626.09203985591455</v>
      </c>
      <c r="AO158" s="59">
        <f t="shared" si="144"/>
        <v>327.65191296575199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193.05206757676467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193.05206757676467</v>
      </c>
      <c r="AY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404.00000000000017</v>
      </c>
      <c r="BE158" s="13">
        <f>BD158*VLOOKUP('Données projet'!$B$11,Paramètres!$A$1:$I$89,3,0)*VLOOKUP('Données projet'!$B$11,Paramètres!$A$1:$I$89,5,0)</f>
        <v>346.63200000000018</v>
      </c>
      <c r="BF158" s="13">
        <f t="shared" si="167"/>
        <v>80.868615263336864</v>
      </c>
      <c r="BG158" s="20">
        <f t="shared" si="168"/>
        <v>744.56357158364528</v>
      </c>
      <c r="BH158" s="59">
        <f t="shared" si="116"/>
        <v>1031.8129266088249</v>
      </c>
      <c r="BI158" s="59">
        <f ca="1">AVERAGE(OFFSET($BH$3,0,0,'Données projet'!$E$11+1,1))-AVERAGE(OFFSET($H$3,0,0,'Données projet'!$E$11+1,1))</f>
        <v>481.23392184981651</v>
      </c>
      <c r="BJ158" s="59">
        <f t="shared" si="146"/>
        <v>275.88160405468193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49.977857261876274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49.977857261876274</v>
      </c>
      <c r="BT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5.2499999999990337</v>
      </c>
      <c r="BZ158" s="13">
        <f>BY158*VLOOKUP('Données projet'!$B$12,Paramètres!$A$1:$I$89,3,0)*VLOOKUP('Données projet'!$B$12,Paramètres!$A$1:$I$89,5,0)</f>
        <v>2.4569999999995478</v>
      </c>
      <c r="CA158" s="13">
        <f t="shared" si="170"/>
        <v>1.0197977774625564</v>
      </c>
      <c r="CB158" s="20">
        <f t="shared" si="171"/>
        <v>6.0554227957464972</v>
      </c>
      <c r="CC158" s="59">
        <f t="shared" si="119"/>
        <v>293.30477782092618</v>
      </c>
      <c r="CD158" s="59">
        <f ca="1">AVERAGE(OFFSET($CC$3,0,0,'Données projet'!$E$12+1,1))-AVERAGE(OFFSET($H$3,0,0,'Données projet'!$E$12+1,1))</f>
        <v>331.86732359395467</v>
      </c>
      <c r="CE158" s="59">
        <f t="shared" si="148"/>
        <v>208.64489375183106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97.671678742802925</v>
      </c>
      <c r="CL158" s="21">
        <f>EXP(-LN(2)/25)*CL157+(1-EXP(-LN(2)/25))/(LN(2)/25)*Calculateur!CG158*Calculateur!CI158*VLOOKUP('Données projet'!$B$12,Paramètres!$A$1:$I$89,3,0)*0.475*44/12</f>
        <v>0</v>
      </c>
      <c r="CM158" s="21">
        <f>EXP(-LN(2)/2)*CM157+(1-EXP(-LN(2)/2))/(LN(2)/2)*CG158*CJ158*VLOOKUP('Données projet'!$B$12,Paramètres!$A$1:$I$89,3,0)*0.475*44/12</f>
        <v>0</v>
      </c>
      <c r="CN158" s="22">
        <f t="shared" si="172"/>
        <v>97.671678742802925</v>
      </c>
      <c r="CO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319</v>
      </c>
      <c r="CU158" s="17">
        <f>CT158*VLOOKUP('Données projet'!$B$13,Paramètres!$A$1:$I$89,3,0)*VLOOKUP('Données projet'!$B$13,Paramètres!$A$1:$I$89,5,0)</f>
        <v>233.89079999999998</v>
      </c>
      <c r="CV158" s="13">
        <f t="shared" si="173"/>
        <v>57.123140349023068</v>
      </c>
      <c r="CW158" s="20">
        <f t="shared" si="174"/>
        <v>506.84927944121517</v>
      </c>
      <c r="CX158" s="59">
        <f t="shared" si="122"/>
        <v>794.09863446639486</v>
      </c>
      <c r="CY158" s="59">
        <f ca="1">AVERAGE(OFFSET($CX$3,0,0,'Données projet'!$E$13+1,1))-AVERAGE(OFFSET($H$3,0,0,'Données projet'!$E$13+1,1))</f>
        <v>352.45777291109863</v>
      </c>
      <c r="CZ158" s="59">
        <f t="shared" si="150"/>
        <v>340.92165104349181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9.0013625967165449</v>
      </c>
      <c r="DG158" s="21">
        <f>EXP(-LN(2)/25)*DG157+(1-EXP(-LN(2)/25))/(LN(2)/25)*Calculateur!DB158*Calculateur!DD158*VLOOKUP('Données projet'!$B$13,Paramètres!$A$1:$I$89,3,0)*0.475*44/12</f>
        <v>0</v>
      </c>
      <c r="DH158" s="21">
        <f>EXP(-LN(2)/2)*DH157+(1-EXP(-LN(2)/2))/(LN(2)/2)*DB158*DE158*VLOOKUP('Données projet'!$B$13,Paramètres!$A$1:$I$89,3,0)*0.475*44/12</f>
        <v>0</v>
      </c>
      <c r="DI158" s="22">
        <f t="shared" si="175"/>
        <v>9.0013625967165449</v>
      </c>
      <c r="DJ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19.8100000000004</v>
      </c>
      <c r="DP158" s="17">
        <f>DO158*VLOOKUP('Données projet'!$B$14,Paramètres!$A$1:$I$89,3,0)*VLOOKUP('Données projet'!$B$14,Paramètres!$A$1:$I$89,5,0)</f>
        <v>13.288548000000269</v>
      </c>
      <c r="DQ158" s="13">
        <f t="shared" si="176"/>
        <v>4.531654695205642</v>
      </c>
      <c r="DR158" s="20">
        <f t="shared" si="177"/>
        <v>31.036853027483627</v>
      </c>
      <c r="DS158" s="59">
        <f t="shared" si="125"/>
        <v>318.28620805266331</v>
      </c>
      <c r="DT158" s="59">
        <f ca="1">AVERAGE(OFFSET($DS$3,0,0,'Données projet'!$E$14+1,1))-AVERAGE(OFFSET($H$3,0,0,'Données projet'!$E$14+1,1))</f>
        <v>441.20130048888439</v>
      </c>
      <c r="DU158" s="59">
        <f t="shared" si="152"/>
        <v>237.47732532183946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157.411685870285</v>
      </c>
      <c r="EB158" s="21">
        <f>EXP(-LN(2)/25)*EB157+(1-EXP(-LN(2)/25))/(LN(2)/25)*Calculateur!DW158*Calculateur!DY158*VLOOKUP('Données projet'!$B$14,Paramètres!$A$1:$I$89,3,0)*0.475*44/12</f>
        <v>0</v>
      </c>
      <c r="EC158" s="21">
        <f>EXP(-LN(2)/2)*EC157+(1-EXP(-LN(2)/2))/(LN(2)/2)*DW158*DZ158*VLOOKUP('Données projet'!$B$14,Paramètres!$A$1:$I$89,3,0)*0.475*44/12</f>
        <v>0</v>
      </c>
      <c r="ED158" s="22">
        <f t="shared" si="178"/>
        <v>157.411685870285</v>
      </c>
      <c r="EE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319</v>
      </c>
      <c r="EK158" s="17">
        <f>EJ158*VLOOKUP('Données projet'!$B$15,Paramètres!$A$1:$I$89,3,0)*VLOOKUP('Données projet'!$B$15,Paramètres!$A$1:$I$89,5,0)</f>
        <v>253.79640000000001</v>
      </c>
      <c r="EL158" s="13">
        <f t="shared" si="179"/>
        <v>61.39816832228076</v>
      </c>
      <c r="EM158" s="20">
        <f t="shared" si="180"/>
        <v>548.96387316130563</v>
      </c>
      <c r="EN158" s="59">
        <f t="shared" si="128"/>
        <v>836.21322818648537</v>
      </c>
      <c r="EO158" s="59">
        <f ca="1">AVERAGE(OFFSET($EN$3,0,0,'Données projet'!$E$15+1,1))-AVERAGE(OFFSET($H$3,0,0,'Données projet'!$E$15+1,1))</f>
        <v>377.27600411578322</v>
      </c>
      <c r="EP158" s="59">
        <f t="shared" si="154"/>
        <v>364.58250627635425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>
        <f>EXP(-LN(2)/35)*EV157+(1-EXP(-LN(2)/35))/(LN(2)/35)*ER158*ES158*VLOOKUP('Données projet'!$B$15,Paramètres!$A$1:$I$89,3,0)*0.475*44/12</f>
        <v>12.038932755529343</v>
      </c>
      <c r="EW158" s="21">
        <f>EXP(-LN(2)/25)*EW157+(1-EXP(-LN(2)/25))/(LN(2)/25)*Calculateur!ER158*Calculateur!ET158*VLOOKUP('Données projet'!$B$15,Paramètres!$A$1:$I$89,3,0)*0.475*44/12</f>
        <v>0</v>
      </c>
      <c r="EX158" s="21">
        <f>EXP(-LN(2)/2)*EX157+(1-EXP(-LN(2)/2))/(LN(2)/2)*ER158*EU158*VLOOKUP('Données projet'!$B$15,Paramètres!$A$1:$I$89,3,0)*0.475*44/12</f>
        <v>0</v>
      </c>
      <c r="EY158" s="22">
        <f t="shared" si="181"/>
        <v>12.038932755529343</v>
      </c>
      <c r="EZ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319</v>
      </c>
      <c r="FF158" s="17">
        <f>FE158*VLOOKUP('Données projet'!$B$16,Paramètres!$A$1:$I$89,3,0)*VLOOKUP('Données projet'!$B$16,Paramètres!$A$1:$I$89,5,0)</f>
        <v>258.77280000000002</v>
      </c>
      <c r="FG158" s="13">
        <f t="shared" si="182"/>
        <v>62.460716522234691</v>
      </c>
      <c r="FH158" s="20">
        <f t="shared" si="183"/>
        <v>559.48170794289206</v>
      </c>
      <c r="FI158" s="59">
        <f t="shared" si="131"/>
        <v>846.73106296807168</v>
      </c>
      <c r="FJ158" s="59">
        <f ca="1">AVERAGE(OFFSET($FI$3,0,0,'Données projet'!$E$16+1,1))-AVERAGE(OFFSET($H$3,0,0,'Données projet'!$E$16+1,1))</f>
        <v>383.47399633251354</v>
      </c>
      <c r="FK158" s="59">
        <f t="shared" si="156"/>
        <v>370.49129421395628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>
        <f>EXP(-LN(2)/35)*FQ157+(1-EXP(-LN(2)/35))/(LN(2)/35)*FM158*FN158*VLOOKUP('Données projet'!$B$16,Paramètres!$A$1:$I$89,3,0)*0.475*44/12</f>
        <v>12.274990260539738</v>
      </c>
      <c r="FR158" s="21">
        <f>EXP(-LN(2)/25)*FR157+(1-EXP(-LN(2)/25))/(LN(2)/25)*Calculateur!FM158*Calculateur!FO158*VLOOKUP('Données projet'!$B$16,Paramètres!$A$1:$I$89,3,0)*0.475*44/12</f>
        <v>0</v>
      </c>
      <c r="FS158" s="21">
        <f>EXP(-LN(2)/2)*FS157+(1-EXP(-LN(2)/2))/(LN(2)/2)*FM158*FP158*VLOOKUP('Données projet'!$B$16,Paramètres!$A$1:$I$89,3,0)*0.475*44/12</f>
        <v>0</v>
      </c>
      <c r="FT158" s="22">
        <f t="shared" si="184"/>
        <v>12.274990260539738</v>
      </c>
      <c r="FU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19.8100000000004</v>
      </c>
      <c r="GA158" s="17">
        <f>FZ158*VLOOKUP('Données projet'!$B$17,Paramètres!$A$1:$I$89,3,0)*VLOOKUP('Données projet'!$B$17,Paramètres!$A$1:$I$89,5,0)</f>
        <v>18.851196000000382</v>
      </c>
      <c r="GB158" s="13">
        <f t="shared" si="185"/>
        <v>6.172221809210666</v>
      </c>
      <c r="GC158" s="20">
        <f t="shared" si="186"/>
        <v>43.582452684375909</v>
      </c>
      <c r="GD158" s="59">
        <f t="shared" si="134"/>
        <v>330.83180770955562</v>
      </c>
      <c r="GE158" s="59">
        <f ca="1">AVERAGE(OFFSET($GD$3,0,0,'Données projet'!$E$17+1,1))-AVERAGE(OFFSET($H$3,0,0,'Données projet'!$E$17+1,1))</f>
        <v>592.58528889137358</v>
      </c>
      <c r="GF158" s="59">
        <f t="shared" si="158"/>
        <v>311.31528020403709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>
        <f>EXP(-LN(2)/35)*GL157+(1-EXP(-LN(2)/35))/(LN(2)/35)*GH158*GI158*VLOOKUP('Données projet'!$B$17,Paramètres!$A$1:$I$89,3,0)*0.475*44/12</f>
        <v>181.17194034127147</v>
      </c>
      <c r="GM158" s="21">
        <f>EXP(-LN(2)/25)*GM157+(1-EXP(-LN(2)/25))/(LN(2)/25)*Calculateur!GH158*Calculateur!GJ158*VLOOKUP('Données projet'!$B$17,Paramètres!$A$1:$I$89,3,0)*0.475*44/12</f>
        <v>0</v>
      </c>
      <c r="GN158" s="21">
        <f>EXP(-LN(2)/2)*GN157+(1-EXP(-LN(2)/2))/(LN(2)/2)*GH158*GK158*VLOOKUP('Données projet'!$B$17,Paramètres!$A$1:$I$89,3,0)*0.475*44/12</f>
        <v>0</v>
      </c>
      <c r="GO158" s="21">
        <f t="shared" si="187"/>
        <v>181.17194034127147</v>
      </c>
      <c r="GP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328.00000000000006</v>
      </c>
      <c r="GV158" s="17">
        <f>GU158*VLOOKUP('Données projet'!$B$18,Paramètres!$A$1:$I$89,3,0)*VLOOKUP('Données projet'!$B$18,Paramètres!$A$1:$I$89,5,0)</f>
        <v>255.84000000000006</v>
      </c>
      <c r="GW158" s="13">
        <f t="shared" si="188"/>
        <v>61.834803371075836</v>
      </c>
      <c r="GX158" s="20">
        <f t="shared" si="189"/>
        <v>553.28361587129041</v>
      </c>
      <c r="GY158" s="59">
        <f t="shared" si="137"/>
        <v>840.53297089647003</v>
      </c>
      <c r="GZ158" s="59">
        <f ca="1">AVERAGE(OFFSET($GY$3,0,0,'Données projet'!$E$18+1,1))-AVERAGE(OFFSET($H$3,0,0,'Données projet'!$E$18+1,1))</f>
        <v>308.85018589589453</v>
      </c>
      <c r="HA158" s="59">
        <f t="shared" si="160"/>
        <v>302.59481222418219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>
        <f>EXP(-LN(2)/35)*HG157+(1-EXP(-LN(2)/35))/(LN(2)/35)*HC158*HD158*VLOOKUP('Données projet'!$B$18,Paramètres!$A$1:$I$89,3,0)*0.475*44/12</f>
        <v>9.1745793536438907</v>
      </c>
      <c r="HH158" s="21">
        <f>EXP(-LN(2)/25)*HH157+(1-EXP(-LN(2)/25))/(LN(2)/25)*Calculateur!HC158*Calculateur!HE158*VLOOKUP('Données projet'!$B$18,Paramètres!$A$1:$I$89,3,0)*0.475*44/12</f>
        <v>0</v>
      </c>
      <c r="HI158" s="21">
        <f>EXP(-LN(2)/2)*HI157+(1-EXP(-LN(2)/2))/(LN(2)/2)*HC158*HF158*VLOOKUP('Données projet'!$B$18,Paramètres!$A$1:$I$89,3,0)*0.475*44/12</f>
        <v>0</v>
      </c>
      <c r="HJ158" s="22">
        <f t="shared" si="190"/>
        <v>9.1745793536438907</v>
      </c>
    </row>
    <row r="159" spans="1:218" x14ac:dyDescent="0.35">
      <c r="A159" s="10">
        <f t="shared" si="161"/>
        <v>156</v>
      </c>
      <c r="B159" s="72">
        <f>'Scénario référence'!$B$16*5+'Scénario référence'!$B$17*0+'Scénario référence'!$B$18*5</f>
        <v>5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66">
        <f t="shared" si="110"/>
        <v>183.33333333333334</v>
      </c>
      <c r="I159" s="6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19.8100000000004</v>
      </c>
      <c r="O159" s="13">
        <f>N159*VLOOKUP('Données projet'!$B$9,Paramètres!$A$1:$I$89,3,0)*VLOOKUP('Données projet'!$B$9,Paramètres!$A$1:$I$89,5,0)</f>
        <v>17.924088000000364</v>
      </c>
      <c r="P159" s="13">
        <f t="shared" si="141"/>
        <v>5.9032212091029486</v>
      </c>
      <c r="Q159" s="20">
        <f t="shared" si="162"/>
        <v>41.499230205854936</v>
      </c>
      <c r="R159" s="59">
        <f t="shared" si="109"/>
        <v>328.85412865294325</v>
      </c>
      <c r="S159" s="59">
        <f ca="1">AVERAGE(OFFSET($R$3,0,0,'Données projet'!$E$9+1,1))-AVERAGE(OFFSET($H$3,0,0,'Données projet'!$E$9+1,1))</f>
        <v>567.42635821507474</v>
      </c>
      <c r="T159" s="59">
        <f t="shared" si="142"/>
        <v>299.04735309930152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168.88389520522585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168.88389520522585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19.8100000000004</v>
      </c>
      <c r="AJ159" s="13">
        <f>AI159*VLOOKUP('Données projet'!$B$10,Paramètres!$A$1:$I$89,3,0)*VLOOKUP('Données projet'!$B$10,Paramètres!$A$1:$I$89,5,0)</f>
        <v>20.08734000000041</v>
      </c>
      <c r="AK159" s="13">
        <f t="shared" si="164"/>
        <v>6.5285137703520215</v>
      </c>
      <c r="AL159" s="20">
        <f t="shared" si="165"/>
        <v>46.355945316697152</v>
      </c>
      <c r="AM159" s="59">
        <f t="shared" si="113"/>
        <v>333.71084376378548</v>
      </c>
      <c r="AN159" s="59">
        <f ca="1">AVERAGE(OFFSET($AM$3,0,0,'Données projet'!$E$10+1,1))-AVERAGE(OFFSET($H$3,0,0,'Données projet'!$E$10+1,1))</f>
        <v>626.09203985591455</v>
      </c>
      <c r="AO159" s="59">
        <f t="shared" si="144"/>
        <v>327.65191296575199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189.26643428171869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189.26643428171869</v>
      </c>
      <c r="AY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404.00000000000017</v>
      </c>
      <c r="BE159" s="13">
        <f>BD159*VLOOKUP('Données projet'!$B$11,Paramètres!$A$1:$I$89,3,0)*VLOOKUP('Données projet'!$B$11,Paramètres!$A$1:$I$89,5,0)</f>
        <v>346.63200000000018</v>
      </c>
      <c r="BF159" s="13">
        <f t="shared" si="167"/>
        <v>80.868615263336864</v>
      </c>
      <c r="BG159" s="20">
        <f t="shared" si="168"/>
        <v>744.56357158364528</v>
      </c>
      <c r="BH159" s="59">
        <f t="shared" si="116"/>
        <v>1031.9184700307337</v>
      </c>
      <c r="BI159" s="59">
        <f ca="1">AVERAGE(OFFSET($BH$3,0,0,'Données projet'!$E$11+1,1))-AVERAGE(OFFSET($H$3,0,0,'Données projet'!$E$11+1,1))</f>
        <v>481.23392184981651</v>
      </c>
      <c r="BJ159" s="59">
        <f t="shared" si="146"/>
        <v>275.88160405468193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48.997821964453813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48.997821964453813</v>
      </c>
      <c r="BT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5.2499999999990337</v>
      </c>
      <c r="BZ159" s="13">
        <f>BY159*VLOOKUP('Données projet'!$B$12,Paramètres!$A$1:$I$89,3,0)*VLOOKUP('Données projet'!$B$12,Paramètres!$A$1:$I$89,5,0)</f>
        <v>2.4569999999995478</v>
      </c>
      <c r="CA159" s="13">
        <f t="shared" si="170"/>
        <v>1.0197977774625564</v>
      </c>
      <c r="CB159" s="20">
        <f t="shared" si="171"/>
        <v>6.0554227957464972</v>
      </c>
      <c r="CC159" s="59">
        <f t="shared" si="119"/>
        <v>293.41032124283481</v>
      </c>
      <c r="CD159" s="59">
        <f ca="1">AVERAGE(OFFSET($CC$3,0,0,'Données projet'!$E$12+1,1))-AVERAGE(OFFSET($H$3,0,0,'Données projet'!$E$12+1,1))</f>
        <v>331.86732359395467</v>
      </c>
      <c r="CE159" s="59">
        <f t="shared" si="148"/>
        <v>208.64489375183106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95.756396696498157</v>
      </c>
      <c r="CL159" s="21">
        <f>EXP(-LN(2)/25)*CL158+(1-EXP(-LN(2)/25))/(LN(2)/25)*Calculateur!CG159*Calculateur!CI159*VLOOKUP('Données projet'!$B$12,Paramètres!$A$1:$I$89,3,0)*0.475*44/12</f>
        <v>0</v>
      </c>
      <c r="CM159" s="21">
        <f>EXP(-LN(2)/2)*CM158+(1-EXP(-LN(2)/2))/(LN(2)/2)*CG159*CJ159*VLOOKUP('Données projet'!$B$12,Paramètres!$A$1:$I$89,3,0)*0.475*44/12</f>
        <v>0</v>
      </c>
      <c r="CN159" s="22">
        <f t="shared" si="172"/>
        <v>95.756396696498157</v>
      </c>
      <c r="CO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319</v>
      </c>
      <c r="CU159" s="17">
        <f>CT159*VLOOKUP('Données projet'!$B$13,Paramètres!$A$1:$I$89,3,0)*VLOOKUP('Données projet'!$B$13,Paramètres!$A$1:$I$89,5,0)</f>
        <v>233.89079999999998</v>
      </c>
      <c r="CV159" s="13">
        <f t="shared" si="173"/>
        <v>57.123140349023068</v>
      </c>
      <c r="CW159" s="20">
        <f t="shared" si="174"/>
        <v>506.84927944121517</v>
      </c>
      <c r="CX159" s="59">
        <f t="shared" si="122"/>
        <v>794.20417788830355</v>
      </c>
      <c r="CY159" s="59">
        <f ca="1">AVERAGE(OFFSET($CX$3,0,0,'Données projet'!$E$13+1,1))-AVERAGE(OFFSET($H$3,0,0,'Données projet'!$E$13+1,1))</f>
        <v>352.45777291109863</v>
      </c>
      <c r="CZ159" s="59">
        <f t="shared" si="150"/>
        <v>340.92165104349181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8.8248513664839958</v>
      </c>
      <c r="DG159" s="21">
        <f>EXP(-LN(2)/25)*DG158+(1-EXP(-LN(2)/25))/(LN(2)/25)*Calculateur!DB159*Calculateur!DD159*VLOOKUP('Données projet'!$B$13,Paramètres!$A$1:$I$89,3,0)*0.475*44/12</f>
        <v>0</v>
      </c>
      <c r="DH159" s="21">
        <f>EXP(-LN(2)/2)*DH158+(1-EXP(-LN(2)/2))/(LN(2)/2)*DB159*DE159*VLOOKUP('Données projet'!$B$13,Paramètres!$A$1:$I$89,3,0)*0.475*44/12</f>
        <v>0</v>
      </c>
      <c r="DI159" s="22">
        <f t="shared" si="175"/>
        <v>8.8248513664839958</v>
      </c>
      <c r="DJ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19.8100000000004</v>
      </c>
      <c r="DP159" s="17">
        <f>DO159*VLOOKUP('Données projet'!$B$14,Paramètres!$A$1:$I$89,3,0)*VLOOKUP('Données projet'!$B$14,Paramètres!$A$1:$I$89,5,0)</f>
        <v>13.288548000000269</v>
      </c>
      <c r="DQ159" s="13">
        <f t="shared" si="176"/>
        <v>4.531654695205642</v>
      </c>
      <c r="DR159" s="20">
        <f t="shared" si="177"/>
        <v>31.036853027483627</v>
      </c>
      <c r="DS159" s="59">
        <f t="shared" si="125"/>
        <v>318.39175147457195</v>
      </c>
      <c r="DT159" s="59">
        <f ca="1">AVERAGE(OFFSET($DS$3,0,0,'Données projet'!$E$14+1,1))-AVERAGE(OFFSET($H$3,0,0,'Données projet'!$E$14+1,1))</f>
        <v>441.20130048888439</v>
      </c>
      <c r="DU159" s="59">
        <f t="shared" si="152"/>
        <v>237.47732532183946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154.32493872201673</v>
      </c>
      <c r="EB159" s="21">
        <f>EXP(-LN(2)/25)*EB158+(1-EXP(-LN(2)/25))/(LN(2)/25)*Calculateur!DW159*Calculateur!DY159*VLOOKUP('Données projet'!$B$14,Paramètres!$A$1:$I$89,3,0)*0.475*44/12</f>
        <v>0</v>
      </c>
      <c r="EC159" s="21">
        <f>EXP(-LN(2)/2)*EC158+(1-EXP(-LN(2)/2))/(LN(2)/2)*DW159*DZ159*VLOOKUP('Données projet'!$B$14,Paramètres!$A$1:$I$89,3,0)*0.475*44/12</f>
        <v>0</v>
      </c>
      <c r="ED159" s="22">
        <f t="shared" si="178"/>
        <v>154.32493872201673</v>
      </c>
      <c r="EE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319</v>
      </c>
      <c r="EK159" s="17">
        <f>EJ159*VLOOKUP('Données projet'!$B$15,Paramètres!$A$1:$I$89,3,0)*VLOOKUP('Données projet'!$B$15,Paramètres!$A$1:$I$89,5,0)</f>
        <v>253.79640000000001</v>
      </c>
      <c r="EL159" s="13">
        <f t="shared" si="179"/>
        <v>61.39816832228076</v>
      </c>
      <c r="EM159" s="20">
        <f t="shared" si="180"/>
        <v>548.96387316130563</v>
      </c>
      <c r="EN159" s="59">
        <f t="shared" si="128"/>
        <v>836.31877160839394</v>
      </c>
      <c r="EO159" s="59">
        <f ca="1">AVERAGE(OFFSET($EN$3,0,0,'Données projet'!$E$15+1,1))-AVERAGE(OFFSET($H$3,0,0,'Données projet'!$E$15+1,1))</f>
        <v>377.27600411578322</v>
      </c>
      <c r="EP159" s="59">
        <f t="shared" si="154"/>
        <v>364.58250627635425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>
        <f>EXP(-LN(2)/35)*EV158+(1-EXP(-LN(2)/35))/(LN(2)/35)*ER159*ES159*VLOOKUP('Données projet'!$B$15,Paramètres!$A$1:$I$89,3,0)*0.475*44/12</f>
        <v>11.802856627217331</v>
      </c>
      <c r="EW159" s="21">
        <f>EXP(-LN(2)/25)*EW158+(1-EXP(-LN(2)/25))/(LN(2)/25)*Calculateur!ER159*Calculateur!ET159*VLOOKUP('Données projet'!$B$15,Paramètres!$A$1:$I$89,3,0)*0.475*44/12</f>
        <v>0</v>
      </c>
      <c r="EX159" s="21">
        <f>EXP(-LN(2)/2)*EX158+(1-EXP(-LN(2)/2))/(LN(2)/2)*ER159*EU159*VLOOKUP('Données projet'!$B$15,Paramètres!$A$1:$I$89,3,0)*0.475*44/12</f>
        <v>0</v>
      </c>
      <c r="EY159" s="22">
        <f t="shared" si="181"/>
        <v>11.802856627217331</v>
      </c>
      <c r="EZ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319</v>
      </c>
      <c r="FF159" s="17">
        <f>FE159*VLOOKUP('Données projet'!$B$16,Paramètres!$A$1:$I$89,3,0)*VLOOKUP('Données projet'!$B$16,Paramètres!$A$1:$I$89,5,0)</f>
        <v>258.77280000000002</v>
      </c>
      <c r="FG159" s="13">
        <f t="shared" si="182"/>
        <v>62.460716522234691</v>
      </c>
      <c r="FH159" s="20">
        <f t="shared" si="183"/>
        <v>559.48170794289206</v>
      </c>
      <c r="FI159" s="59">
        <f t="shared" si="131"/>
        <v>846.83660638998037</v>
      </c>
      <c r="FJ159" s="59">
        <f ca="1">AVERAGE(OFFSET($FI$3,0,0,'Données projet'!$E$16+1,1))-AVERAGE(OFFSET($H$3,0,0,'Données projet'!$E$16+1,1))</f>
        <v>383.47399633251354</v>
      </c>
      <c r="FK159" s="59">
        <f t="shared" si="156"/>
        <v>370.49129421395628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>
        <f>EXP(-LN(2)/35)*FQ158+(1-EXP(-LN(2)/35))/(LN(2)/35)*FM159*FN159*VLOOKUP('Données projet'!$B$16,Paramètres!$A$1:$I$89,3,0)*0.475*44/12</f>
        <v>12.034285188535332</v>
      </c>
      <c r="FR159" s="21">
        <f>EXP(-LN(2)/25)*FR158+(1-EXP(-LN(2)/25))/(LN(2)/25)*Calculateur!FM159*Calculateur!FO159*VLOOKUP('Données projet'!$B$16,Paramètres!$A$1:$I$89,3,0)*0.475*44/12</f>
        <v>0</v>
      </c>
      <c r="FS159" s="21">
        <f>EXP(-LN(2)/2)*FS158+(1-EXP(-LN(2)/2))/(LN(2)/2)*FM159*FP159*VLOOKUP('Données projet'!$B$16,Paramètres!$A$1:$I$89,3,0)*0.475*44/12</f>
        <v>0</v>
      </c>
      <c r="FT159" s="22">
        <f t="shared" si="184"/>
        <v>12.034285188535332</v>
      </c>
      <c r="FU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19.8100000000004</v>
      </c>
      <c r="GA159" s="17">
        <f>FZ159*VLOOKUP('Données projet'!$B$17,Paramètres!$A$1:$I$89,3,0)*VLOOKUP('Données projet'!$B$17,Paramètres!$A$1:$I$89,5,0)</f>
        <v>18.851196000000382</v>
      </c>
      <c r="GB159" s="13">
        <f t="shared" si="185"/>
        <v>6.172221809210666</v>
      </c>
      <c r="GC159" s="20">
        <f t="shared" si="186"/>
        <v>43.582452684375909</v>
      </c>
      <c r="GD159" s="59">
        <f t="shared" si="134"/>
        <v>330.9373511314642</v>
      </c>
      <c r="GE159" s="59">
        <f ca="1">AVERAGE(OFFSET($GD$3,0,0,'Données projet'!$E$17+1,1))-AVERAGE(OFFSET($H$3,0,0,'Données projet'!$E$17+1,1))</f>
        <v>592.58528889137358</v>
      </c>
      <c r="GF159" s="59">
        <f t="shared" si="158"/>
        <v>311.31528020403709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>
        <f>EXP(-LN(2)/35)*GL158+(1-EXP(-LN(2)/35))/(LN(2)/35)*GH159*GI159*VLOOKUP('Données projet'!$B$17,Paramètres!$A$1:$I$89,3,0)*0.475*44/12</f>
        <v>177.61926909515137</v>
      </c>
      <c r="GM159" s="21">
        <f>EXP(-LN(2)/25)*GM158+(1-EXP(-LN(2)/25))/(LN(2)/25)*Calculateur!GH159*Calculateur!GJ159*VLOOKUP('Données projet'!$B$17,Paramètres!$A$1:$I$89,3,0)*0.475*44/12</f>
        <v>0</v>
      </c>
      <c r="GN159" s="21">
        <f>EXP(-LN(2)/2)*GN158+(1-EXP(-LN(2)/2))/(LN(2)/2)*GH159*GK159*VLOOKUP('Données projet'!$B$17,Paramètres!$A$1:$I$89,3,0)*0.475*44/12</f>
        <v>0</v>
      </c>
      <c r="GO159" s="21">
        <f t="shared" si="187"/>
        <v>177.61926909515137</v>
      </c>
      <c r="GP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328.00000000000006</v>
      </c>
      <c r="GV159" s="17">
        <f>GU159*VLOOKUP('Données projet'!$B$18,Paramètres!$A$1:$I$89,3,0)*VLOOKUP('Données projet'!$B$18,Paramètres!$A$1:$I$89,5,0)</f>
        <v>255.84000000000006</v>
      </c>
      <c r="GW159" s="13">
        <f t="shared" si="188"/>
        <v>61.834803371075836</v>
      </c>
      <c r="GX159" s="20">
        <f t="shared" si="189"/>
        <v>553.28361587129041</v>
      </c>
      <c r="GY159" s="59">
        <f t="shared" si="137"/>
        <v>840.63851431837872</v>
      </c>
      <c r="GZ159" s="59">
        <f ca="1">AVERAGE(OFFSET($GY$3,0,0,'Données projet'!$E$18+1,1))-AVERAGE(OFFSET($H$3,0,0,'Données projet'!$E$18+1,1))</f>
        <v>308.85018589589453</v>
      </c>
      <c r="HA159" s="59">
        <f t="shared" si="160"/>
        <v>302.59481222418219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>
        <f>EXP(-LN(2)/35)*HG158+(1-EXP(-LN(2)/35))/(LN(2)/35)*HC159*HD159*VLOOKUP('Données projet'!$B$18,Paramètres!$A$1:$I$89,3,0)*0.475*44/12</f>
        <v>8.9946714484597869</v>
      </c>
      <c r="HH159" s="21">
        <f>EXP(-LN(2)/25)*HH158+(1-EXP(-LN(2)/25))/(LN(2)/25)*Calculateur!HC159*Calculateur!HE159*VLOOKUP('Données projet'!$B$18,Paramètres!$A$1:$I$89,3,0)*0.475*44/12</f>
        <v>0</v>
      </c>
      <c r="HI159" s="21">
        <f>EXP(-LN(2)/2)*HI158+(1-EXP(-LN(2)/2))/(LN(2)/2)*HC159*HF159*VLOOKUP('Données projet'!$B$18,Paramètres!$A$1:$I$89,3,0)*0.475*44/12</f>
        <v>0</v>
      </c>
      <c r="HJ159" s="22">
        <f t="shared" si="190"/>
        <v>8.9946714484597869</v>
      </c>
    </row>
    <row r="160" spans="1:218" x14ac:dyDescent="0.35">
      <c r="A160" s="10">
        <f t="shared" si="161"/>
        <v>157</v>
      </c>
      <c r="B160" s="72">
        <f>'Scénario référence'!$B$16*5+'Scénario référence'!$B$17*0+'Scénario référence'!$B$18*5</f>
        <v>5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66">
        <f t="shared" si="110"/>
        <v>183.33333333333334</v>
      </c>
      <c r="I160" s="6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19.8100000000004</v>
      </c>
      <c r="O160" s="13">
        <f>N160*VLOOKUP('Données projet'!$B$9,Paramètres!$A$1:$I$89,3,0)*VLOOKUP('Données projet'!$B$9,Paramètres!$A$1:$I$89,5,0)</f>
        <v>17.924088000000364</v>
      </c>
      <c r="P160" s="13">
        <f t="shared" si="141"/>
        <v>5.9032212091029486</v>
      </c>
      <c r="Q160" s="20">
        <f t="shared" si="162"/>
        <v>41.499230205854936</v>
      </c>
      <c r="R160" s="59">
        <f t="shared" si="109"/>
        <v>328.9578411324415</v>
      </c>
      <c r="S160" s="59">
        <f ca="1">AVERAGE(OFFSET($R$3,0,0,'Données projet'!$E$9+1,1))-AVERAGE(OFFSET($H$3,0,0,'Données projet'!$E$9+1,1))</f>
        <v>567.42635821507474</v>
      </c>
      <c r="T160" s="59">
        <f t="shared" si="142"/>
        <v>299.04735309930152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165.57218502925616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165.57218502925616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19.8100000000004</v>
      </c>
      <c r="AJ160" s="13">
        <f>AI160*VLOOKUP('Données projet'!$B$10,Paramètres!$A$1:$I$89,3,0)*VLOOKUP('Données projet'!$B$10,Paramètres!$A$1:$I$89,5,0)</f>
        <v>20.08734000000041</v>
      </c>
      <c r="AK160" s="13">
        <f t="shared" si="164"/>
        <v>6.5285137703520215</v>
      </c>
      <c r="AL160" s="20">
        <f t="shared" si="165"/>
        <v>46.355945316697152</v>
      </c>
      <c r="AM160" s="59">
        <f t="shared" si="113"/>
        <v>333.81455624328373</v>
      </c>
      <c r="AN160" s="59">
        <f ca="1">AVERAGE(OFFSET($AM$3,0,0,'Données projet'!$E$10+1,1))-AVERAGE(OFFSET($H$3,0,0,'Données projet'!$E$10+1,1))</f>
        <v>626.09203985591455</v>
      </c>
      <c r="AO160" s="59">
        <f t="shared" si="144"/>
        <v>327.65191296575199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185.55503494658024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185.55503494658024</v>
      </c>
      <c r="AY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404.00000000000017</v>
      </c>
      <c r="BE160" s="13">
        <f>BD160*VLOOKUP('Données projet'!$B$11,Paramètres!$A$1:$I$89,3,0)*VLOOKUP('Données projet'!$B$11,Paramètres!$A$1:$I$89,5,0)</f>
        <v>346.63200000000018</v>
      </c>
      <c r="BF160" s="13">
        <f t="shared" si="167"/>
        <v>80.868615263336864</v>
      </c>
      <c r="BG160" s="20">
        <f t="shared" si="168"/>
        <v>744.56357158364528</v>
      </c>
      <c r="BH160" s="59">
        <f t="shared" si="116"/>
        <v>1032.0221825102319</v>
      </c>
      <c r="BI160" s="59">
        <f ca="1">AVERAGE(OFFSET($BH$3,0,0,'Données projet'!$E$11+1,1))-AVERAGE(OFFSET($H$3,0,0,'Données projet'!$E$11+1,1))</f>
        <v>481.23392184981651</v>
      </c>
      <c r="BJ160" s="59">
        <f t="shared" si="146"/>
        <v>275.88160405468193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48.037004561451305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48.037004561451305</v>
      </c>
      <c r="BT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5.2499999999990337</v>
      </c>
      <c r="BZ160" s="13">
        <f>BY160*VLOOKUP('Données projet'!$B$12,Paramètres!$A$1:$I$89,3,0)*VLOOKUP('Données projet'!$B$12,Paramètres!$A$1:$I$89,5,0)</f>
        <v>2.4569999999995478</v>
      </c>
      <c r="CA160" s="13">
        <f t="shared" si="170"/>
        <v>1.0197977774625564</v>
      </c>
      <c r="CB160" s="20">
        <f t="shared" si="171"/>
        <v>6.0554227957464972</v>
      </c>
      <c r="CC160" s="59">
        <f t="shared" si="119"/>
        <v>293.51403372233307</v>
      </c>
      <c r="CD160" s="59">
        <f ca="1">AVERAGE(OFFSET($CC$3,0,0,'Données projet'!$E$12+1,1))-AVERAGE(OFFSET($H$3,0,0,'Données projet'!$E$12+1,1))</f>
        <v>331.86732359395467</v>
      </c>
      <c r="CE160" s="59">
        <f t="shared" si="148"/>
        <v>208.64489375183106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93.878672162914739</v>
      </c>
      <c r="CL160" s="21">
        <f>EXP(-LN(2)/25)*CL159+(1-EXP(-LN(2)/25))/(LN(2)/25)*Calculateur!CG160*Calculateur!CI160*VLOOKUP('Données projet'!$B$12,Paramètres!$A$1:$I$89,3,0)*0.475*44/12</f>
        <v>0</v>
      </c>
      <c r="CM160" s="21">
        <f>EXP(-LN(2)/2)*CM159+(1-EXP(-LN(2)/2))/(LN(2)/2)*CG160*CJ160*VLOOKUP('Données projet'!$B$12,Paramètres!$A$1:$I$89,3,0)*0.475*44/12</f>
        <v>0</v>
      </c>
      <c r="CN160" s="22">
        <f t="shared" si="172"/>
        <v>93.878672162914739</v>
      </c>
      <c r="CO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319</v>
      </c>
      <c r="CU160" s="17">
        <f>CT160*VLOOKUP('Données projet'!$B$13,Paramètres!$A$1:$I$89,3,0)*VLOOKUP('Données projet'!$B$13,Paramètres!$A$1:$I$89,5,0)</f>
        <v>233.89079999999998</v>
      </c>
      <c r="CV160" s="13">
        <f t="shared" si="173"/>
        <v>57.123140349023068</v>
      </c>
      <c r="CW160" s="20">
        <f t="shared" si="174"/>
        <v>506.84927944121517</v>
      </c>
      <c r="CX160" s="59">
        <f t="shared" si="122"/>
        <v>794.30789036780175</v>
      </c>
      <c r="CY160" s="59">
        <f ca="1">AVERAGE(OFFSET($CX$3,0,0,'Données projet'!$E$13+1,1))-AVERAGE(OFFSET($H$3,0,0,'Données projet'!$E$13+1,1))</f>
        <v>352.45777291109863</v>
      </c>
      <c r="CZ160" s="59">
        <f t="shared" si="150"/>
        <v>340.92165104349181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8.6518014138150878</v>
      </c>
      <c r="DG160" s="21">
        <f>EXP(-LN(2)/25)*DG159+(1-EXP(-LN(2)/25))/(LN(2)/25)*Calculateur!DB160*Calculateur!DD160*VLOOKUP('Données projet'!$B$13,Paramètres!$A$1:$I$89,3,0)*0.475*44/12</f>
        <v>0</v>
      </c>
      <c r="DH160" s="21">
        <f>EXP(-LN(2)/2)*DH159+(1-EXP(-LN(2)/2))/(LN(2)/2)*DB160*DE160*VLOOKUP('Données projet'!$B$13,Paramètres!$A$1:$I$89,3,0)*0.475*44/12</f>
        <v>0</v>
      </c>
      <c r="DI160" s="22">
        <f t="shared" si="175"/>
        <v>8.6518014138150878</v>
      </c>
      <c r="DJ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19.8100000000004</v>
      </c>
      <c r="DP160" s="17">
        <f>DO160*VLOOKUP('Données projet'!$B$14,Paramètres!$A$1:$I$89,3,0)*VLOOKUP('Données projet'!$B$14,Paramètres!$A$1:$I$89,5,0)</f>
        <v>13.288548000000269</v>
      </c>
      <c r="DQ160" s="13">
        <f t="shared" si="176"/>
        <v>4.531654695205642</v>
      </c>
      <c r="DR160" s="20">
        <f t="shared" si="177"/>
        <v>31.036853027483627</v>
      </c>
      <c r="DS160" s="59">
        <f t="shared" si="125"/>
        <v>318.4954639540702</v>
      </c>
      <c r="DT160" s="59">
        <f ca="1">AVERAGE(OFFSET($DS$3,0,0,'Données projet'!$E$14+1,1))-AVERAGE(OFFSET($H$3,0,0,'Données projet'!$E$14+1,1))</f>
        <v>441.20130048888439</v>
      </c>
      <c r="DU160" s="59">
        <f t="shared" si="152"/>
        <v>237.47732532183946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151.29872080259614</v>
      </c>
      <c r="EB160" s="21">
        <f>EXP(-LN(2)/25)*EB159+(1-EXP(-LN(2)/25))/(LN(2)/25)*Calculateur!DW160*Calculateur!DY160*VLOOKUP('Données projet'!$B$14,Paramètres!$A$1:$I$89,3,0)*0.475*44/12</f>
        <v>0</v>
      </c>
      <c r="EC160" s="21">
        <f>EXP(-LN(2)/2)*EC159+(1-EXP(-LN(2)/2))/(LN(2)/2)*DW160*DZ160*VLOOKUP('Données projet'!$B$14,Paramètres!$A$1:$I$89,3,0)*0.475*44/12</f>
        <v>0</v>
      </c>
      <c r="ED160" s="22">
        <f t="shared" si="178"/>
        <v>151.29872080259614</v>
      </c>
      <c r="EE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319</v>
      </c>
      <c r="EK160" s="17">
        <f>EJ160*VLOOKUP('Données projet'!$B$15,Paramètres!$A$1:$I$89,3,0)*VLOOKUP('Données projet'!$B$15,Paramètres!$A$1:$I$89,5,0)</f>
        <v>253.79640000000001</v>
      </c>
      <c r="EL160" s="13">
        <f t="shared" si="179"/>
        <v>61.39816832228076</v>
      </c>
      <c r="EM160" s="20">
        <f t="shared" si="180"/>
        <v>548.96387316130563</v>
      </c>
      <c r="EN160" s="59">
        <f t="shared" si="128"/>
        <v>836.42248408789214</v>
      </c>
      <c r="EO160" s="59">
        <f ca="1">AVERAGE(OFFSET($EN$3,0,0,'Données projet'!$E$15+1,1))-AVERAGE(OFFSET($H$3,0,0,'Données projet'!$E$15+1,1))</f>
        <v>377.27600411578322</v>
      </c>
      <c r="EP160" s="59">
        <f t="shared" si="154"/>
        <v>364.58250627635425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>
        <f>EXP(-LN(2)/35)*EV159+(1-EXP(-LN(2)/35))/(LN(2)/35)*ER160*ES160*VLOOKUP('Données projet'!$B$15,Paramètres!$A$1:$I$89,3,0)*0.475*44/12</f>
        <v>11.571409807789296</v>
      </c>
      <c r="EW160" s="21">
        <f>EXP(-LN(2)/25)*EW159+(1-EXP(-LN(2)/25))/(LN(2)/25)*Calculateur!ER160*Calculateur!ET160*VLOOKUP('Données projet'!$B$15,Paramètres!$A$1:$I$89,3,0)*0.475*44/12</f>
        <v>0</v>
      </c>
      <c r="EX160" s="21">
        <f>EXP(-LN(2)/2)*EX159+(1-EXP(-LN(2)/2))/(LN(2)/2)*ER160*EU160*VLOOKUP('Données projet'!$B$15,Paramètres!$A$1:$I$89,3,0)*0.475*44/12</f>
        <v>0</v>
      </c>
      <c r="EY160" s="22">
        <f t="shared" si="181"/>
        <v>11.571409807789296</v>
      </c>
      <c r="EZ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319</v>
      </c>
      <c r="FF160" s="17">
        <f>FE160*VLOOKUP('Données projet'!$B$16,Paramètres!$A$1:$I$89,3,0)*VLOOKUP('Données projet'!$B$16,Paramètres!$A$1:$I$89,5,0)</f>
        <v>258.77280000000002</v>
      </c>
      <c r="FG160" s="13">
        <f t="shared" si="182"/>
        <v>62.460716522234691</v>
      </c>
      <c r="FH160" s="20">
        <f t="shared" si="183"/>
        <v>559.48170794289206</v>
      </c>
      <c r="FI160" s="59">
        <f t="shared" si="131"/>
        <v>846.94031886947869</v>
      </c>
      <c r="FJ160" s="59">
        <f ca="1">AVERAGE(OFFSET($FI$3,0,0,'Données projet'!$E$16+1,1))-AVERAGE(OFFSET($H$3,0,0,'Données projet'!$E$16+1,1))</f>
        <v>383.47399633251354</v>
      </c>
      <c r="FK160" s="59">
        <f t="shared" si="156"/>
        <v>370.49129421395628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>
        <f>EXP(-LN(2)/35)*FQ159+(1-EXP(-LN(2)/35))/(LN(2)/35)*FM160*FN160*VLOOKUP('Données projet'!$B$16,Paramètres!$A$1:$I$89,3,0)*0.475*44/12</f>
        <v>11.798300196177335</v>
      </c>
      <c r="FR160" s="21">
        <f>EXP(-LN(2)/25)*FR159+(1-EXP(-LN(2)/25))/(LN(2)/25)*Calculateur!FM160*Calculateur!FO160*VLOOKUP('Données projet'!$B$16,Paramètres!$A$1:$I$89,3,0)*0.475*44/12</f>
        <v>0</v>
      </c>
      <c r="FS160" s="21">
        <f>EXP(-LN(2)/2)*FS159+(1-EXP(-LN(2)/2))/(LN(2)/2)*FM160*FP160*VLOOKUP('Données projet'!$B$16,Paramètres!$A$1:$I$89,3,0)*0.475*44/12</f>
        <v>0</v>
      </c>
      <c r="FT160" s="22">
        <f t="shared" si="184"/>
        <v>11.798300196177335</v>
      </c>
      <c r="FU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19.8100000000004</v>
      </c>
      <c r="GA160" s="17">
        <f>FZ160*VLOOKUP('Données projet'!$B$17,Paramètres!$A$1:$I$89,3,0)*VLOOKUP('Données projet'!$B$17,Paramètres!$A$1:$I$89,5,0)</f>
        <v>18.851196000000382</v>
      </c>
      <c r="GB160" s="13">
        <f t="shared" si="185"/>
        <v>6.172221809210666</v>
      </c>
      <c r="GC160" s="20">
        <f t="shared" si="186"/>
        <v>43.582452684375909</v>
      </c>
      <c r="GD160" s="59">
        <f t="shared" si="134"/>
        <v>331.04106361096251</v>
      </c>
      <c r="GE160" s="59">
        <f ca="1">AVERAGE(OFFSET($GD$3,0,0,'Données projet'!$E$17+1,1))-AVERAGE(OFFSET($H$3,0,0,'Données projet'!$E$17+1,1))</f>
        <v>592.58528889137358</v>
      </c>
      <c r="GF160" s="59">
        <f t="shared" si="158"/>
        <v>311.31528020403709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>
        <f>EXP(-LN(2)/35)*GL159+(1-EXP(-LN(2)/35))/(LN(2)/35)*GH160*GI160*VLOOKUP('Données projet'!$B$17,Paramètres!$A$1:$I$89,3,0)*0.475*44/12</f>
        <v>174.13626356525219</v>
      </c>
      <c r="GM160" s="21">
        <f>EXP(-LN(2)/25)*GM159+(1-EXP(-LN(2)/25))/(LN(2)/25)*Calculateur!GH160*Calculateur!GJ160*VLOOKUP('Données projet'!$B$17,Paramètres!$A$1:$I$89,3,0)*0.475*44/12</f>
        <v>0</v>
      </c>
      <c r="GN160" s="21">
        <f>EXP(-LN(2)/2)*GN159+(1-EXP(-LN(2)/2))/(LN(2)/2)*GH160*GK160*VLOOKUP('Données projet'!$B$17,Paramètres!$A$1:$I$89,3,0)*0.475*44/12</f>
        <v>0</v>
      </c>
      <c r="GO160" s="21">
        <f t="shared" si="187"/>
        <v>174.13626356525219</v>
      </c>
      <c r="GP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328.00000000000006</v>
      </c>
      <c r="GV160" s="17">
        <f>GU160*VLOOKUP('Données projet'!$B$18,Paramètres!$A$1:$I$89,3,0)*VLOOKUP('Données projet'!$B$18,Paramètres!$A$1:$I$89,5,0)</f>
        <v>255.84000000000006</v>
      </c>
      <c r="GW160" s="13">
        <f t="shared" si="188"/>
        <v>61.834803371075836</v>
      </c>
      <c r="GX160" s="20">
        <f t="shared" si="189"/>
        <v>553.28361587129041</v>
      </c>
      <c r="GY160" s="59">
        <f t="shared" si="137"/>
        <v>840.74222679787704</v>
      </c>
      <c r="GZ160" s="59">
        <f ca="1">AVERAGE(OFFSET($GY$3,0,0,'Données projet'!$E$18+1,1))-AVERAGE(OFFSET($H$3,0,0,'Données projet'!$E$18+1,1))</f>
        <v>308.85018589589453</v>
      </c>
      <c r="HA160" s="59">
        <f t="shared" si="160"/>
        <v>302.59481222418219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>
        <f>EXP(-LN(2)/35)*HG159+(1-EXP(-LN(2)/35))/(LN(2)/35)*HC160*HD160*VLOOKUP('Données projet'!$B$18,Paramètres!$A$1:$I$89,3,0)*0.475*44/12</f>
        <v>8.8182914275633557</v>
      </c>
      <c r="HH160" s="21">
        <f>EXP(-LN(2)/25)*HH159+(1-EXP(-LN(2)/25))/(LN(2)/25)*Calculateur!HC160*Calculateur!HE160*VLOOKUP('Données projet'!$B$18,Paramètres!$A$1:$I$89,3,0)*0.475*44/12</f>
        <v>0</v>
      </c>
      <c r="HI160" s="21">
        <f>EXP(-LN(2)/2)*HI159+(1-EXP(-LN(2)/2))/(LN(2)/2)*HC160*HF160*VLOOKUP('Données projet'!$B$18,Paramètres!$A$1:$I$89,3,0)*0.475*44/12</f>
        <v>0</v>
      </c>
      <c r="HJ160" s="22">
        <f t="shared" si="190"/>
        <v>8.8182914275633557</v>
      </c>
    </row>
    <row r="161" spans="1:218" x14ac:dyDescent="0.35">
      <c r="A161" s="10">
        <f t="shared" si="161"/>
        <v>158</v>
      </c>
      <c r="B161" s="72">
        <f>'Scénario référence'!$B$16*5+'Scénario référence'!$B$17*0+'Scénario référence'!$B$18*5</f>
        <v>5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66">
        <f t="shared" si="110"/>
        <v>183.33333333333334</v>
      </c>
      <c r="I161" s="6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19.8100000000004</v>
      </c>
      <c r="O161" s="13">
        <f>N161*VLOOKUP('Données projet'!$B$9,Paramètres!$A$1:$I$89,3,0)*VLOOKUP('Données projet'!$B$9,Paramètres!$A$1:$I$89,5,0)</f>
        <v>17.924088000000364</v>
      </c>
      <c r="P161" s="13">
        <f t="shared" si="141"/>
        <v>5.9032212091029486</v>
      </c>
      <c r="Q161" s="20">
        <f t="shared" si="162"/>
        <v>41.499230205854936</v>
      </c>
      <c r="R161" s="59">
        <f t="shared" si="109"/>
        <v>329.05975443228692</v>
      </c>
      <c r="S161" s="59">
        <f ca="1">AVERAGE(OFFSET($R$3,0,0,'Données projet'!$E$9+1,1))-AVERAGE(OFFSET($H$3,0,0,'Données projet'!$E$9+1,1))</f>
        <v>567.42635821507474</v>
      </c>
      <c r="T161" s="59">
        <f t="shared" si="142"/>
        <v>299.04735309930152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162.32541546989347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162.32541546989347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19.8100000000004</v>
      </c>
      <c r="AJ161" s="13">
        <f>AI161*VLOOKUP('Données projet'!$B$10,Paramètres!$A$1:$I$89,3,0)*VLOOKUP('Données projet'!$B$10,Paramètres!$A$1:$I$89,5,0)</f>
        <v>20.08734000000041</v>
      </c>
      <c r="AK161" s="13">
        <f t="shared" si="164"/>
        <v>6.5285137703520215</v>
      </c>
      <c r="AL161" s="20">
        <f t="shared" si="165"/>
        <v>46.355945316697152</v>
      </c>
      <c r="AM161" s="59">
        <f t="shared" si="113"/>
        <v>333.91646954312915</v>
      </c>
      <c r="AN161" s="59">
        <f ca="1">AVERAGE(OFFSET($AM$3,0,0,'Données projet'!$E$10+1,1))-AVERAGE(OFFSET($H$3,0,0,'Données projet'!$E$10+1,1))</f>
        <v>626.09203985591455</v>
      </c>
      <c r="AO161" s="59">
        <f t="shared" si="144"/>
        <v>327.65191296575199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181.91641388867379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181.91641388867379</v>
      </c>
      <c r="AY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404.00000000000017</v>
      </c>
      <c r="BE161" s="13">
        <f>BD161*VLOOKUP('Données projet'!$B$11,Paramètres!$A$1:$I$89,3,0)*VLOOKUP('Données projet'!$B$11,Paramètres!$A$1:$I$89,5,0)</f>
        <v>346.63200000000018</v>
      </c>
      <c r="BF161" s="13">
        <f t="shared" si="167"/>
        <v>80.868615263336864</v>
      </c>
      <c r="BG161" s="20">
        <f t="shared" si="168"/>
        <v>744.56357158364528</v>
      </c>
      <c r="BH161" s="59">
        <f t="shared" si="116"/>
        <v>1032.1240958100773</v>
      </c>
      <c r="BI161" s="59">
        <f ca="1">AVERAGE(OFFSET($BH$3,0,0,'Données projet'!$E$11+1,1))-AVERAGE(OFFSET($H$3,0,0,'Données projet'!$E$11+1,1))</f>
        <v>481.23392184981651</v>
      </c>
      <c r="BJ161" s="59">
        <f t="shared" si="146"/>
        <v>275.88160405468193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47.095028201680925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47.095028201680925</v>
      </c>
      <c r="BT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5.2499999999990337</v>
      </c>
      <c r="BZ161" s="13">
        <f>BY161*VLOOKUP('Données projet'!$B$12,Paramètres!$A$1:$I$89,3,0)*VLOOKUP('Données projet'!$B$12,Paramètres!$A$1:$I$89,5,0)</f>
        <v>2.4569999999995478</v>
      </c>
      <c r="CA161" s="13">
        <f t="shared" si="170"/>
        <v>1.0197977774625564</v>
      </c>
      <c r="CB161" s="20">
        <f t="shared" si="171"/>
        <v>6.0554227957464972</v>
      </c>
      <c r="CC161" s="59">
        <f t="shared" si="119"/>
        <v>293.61594702217849</v>
      </c>
      <c r="CD161" s="59">
        <f ca="1">AVERAGE(OFFSET($CC$3,0,0,'Données projet'!$E$12+1,1))-AVERAGE(OFFSET($H$3,0,0,'Données projet'!$E$12+1,1))</f>
        <v>331.86732359395467</v>
      </c>
      <c r="CE161" s="59">
        <f t="shared" si="148"/>
        <v>208.64489375183106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92.037768662136017</v>
      </c>
      <c r="CL161" s="21">
        <f>EXP(-LN(2)/25)*CL160+(1-EXP(-LN(2)/25))/(LN(2)/25)*Calculateur!CG161*Calculateur!CI161*VLOOKUP('Données projet'!$B$12,Paramètres!$A$1:$I$89,3,0)*0.475*44/12</f>
        <v>0</v>
      </c>
      <c r="CM161" s="21">
        <f>EXP(-LN(2)/2)*CM160+(1-EXP(-LN(2)/2))/(LN(2)/2)*CG161*CJ161*VLOOKUP('Données projet'!$B$12,Paramètres!$A$1:$I$89,3,0)*0.475*44/12</f>
        <v>0</v>
      </c>
      <c r="CN161" s="22">
        <f t="shared" si="172"/>
        <v>92.037768662136017</v>
      </c>
      <c r="CO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319</v>
      </c>
      <c r="CU161" s="17">
        <f>CT161*VLOOKUP('Données projet'!$B$13,Paramètres!$A$1:$I$89,3,0)*VLOOKUP('Données projet'!$B$13,Paramètres!$A$1:$I$89,5,0)</f>
        <v>233.89079999999998</v>
      </c>
      <c r="CV161" s="13">
        <f t="shared" si="173"/>
        <v>57.123140349023068</v>
      </c>
      <c r="CW161" s="20">
        <f t="shared" si="174"/>
        <v>506.84927944121517</v>
      </c>
      <c r="CX161" s="59">
        <f t="shared" si="122"/>
        <v>794.40980366764711</v>
      </c>
      <c r="CY161" s="59">
        <f ca="1">AVERAGE(OFFSET($CX$3,0,0,'Données projet'!$E$13+1,1))-AVERAGE(OFFSET($H$3,0,0,'Données projet'!$E$13+1,1))</f>
        <v>352.45777291109863</v>
      </c>
      <c r="CZ161" s="59">
        <f t="shared" si="150"/>
        <v>340.92165104349181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8.4821448651679674</v>
      </c>
      <c r="DG161" s="21">
        <f>EXP(-LN(2)/25)*DG160+(1-EXP(-LN(2)/25))/(LN(2)/25)*Calculateur!DB161*Calculateur!DD161*VLOOKUP('Données projet'!$B$13,Paramètres!$A$1:$I$89,3,0)*0.475*44/12</f>
        <v>0</v>
      </c>
      <c r="DH161" s="21">
        <f>EXP(-LN(2)/2)*DH160+(1-EXP(-LN(2)/2))/(LN(2)/2)*DB161*DE161*VLOOKUP('Données projet'!$B$13,Paramètres!$A$1:$I$89,3,0)*0.475*44/12</f>
        <v>0</v>
      </c>
      <c r="DI161" s="22">
        <f t="shared" si="175"/>
        <v>8.4821448651679674</v>
      </c>
      <c r="DJ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19.8100000000004</v>
      </c>
      <c r="DP161" s="17">
        <f>DO161*VLOOKUP('Données projet'!$B$14,Paramètres!$A$1:$I$89,3,0)*VLOOKUP('Données projet'!$B$14,Paramètres!$A$1:$I$89,5,0)</f>
        <v>13.288548000000269</v>
      </c>
      <c r="DQ161" s="13">
        <f t="shared" si="176"/>
        <v>4.531654695205642</v>
      </c>
      <c r="DR161" s="20">
        <f t="shared" si="177"/>
        <v>31.036853027483627</v>
      </c>
      <c r="DS161" s="59">
        <f t="shared" si="125"/>
        <v>318.59737725391562</v>
      </c>
      <c r="DT161" s="59">
        <f ca="1">AVERAGE(OFFSET($DS$3,0,0,'Données projet'!$E$14+1,1))-AVERAGE(OFFSET($H$3,0,0,'Données projet'!$E$14+1,1))</f>
        <v>441.20130048888439</v>
      </c>
      <c r="DU161" s="59">
        <f t="shared" si="152"/>
        <v>237.47732532183946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148.33184517076472</v>
      </c>
      <c r="EB161" s="21">
        <f>EXP(-LN(2)/25)*EB160+(1-EXP(-LN(2)/25))/(LN(2)/25)*Calculateur!DW161*Calculateur!DY161*VLOOKUP('Données projet'!$B$14,Paramètres!$A$1:$I$89,3,0)*0.475*44/12</f>
        <v>0</v>
      </c>
      <c r="EC161" s="21">
        <f>EXP(-LN(2)/2)*EC160+(1-EXP(-LN(2)/2))/(LN(2)/2)*DW161*DZ161*VLOOKUP('Données projet'!$B$14,Paramètres!$A$1:$I$89,3,0)*0.475*44/12</f>
        <v>0</v>
      </c>
      <c r="ED161" s="22">
        <f t="shared" si="178"/>
        <v>148.33184517076472</v>
      </c>
      <c r="EE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319</v>
      </c>
      <c r="EK161" s="17">
        <f>EJ161*VLOOKUP('Données projet'!$B$15,Paramètres!$A$1:$I$89,3,0)*VLOOKUP('Données projet'!$B$15,Paramètres!$A$1:$I$89,5,0)</f>
        <v>253.79640000000001</v>
      </c>
      <c r="EL161" s="13">
        <f t="shared" si="179"/>
        <v>61.39816832228076</v>
      </c>
      <c r="EM161" s="20">
        <f t="shared" si="180"/>
        <v>548.96387316130563</v>
      </c>
      <c r="EN161" s="59">
        <f t="shared" si="128"/>
        <v>836.52439738773762</v>
      </c>
      <c r="EO161" s="59">
        <f ca="1">AVERAGE(OFFSET($EN$3,0,0,'Données projet'!$E$15+1,1))-AVERAGE(OFFSET($H$3,0,0,'Données projet'!$E$15+1,1))</f>
        <v>377.27600411578322</v>
      </c>
      <c r="EP161" s="59">
        <f t="shared" si="154"/>
        <v>364.58250627635425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>
        <f>EXP(-LN(2)/35)*EV160+(1-EXP(-LN(2)/35))/(LN(2)/35)*ER161*ES161*VLOOKUP('Données projet'!$B$15,Paramètres!$A$1:$I$89,3,0)*0.475*44/12</f>
        <v>11.344501519321625</v>
      </c>
      <c r="EW161" s="21">
        <f>EXP(-LN(2)/25)*EW160+(1-EXP(-LN(2)/25))/(LN(2)/25)*Calculateur!ER161*Calculateur!ET161*VLOOKUP('Données projet'!$B$15,Paramètres!$A$1:$I$89,3,0)*0.475*44/12</f>
        <v>0</v>
      </c>
      <c r="EX161" s="21">
        <f>EXP(-LN(2)/2)*EX160+(1-EXP(-LN(2)/2))/(LN(2)/2)*ER161*EU161*VLOOKUP('Données projet'!$B$15,Paramètres!$A$1:$I$89,3,0)*0.475*44/12</f>
        <v>0</v>
      </c>
      <c r="EY161" s="22">
        <f t="shared" si="181"/>
        <v>11.344501519321625</v>
      </c>
      <c r="EZ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319</v>
      </c>
      <c r="FF161" s="17">
        <f>FE161*VLOOKUP('Données projet'!$B$16,Paramètres!$A$1:$I$89,3,0)*VLOOKUP('Données projet'!$B$16,Paramètres!$A$1:$I$89,5,0)</f>
        <v>258.77280000000002</v>
      </c>
      <c r="FG161" s="13">
        <f t="shared" si="182"/>
        <v>62.460716522234691</v>
      </c>
      <c r="FH161" s="20">
        <f t="shared" si="183"/>
        <v>559.48170794289206</v>
      </c>
      <c r="FI161" s="59">
        <f t="shared" si="131"/>
        <v>847.04223216932405</v>
      </c>
      <c r="FJ161" s="59">
        <f ca="1">AVERAGE(OFFSET($FI$3,0,0,'Données projet'!$E$16+1,1))-AVERAGE(OFFSET($H$3,0,0,'Données projet'!$E$16+1,1))</f>
        <v>383.47399633251354</v>
      </c>
      <c r="FK161" s="59">
        <f t="shared" si="156"/>
        <v>370.49129421395628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>
        <f>EXP(-LN(2)/35)*FQ160+(1-EXP(-LN(2)/35))/(LN(2)/35)*FM161*FN161*VLOOKUP('Données projet'!$B$16,Paramètres!$A$1:$I$89,3,0)*0.475*44/12</f>
        <v>11.566942725582846</v>
      </c>
      <c r="FR161" s="21">
        <f>EXP(-LN(2)/25)*FR160+(1-EXP(-LN(2)/25))/(LN(2)/25)*Calculateur!FM161*Calculateur!FO161*VLOOKUP('Données projet'!$B$16,Paramètres!$A$1:$I$89,3,0)*0.475*44/12</f>
        <v>0</v>
      </c>
      <c r="FS161" s="21">
        <f>EXP(-LN(2)/2)*FS160+(1-EXP(-LN(2)/2))/(LN(2)/2)*FM161*FP161*VLOOKUP('Données projet'!$B$16,Paramètres!$A$1:$I$89,3,0)*0.475*44/12</f>
        <v>0</v>
      </c>
      <c r="FT161" s="22">
        <f t="shared" si="184"/>
        <v>11.566942725582846</v>
      </c>
      <c r="FU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19.8100000000004</v>
      </c>
      <c r="GA161" s="17">
        <f>FZ161*VLOOKUP('Données projet'!$B$17,Paramètres!$A$1:$I$89,3,0)*VLOOKUP('Données projet'!$B$17,Paramètres!$A$1:$I$89,5,0)</f>
        <v>18.851196000000382</v>
      </c>
      <c r="GB161" s="13">
        <f t="shared" si="185"/>
        <v>6.172221809210666</v>
      </c>
      <c r="GC161" s="20">
        <f t="shared" si="186"/>
        <v>43.582452684375909</v>
      </c>
      <c r="GD161" s="59">
        <f t="shared" si="134"/>
        <v>331.14297691080787</v>
      </c>
      <c r="GE161" s="59">
        <f ca="1">AVERAGE(OFFSET($GD$3,0,0,'Données projet'!$E$17+1,1))-AVERAGE(OFFSET($H$3,0,0,'Données projet'!$E$17+1,1))</f>
        <v>592.58528889137358</v>
      </c>
      <c r="GF161" s="59">
        <f t="shared" si="158"/>
        <v>311.31528020403709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>
        <f>EXP(-LN(2)/35)*GL160+(1-EXP(-LN(2)/35))/(LN(2)/35)*GH161*GI161*VLOOKUP('Données projet'!$B$17,Paramètres!$A$1:$I$89,3,0)*0.475*44/12</f>
        <v>170.72155764937074</v>
      </c>
      <c r="GM161" s="21">
        <f>EXP(-LN(2)/25)*GM160+(1-EXP(-LN(2)/25))/(LN(2)/25)*Calculateur!GH161*Calculateur!GJ161*VLOOKUP('Données projet'!$B$17,Paramètres!$A$1:$I$89,3,0)*0.475*44/12</f>
        <v>0</v>
      </c>
      <c r="GN161" s="21">
        <f>EXP(-LN(2)/2)*GN160+(1-EXP(-LN(2)/2))/(LN(2)/2)*GH161*GK161*VLOOKUP('Données projet'!$B$17,Paramètres!$A$1:$I$89,3,0)*0.475*44/12</f>
        <v>0</v>
      </c>
      <c r="GO161" s="21">
        <f t="shared" si="187"/>
        <v>170.72155764937074</v>
      </c>
      <c r="GP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328.00000000000006</v>
      </c>
      <c r="GV161" s="17">
        <f>GU161*VLOOKUP('Données projet'!$B$18,Paramètres!$A$1:$I$89,3,0)*VLOOKUP('Données projet'!$B$18,Paramètres!$A$1:$I$89,5,0)</f>
        <v>255.84000000000006</v>
      </c>
      <c r="GW161" s="13">
        <f t="shared" si="188"/>
        <v>61.834803371075836</v>
      </c>
      <c r="GX161" s="20">
        <f t="shared" si="189"/>
        <v>553.28361587129041</v>
      </c>
      <c r="GY161" s="59">
        <f t="shared" si="137"/>
        <v>840.8441400977224</v>
      </c>
      <c r="GZ161" s="59">
        <f ca="1">AVERAGE(OFFSET($GY$3,0,0,'Données projet'!$E$18+1,1))-AVERAGE(OFFSET($H$3,0,0,'Données projet'!$E$18+1,1))</f>
        <v>308.85018589589453</v>
      </c>
      <c r="HA161" s="59">
        <f t="shared" si="160"/>
        <v>302.59481222418219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>
        <f>EXP(-LN(2)/35)*HG160+(1-EXP(-LN(2)/35))/(LN(2)/35)*HC161*HD161*VLOOKUP('Données projet'!$B$18,Paramètres!$A$1:$I$89,3,0)*0.475*44/12</f>
        <v>8.645370111295513</v>
      </c>
      <c r="HH161" s="21">
        <f>EXP(-LN(2)/25)*HH160+(1-EXP(-LN(2)/25))/(LN(2)/25)*Calculateur!HC161*Calculateur!HE161*VLOOKUP('Données projet'!$B$18,Paramètres!$A$1:$I$89,3,0)*0.475*44/12</f>
        <v>0</v>
      </c>
      <c r="HI161" s="21">
        <f>EXP(-LN(2)/2)*HI160+(1-EXP(-LN(2)/2))/(LN(2)/2)*HC161*HF161*VLOOKUP('Données projet'!$B$18,Paramètres!$A$1:$I$89,3,0)*0.475*44/12</f>
        <v>0</v>
      </c>
      <c r="HJ161" s="22">
        <f t="shared" si="190"/>
        <v>8.645370111295513</v>
      </c>
    </row>
    <row r="162" spans="1:218" x14ac:dyDescent="0.35">
      <c r="A162" s="10">
        <f t="shared" si="161"/>
        <v>159</v>
      </c>
      <c r="B162" s="72">
        <f>'Scénario référence'!$B$16*5+'Scénario référence'!$B$17*0+'Scénario référence'!$B$18*5</f>
        <v>5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66">
        <f t="shared" si="110"/>
        <v>183.33333333333334</v>
      </c>
      <c r="I162" s="6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19.8100000000004</v>
      </c>
      <c r="O162" s="13">
        <f>N162*VLOOKUP('Données projet'!$B$9,Paramètres!$A$1:$I$89,3,0)*VLOOKUP('Données projet'!$B$9,Paramètres!$A$1:$I$89,5,0)</f>
        <v>17.924088000000364</v>
      </c>
      <c r="P162" s="13">
        <f t="shared" si="141"/>
        <v>5.9032212091029486</v>
      </c>
      <c r="Q162" s="20">
        <f t="shared" si="162"/>
        <v>41.499230205854936</v>
      </c>
      <c r="R162" s="59">
        <f t="shared" si="109"/>
        <v>329.15989976422389</v>
      </c>
      <c r="S162" s="59">
        <f ca="1">AVERAGE(OFFSET($R$3,0,0,'Données projet'!$E$9+1,1))-AVERAGE(OFFSET($H$3,0,0,'Données projet'!$E$9+1,1))</f>
        <v>567.42635821507474</v>
      </c>
      <c r="T162" s="59">
        <f t="shared" si="142"/>
        <v>299.04735309930152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159.14231308125599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159.14231308125599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19.8100000000004</v>
      </c>
      <c r="AJ162" s="13">
        <f>AI162*VLOOKUP('Données projet'!$B$10,Paramètres!$A$1:$I$89,3,0)*VLOOKUP('Données projet'!$B$10,Paramètres!$A$1:$I$89,5,0)</f>
        <v>20.08734000000041</v>
      </c>
      <c r="AK162" s="13">
        <f t="shared" si="164"/>
        <v>6.5285137703520215</v>
      </c>
      <c r="AL162" s="20">
        <f t="shared" si="165"/>
        <v>46.355945316697152</v>
      </c>
      <c r="AM162" s="59">
        <f t="shared" si="113"/>
        <v>334.01661487506613</v>
      </c>
      <c r="AN162" s="59">
        <f ca="1">AVERAGE(OFFSET($AM$3,0,0,'Données projet'!$E$10+1,1))-AVERAGE(OFFSET($H$3,0,0,'Données projet'!$E$10+1,1))</f>
        <v>626.09203985591455</v>
      </c>
      <c r="AO162" s="59">
        <f t="shared" si="144"/>
        <v>327.65191296575199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178.34914397037318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178.34914397037318</v>
      </c>
      <c r="AY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404.00000000000017</v>
      </c>
      <c r="BE162" s="13">
        <f>BD162*VLOOKUP('Données projet'!$B$11,Paramètres!$A$1:$I$89,3,0)*VLOOKUP('Données projet'!$B$11,Paramètres!$A$1:$I$89,5,0)</f>
        <v>346.63200000000018</v>
      </c>
      <c r="BF162" s="13">
        <f t="shared" si="167"/>
        <v>80.868615263336864</v>
      </c>
      <c r="BG162" s="20">
        <f t="shared" si="168"/>
        <v>744.56357158364528</v>
      </c>
      <c r="BH162" s="59">
        <f t="shared" si="116"/>
        <v>1032.2242411420143</v>
      </c>
      <c r="BI162" s="59">
        <f ca="1">AVERAGE(OFFSET($BH$3,0,0,'Données projet'!$E$11+1,1))-AVERAGE(OFFSET($H$3,0,0,'Données projet'!$E$11+1,1))</f>
        <v>481.23392184981651</v>
      </c>
      <c r="BJ162" s="59">
        <f t="shared" si="146"/>
        <v>275.88160405468193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46.171523423776797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46.171523423776797</v>
      </c>
      <c r="BT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5.2499999999990337</v>
      </c>
      <c r="BZ162" s="13">
        <f>BY162*VLOOKUP('Données projet'!$B$12,Paramètres!$A$1:$I$89,3,0)*VLOOKUP('Données projet'!$B$12,Paramètres!$A$1:$I$89,5,0)</f>
        <v>2.4569999999995478</v>
      </c>
      <c r="CA162" s="13">
        <f t="shared" si="170"/>
        <v>1.0197977774625564</v>
      </c>
      <c r="CB162" s="20">
        <f t="shared" si="171"/>
        <v>6.0554227957464972</v>
      </c>
      <c r="CC162" s="59">
        <f t="shared" si="119"/>
        <v>293.71609235411546</v>
      </c>
      <c r="CD162" s="59">
        <f ca="1">AVERAGE(OFFSET($CC$3,0,0,'Données projet'!$E$12+1,1))-AVERAGE(OFFSET($H$3,0,0,'Données projet'!$E$12+1,1))</f>
        <v>331.86732359395467</v>
      </c>
      <c r="CE162" s="59">
        <f t="shared" si="148"/>
        <v>208.64489375183106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90.232964156167299</v>
      </c>
      <c r="CL162" s="21">
        <f>EXP(-LN(2)/25)*CL161+(1-EXP(-LN(2)/25))/(LN(2)/25)*Calculateur!CG162*Calculateur!CI162*VLOOKUP('Données projet'!$B$12,Paramètres!$A$1:$I$89,3,0)*0.475*44/12</f>
        <v>0</v>
      </c>
      <c r="CM162" s="21">
        <f>EXP(-LN(2)/2)*CM161+(1-EXP(-LN(2)/2))/(LN(2)/2)*CG162*CJ162*VLOOKUP('Données projet'!$B$12,Paramètres!$A$1:$I$89,3,0)*0.475*44/12</f>
        <v>0</v>
      </c>
      <c r="CN162" s="22">
        <f t="shared" si="172"/>
        <v>90.232964156167299</v>
      </c>
      <c r="CO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319</v>
      </c>
      <c r="CU162" s="17">
        <f>CT162*VLOOKUP('Données projet'!$B$13,Paramètres!$A$1:$I$89,3,0)*VLOOKUP('Données projet'!$B$13,Paramètres!$A$1:$I$89,5,0)</f>
        <v>233.89079999999998</v>
      </c>
      <c r="CV162" s="13">
        <f t="shared" si="173"/>
        <v>57.123140349023068</v>
      </c>
      <c r="CW162" s="20">
        <f t="shared" si="174"/>
        <v>506.84927944121517</v>
      </c>
      <c r="CX162" s="59">
        <f t="shared" si="122"/>
        <v>794.50994899958414</v>
      </c>
      <c r="CY162" s="59">
        <f ca="1">AVERAGE(OFFSET($CX$3,0,0,'Données projet'!$E$13+1,1))-AVERAGE(OFFSET($H$3,0,0,'Données projet'!$E$13+1,1))</f>
        <v>352.45777291109863</v>
      </c>
      <c r="CZ162" s="59">
        <f t="shared" si="150"/>
        <v>340.92165104349181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8.3158151779595411</v>
      </c>
      <c r="DG162" s="21">
        <f>EXP(-LN(2)/25)*DG161+(1-EXP(-LN(2)/25))/(LN(2)/25)*Calculateur!DB162*Calculateur!DD162*VLOOKUP('Données projet'!$B$13,Paramètres!$A$1:$I$89,3,0)*0.475*44/12</f>
        <v>0</v>
      </c>
      <c r="DH162" s="21">
        <f>EXP(-LN(2)/2)*DH161+(1-EXP(-LN(2)/2))/(LN(2)/2)*DB162*DE162*VLOOKUP('Données projet'!$B$13,Paramètres!$A$1:$I$89,3,0)*0.475*44/12</f>
        <v>0</v>
      </c>
      <c r="DI162" s="22">
        <f t="shared" si="175"/>
        <v>8.3158151779595411</v>
      </c>
      <c r="DJ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19.8100000000004</v>
      </c>
      <c r="DP162" s="17">
        <f>DO162*VLOOKUP('Données projet'!$B$14,Paramètres!$A$1:$I$89,3,0)*VLOOKUP('Données projet'!$B$14,Paramètres!$A$1:$I$89,5,0)</f>
        <v>13.288548000000269</v>
      </c>
      <c r="DQ162" s="13">
        <f t="shared" si="176"/>
        <v>4.531654695205642</v>
      </c>
      <c r="DR162" s="20">
        <f t="shared" si="177"/>
        <v>31.036853027483627</v>
      </c>
      <c r="DS162" s="59">
        <f t="shared" si="125"/>
        <v>318.6975225858526</v>
      </c>
      <c r="DT162" s="59">
        <f ca="1">AVERAGE(OFFSET($DS$3,0,0,'Données projet'!$E$14+1,1))-AVERAGE(OFFSET($H$3,0,0,'Données projet'!$E$14+1,1))</f>
        <v>441.20130048888439</v>
      </c>
      <c r="DU162" s="59">
        <f t="shared" si="152"/>
        <v>237.47732532183946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145.42314816045806</v>
      </c>
      <c r="EB162" s="21">
        <f>EXP(-LN(2)/25)*EB161+(1-EXP(-LN(2)/25))/(LN(2)/25)*Calculateur!DW162*Calculateur!DY162*VLOOKUP('Données projet'!$B$14,Paramètres!$A$1:$I$89,3,0)*0.475*44/12</f>
        <v>0</v>
      </c>
      <c r="EC162" s="21">
        <f>EXP(-LN(2)/2)*EC161+(1-EXP(-LN(2)/2))/(LN(2)/2)*DW162*DZ162*VLOOKUP('Données projet'!$B$14,Paramètres!$A$1:$I$89,3,0)*0.475*44/12</f>
        <v>0</v>
      </c>
      <c r="ED162" s="22">
        <f t="shared" si="178"/>
        <v>145.42314816045806</v>
      </c>
      <c r="EE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319</v>
      </c>
      <c r="EK162" s="17">
        <f>EJ162*VLOOKUP('Données projet'!$B$15,Paramètres!$A$1:$I$89,3,0)*VLOOKUP('Données projet'!$B$15,Paramètres!$A$1:$I$89,5,0)</f>
        <v>253.79640000000001</v>
      </c>
      <c r="EL162" s="13">
        <f t="shared" si="179"/>
        <v>61.39816832228076</v>
      </c>
      <c r="EM162" s="20">
        <f t="shared" si="180"/>
        <v>548.96387316130563</v>
      </c>
      <c r="EN162" s="59">
        <f t="shared" si="128"/>
        <v>836.62454271967454</v>
      </c>
      <c r="EO162" s="59">
        <f ca="1">AVERAGE(OFFSET($EN$3,0,0,'Données projet'!$E$15+1,1))-AVERAGE(OFFSET($H$3,0,0,'Données projet'!$E$15+1,1))</f>
        <v>377.27600411578322</v>
      </c>
      <c r="EP162" s="59">
        <f t="shared" si="154"/>
        <v>364.58250627635425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>
        <f>EXP(-LN(2)/35)*EV161+(1-EXP(-LN(2)/35))/(LN(2)/35)*ER162*ES162*VLOOKUP('Données projet'!$B$15,Paramètres!$A$1:$I$89,3,0)*0.475*44/12</f>
        <v>11.122042763990414</v>
      </c>
      <c r="EW162" s="21">
        <f>EXP(-LN(2)/25)*EW161+(1-EXP(-LN(2)/25))/(LN(2)/25)*Calculateur!ER162*Calculateur!ET162*VLOOKUP('Données projet'!$B$15,Paramètres!$A$1:$I$89,3,0)*0.475*44/12</f>
        <v>0</v>
      </c>
      <c r="EX162" s="21">
        <f>EXP(-LN(2)/2)*EX161+(1-EXP(-LN(2)/2))/(LN(2)/2)*ER162*EU162*VLOOKUP('Données projet'!$B$15,Paramètres!$A$1:$I$89,3,0)*0.475*44/12</f>
        <v>0</v>
      </c>
      <c r="EY162" s="22">
        <f t="shared" si="181"/>
        <v>11.122042763990414</v>
      </c>
      <c r="EZ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319</v>
      </c>
      <c r="FF162" s="17">
        <f>FE162*VLOOKUP('Données projet'!$B$16,Paramètres!$A$1:$I$89,3,0)*VLOOKUP('Données projet'!$B$16,Paramètres!$A$1:$I$89,5,0)</f>
        <v>258.77280000000002</v>
      </c>
      <c r="FG162" s="13">
        <f t="shared" si="182"/>
        <v>62.460716522234691</v>
      </c>
      <c r="FH162" s="20">
        <f t="shared" si="183"/>
        <v>559.48170794289206</v>
      </c>
      <c r="FI162" s="59">
        <f t="shared" si="131"/>
        <v>847.14237750126108</v>
      </c>
      <c r="FJ162" s="59">
        <f ca="1">AVERAGE(OFFSET($FI$3,0,0,'Données projet'!$E$16+1,1))-AVERAGE(OFFSET($H$3,0,0,'Données projet'!$E$16+1,1))</f>
        <v>383.47399633251354</v>
      </c>
      <c r="FK162" s="59">
        <f t="shared" si="156"/>
        <v>370.49129421395628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>
        <f>EXP(-LN(2)/35)*FQ161+(1-EXP(-LN(2)/35))/(LN(2)/35)*FM162*FN162*VLOOKUP('Données projet'!$B$16,Paramètres!$A$1:$I$89,3,0)*0.475*44/12</f>
        <v>11.340122033872593</v>
      </c>
      <c r="FR162" s="21">
        <f>EXP(-LN(2)/25)*FR161+(1-EXP(-LN(2)/25))/(LN(2)/25)*Calculateur!FM162*Calculateur!FO162*VLOOKUP('Données projet'!$B$16,Paramètres!$A$1:$I$89,3,0)*0.475*44/12</f>
        <v>0</v>
      </c>
      <c r="FS162" s="21">
        <f>EXP(-LN(2)/2)*FS161+(1-EXP(-LN(2)/2))/(LN(2)/2)*FM162*FP162*VLOOKUP('Données projet'!$B$16,Paramètres!$A$1:$I$89,3,0)*0.475*44/12</f>
        <v>0</v>
      </c>
      <c r="FT162" s="22">
        <f t="shared" si="184"/>
        <v>11.340122033872593</v>
      </c>
      <c r="FU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19.8100000000004</v>
      </c>
      <c r="GA162" s="17">
        <f>FZ162*VLOOKUP('Données projet'!$B$17,Paramètres!$A$1:$I$89,3,0)*VLOOKUP('Données projet'!$B$17,Paramètres!$A$1:$I$89,5,0)</f>
        <v>18.851196000000382</v>
      </c>
      <c r="GB162" s="13">
        <f t="shared" si="185"/>
        <v>6.172221809210666</v>
      </c>
      <c r="GC162" s="20">
        <f t="shared" si="186"/>
        <v>43.582452684375909</v>
      </c>
      <c r="GD162" s="59">
        <f t="shared" si="134"/>
        <v>331.2431222427449</v>
      </c>
      <c r="GE162" s="59">
        <f ca="1">AVERAGE(OFFSET($GD$3,0,0,'Données projet'!$E$17+1,1))-AVERAGE(OFFSET($H$3,0,0,'Données projet'!$E$17+1,1))</f>
        <v>592.58528889137358</v>
      </c>
      <c r="GF162" s="59">
        <f t="shared" si="158"/>
        <v>311.31528020403709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>
        <f>EXP(-LN(2)/35)*GL161+(1-EXP(-LN(2)/35))/(LN(2)/35)*GH162*GI162*VLOOKUP('Données projet'!$B$17,Paramètres!$A$1:$I$89,3,0)*0.475*44/12</f>
        <v>167.37381203373477</v>
      </c>
      <c r="GM162" s="21">
        <f>EXP(-LN(2)/25)*GM161+(1-EXP(-LN(2)/25))/(LN(2)/25)*Calculateur!GH162*Calculateur!GJ162*VLOOKUP('Données projet'!$B$17,Paramètres!$A$1:$I$89,3,0)*0.475*44/12</f>
        <v>0</v>
      </c>
      <c r="GN162" s="21">
        <f>EXP(-LN(2)/2)*GN161+(1-EXP(-LN(2)/2))/(LN(2)/2)*GH162*GK162*VLOOKUP('Données projet'!$B$17,Paramètres!$A$1:$I$89,3,0)*0.475*44/12</f>
        <v>0</v>
      </c>
      <c r="GO162" s="21">
        <f t="shared" si="187"/>
        <v>167.37381203373477</v>
      </c>
      <c r="GP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328.00000000000006</v>
      </c>
      <c r="GV162" s="17">
        <f>GU162*VLOOKUP('Données projet'!$B$18,Paramètres!$A$1:$I$89,3,0)*VLOOKUP('Données projet'!$B$18,Paramètres!$A$1:$I$89,5,0)</f>
        <v>255.84000000000006</v>
      </c>
      <c r="GW162" s="13">
        <f t="shared" si="188"/>
        <v>61.834803371075836</v>
      </c>
      <c r="GX162" s="20">
        <f t="shared" si="189"/>
        <v>553.28361587129041</v>
      </c>
      <c r="GY162" s="59">
        <f t="shared" si="137"/>
        <v>840.94428542965943</v>
      </c>
      <c r="GZ162" s="59">
        <f ca="1">AVERAGE(OFFSET($GY$3,0,0,'Données projet'!$E$18+1,1))-AVERAGE(OFFSET($H$3,0,0,'Données projet'!$E$18+1,1))</f>
        <v>308.85018589589453</v>
      </c>
      <c r="HA162" s="59">
        <f t="shared" si="160"/>
        <v>302.59481222418219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>
        <f>EXP(-LN(2)/35)*HG161+(1-EXP(-LN(2)/35))/(LN(2)/35)*HC162*HD162*VLOOKUP('Données projet'!$B$18,Paramètres!$A$1:$I$89,3,0)*0.475*44/12</f>
        <v>8.4758396765680946</v>
      </c>
      <c r="HH162" s="21">
        <f>EXP(-LN(2)/25)*HH161+(1-EXP(-LN(2)/25))/(LN(2)/25)*Calculateur!HC162*Calculateur!HE162*VLOOKUP('Données projet'!$B$18,Paramètres!$A$1:$I$89,3,0)*0.475*44/12</f>
        <v>0</v>
      </c>
      <c r="HI162" s="21">
        <f>EXP(-LN(2)/2)*HI161+(1-EXP(-LN(2)/2))/(LN(2)/2)*HC162*HF162*VLOOKUP('Données projet'!$B$18,Paramètres!$A$1:$I$89,3,0)*0.475*44/12</f>
        <v>0</v>
      </c>
      <c r="HJ162" s="22">
        <f t="shared" si="190"/>
        <v>8.4758396765680946</v>
      </c>
    </row>
    <row r="163" spans="1:218" x14ac:dyDescent="0.35">
      <c r="A163" s="10">
        <f t="shared" si="161"/>
        <v>160</v>
      </c>
      <c r="B163" s="72">
        <f>'Scénario référence'!$B$16*5+'Scénario référence'!$B$17*0+'Scénario référence'!$B$18*5</f>
        <v>5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66">
        <f t="shared" si="110"/>
        <v>183.33333333333334</v>
      </c>
      <c r="I163" s="6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19.8100000000004</v>
      </c>
      <c r="O163" s="13">
        <f>N163*VLOOKUP('Données projet'!$B$9,Paramètres!$A$1:$I$89,3,0)*VLOOKUP('Données projet'!$B$9,Paramètres!$A$1:$I$89,5,0)</f>
        <v>17.924088000000364</v>
      </c>
      <c r="P163" s="13">
        <f t="shared" si="141"/>
        <v>5.9032212091029486</v>
      </c>
      <c r="Q163" s="20">
        <f t="shared" si="162"/>
        <v>41.499230205854936</v>
      </c>
      <c r="R163" s="59">
        <f t="shared" si="109"/>
        <v>329.25830779854329</v>
      </c>
      <c r="S163" s="59">
        <f ca="1">AVERAGE(OFFSET($R$3,0,0,'Données projet'!$E$9+1,1))-AVERAGE(OFFSET($H$3,0,0,'Données projet'!$E$9+1,1))</f>
        <v>567.42635821507474</v>
      </c>
      <c r="T163" s="59">
        <f t="shared" si="142"/>
        <v>299.04735309930152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156.02162938895896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156.02162938895896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19.8100000000004</v>
      </c>
      <c r="AJ163" s="13">
        <f>AI163*VLOOKUP('Données projet'!$B$10,Paramètres!$A$1:$I$89,3,0)*VLOOKUP('Données projet'!$B$10,Paramètres!$A$1:$I$89,5,0)</f>
        <v>20.08734000000041</v>
      </c>
      <c r="AK163" s="13">
        <f t="shared" si="164"/>
        <v>6.5285137703520215</v>
      </c>
      <c r="AL163" s="20">
        <f t="shared" si="165"/>
        <v>46.355945316697152</v>
      </c>
      <c r="AM163" s="59">
        <f t="shared" si="113"/>
        <v>334.11502290938552</v>
      </c>
      <c r="AN163" s="59">
        <f ca="1">AVERAGE(OFFSET($AM$3,0,0,'Données projet'!$E$10+1,1))-AVERAGE(OFFSET($H$3,0,0,'Données projet'!$E$10+1,1))</f>
        <v>626.09203985591455</v>
      </c>
      <c r="AO163" s="59">
        <f t="shared" si="144"/>
        <v>327.65191296575199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174.85182603935064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174.85182603935064</v>
      </c>
      <c r="AY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404.00000000000017</v>
      </c>
      <c r="BE163" s="13">
        <f>BD163*VLOOKUP('Données projet'!$B$11,Paramètres!$A$1:$I$89,3,0)*VLOOKUP('Données projet'!$B$11,Paramètres!$A$1:$I$89,5,0)</f>
        <v>346.63200000000018</v>
      </c>
      <c r="BF163" s="13">
        <f t="shared" si="167"/>
        <v>80.868615263336864</v>
      </c>
      <c r="BG163" s="20">
        <f t="shared" si="168"/>
        <v>744.56357158364528</v>
      </c>
      <c r="BH163" s="59">
        <f t="shared" si="116"/>
        <v>1032.3226491763337</v>
      </c>
      <c r="BI163" s="59">
        <f ca="1">AVERAGE(OFFSET($BH$3,0,0,'Données projet'!$E$11+1,1))-AVERAGE(OFFSET($H$3,0,0,'Données projet'!$E$11+1,1))</f>
        <v>481.23392184981651</v>
      </c>
      <c r="BJ163" s="59">
        <f t="shared" si="146"/>
        <v>275.88160405468193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45.266128011285069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45.266128011285069</v>
      </c>
      <c r="BT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5.2499999999990337</v>
      </c>
      <c r="BZ163" s="13">
        <f>BY163*VLOOKUP('Données projet'!$B$12,Paramètres!$A$1:$I$89,3,0)*VLOOKUP('Données projet'!$B$12,Paramètres!$A$1:$I$89,5,0)</f>
        <v>2.4569999999995478</v>
      </c>
      <c r="CA163" s="13">
        <f t="shared" si="170"/>
        <v>1.0197977774625564</v>
      </c>
      <c r="CB163" s="20">
        <f t="shared" si="171"/>
        <v>6.0554227957464972</v>
      </c>
      <c r="CC163" s="59">
        <f t="shared" si="119"/>
        <v>293.81450038843485</v>
      </c>
      <c r="CD163" s="59">
        <f ca="1">AVERAGE(OFFSET($CC$3,0,0,'Données projet'!$E$12+1,1))-AVERAGE(OFFSET($H$3,0,0,'Données projet'!$E$12+1,1))</f>
        <v>331.86732359395467</v>
      </c>
      <c r="CE163" s="59">
        <f t="shared" si="148"/>
        <v>208.64489375183106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88.463550765738574</v>
      </c>
      <c r="CL163" s="21">
        <f>EXP(-LN(2)/25)*CL162+(1-EXP(-LN(2)/25))/(LN(2)/25)*Calculateur!CG163*Calculateur!CI163*VLOOKUP('Données projet'!$B$12,Paramètres!$A$1:$I$89,3,0)*0.475*44/12</f>
        <v>0</v>
      </c>
      <c r="CM163" s="21">
        <f>EXP(-LN(2)/2)*CM162+(1-EXP(-LN(2)/2))/(LN(2)/2)*CG163*CJ163*VLOOKUP('Données projet'!$B$12,Paramètres!$A$1:$I$89,3,0)*0.475*44/12</f>
        <v>0</v>
      </c>
      <c r="CN163" s="22">
        <f t="shared" si="172"/>
        <v>88.463550765738574</v>
      </c>
      <c r="CO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319</v>
      </c>
      <c r="CU163" s="17">
        <f>CT163*VLOOKUP('Données projet'!$B$13,Paramètres!$A$1:$I$89,3,0)*VLOOKUP('Données projet'!$B$13,Paramètres!$A$1:$I$89,5,0)</f>
        <v>233.89079999999998</v>
      </c>
      <c r="CV163" s="13">
        <f t="shared" si="173"/>
        <v>57.123140349023068</v>
      </c>
      <c r="CW163" s="20">
        <f t="shared" si="174"/>
        <v>506.84927944121517</v>
      </c>
      <c r="CX163" s="59">
        <f t="shared" si="122"/>
        <v>794.60835703390353</v>
      </c>
      <c r="CY163" s="59">
        <f ca="1">AVERAGE(OFFSET($CX$3,0,0,'Données projet'!$E$13+1,1))-AVERAGE(OFFSET($H$3,0,0,'Données projet'!$E$13+1,1))</f>
        <v>352.45777291109863</v>
      </c>
      <c r="CZ163" s="59">
        <f t="shared" si="150"/>
        <v>340.92165104349181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8.1527471144661803</v>
      </c>
      <c r="DG163" s="21">
        <f>EXP(-LN(2)/25)*DG162+(1-EXP(-LN(2)/25))/(LN(2)/25)*Calculateur!DB163*Calculateur!DD163*VLOOKUP('Données projet'!$B$13,Paramètres!$A$1:$I$89,3,0)*0.475*44/12</f>
        <v>0</v>
      </c>
      <c r="DH163" s="21">
        <f>EXP(-LN(2)/2)*DH162+(1-EXP(-LN(2)/2))/(LN(2)/2)*DB163*DE163*VLOOKUP('Données projet'!$B$13,Paramètres!$A$1:$I$89,3,0)*0.475*44/12</f>
        <v>0</v>
      </c>
      <c r="DI163" s="22">
        <f t="shared" si="175"/>
        <v>8.1527471144661803</v>
      </c>
      <c r="DJ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19.8100000000004</v>
      </c>
      <c r="DP163" s="17">
        <f>DO163*VLOOKUP('Données projet'!$B$14,Paramètres!$A$1:$I$89,3,0)*VLOOKUP('Données projet'!$B$14,Paramètres!$A$1:$I$89,5,0)</f>
        <v>13.288548000000269</v>
      </c>
      <c r="DQ163" s="13">
        <f t="shared" si="176"/>
        <v>4.531654695205642</v>
      </c>
      <c r="DR163" s="20">
        <f t="shared" si="177"/>
        <v>31.036853027483627</v>
      </c>
      <c r="DS163" s="59">
        <f t="shared" si="125"/>
        <v>318.79593062017199</v>
      </c>
      <c r="DT163" s="59">
        <f ca="1">AVERAGE(OFFSET($DS$3,0,0,'Données projet'!$E$14+1,1))-AVERAGE(OFFSET($H$3,0,0,'Données projet'!$E$14+1,1))</f>
        <v>441.20130048888439</v>
      </c>
      <c r="DU163" s="59">
        <f t="shared" si="152"/>
        <v>237.47732532183946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142.57148892439352</v>
      </c>
      <c r="EB163" s="21">
        <f>EXP(-LN(2)/25)*EB162+(1-EXP(-LN(2)/25))/(LN(2)/25)*Calculateur!DW163*Calculateur!DY163*VLOOKUP('Données projet'!$B$14,Paramètres!$A$1:$I$89,3,0)*0.475*44/12</f>
        <v>0</v>
      </c>
      <c r="EC163" s="21">
        <f>EXP(-LN(2)/2)*EC162+(1-EXP(-LN(2)/2))/(LN(2)/2)*DW163*DZ163*VLOOKUP('Données projet'!$B$14,Paramètres!$A$1:$I$89,3,0)*0.475*44/12</f>
        <v>0</v>
      </c>
      <c r="ED163" s="22">
        <f t="shared" si="178"/>
        <v>142.57148892439352</v>
      </c>
      <c r="EE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319</v>
      </c>
      <c r="EK163" s="17">
        <f>EJ163*VLOOKUP('Données projet'!$B$15,Paramètres!$A$1:$I$89,3,0)*VLOOKUP('Données projet'!$B$15,Paramètres!$A$1:$I$89,5,0)</f>
        <v>253.79640000000001</v>
      </c>
      <c r="EL163" s="13">
        <f t="shared" si="179"/>
        <v>61.39816832228076</v>
      </c>
      <c r="EM163" s="20">
        <f t="shared" si="180"/>
        <v>548.96387316130563</v>
      </c>
      <c r="EN163" s="59">
        <f t="shared" si="128"/>
        <v>836.72295075399393</v>
      </c>
      <c r="EO163" s="59">
        <f ca="1">AVERAGE(OFFSET($EN$3,0,0,'Données projet'!$E$15+1,1))-AVERAGE(OFFSET($H$3,0,0,'Données projet'!$E$15+1,1))</f>
        <v>377.27600411578322</v>
      </c>
      <c r="EP163" s="59">
        <f t="shared" si="154"/>
        <v>364.58250627635425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>
        <f>EXP(-LN(2)/35)*EV162+(1-EXP(-LN(2)/35))/(LN(2)/35)*ER163*ES163*VLOOKUP('Données projet'!$B$15,Paramètres!$A$1:$I$89,3,0)*0.475*44/12</f>
        <v>10.903946289164805</v>
      </c>
      <c r="EW163" s="21">
        <f>EXP(-LN(2)/25)*EW162+(1-EXP(-LN(2)/25))/(LN(2)/25)*Calculateur!ER163*Calculateur!ET163*VLOOKUP('Données projet'!$B$15,Paramètres!$A$1:$I$89,3,0)*0.475*44/12</f>
        <v>0</v>
      </c>
      <c r="EX163" s="21">
        <f>EXP(-LN(2)/2)*EX162+(1-EXP(-LN(2)/2))/(LN(2)/2)*ER163*EU163*VLOOKUP('Données projet'!$B$15,Paramètres!$A$1:$I$89,3,0)*0.475*44/12</f>
        <v>0</v>
      </c>
      <c r="EY163" s="22">
        <f t="shared" si="181"/>
        <v>10.903946289164805</v>
      </c>
      <c r="EZ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319</v>
      </c>
      <c r="FF163" s="17">
        <f>FE163*VLOOKUP('Données projet'!$B$16,Paramètres!$A$1:$I$89,3,0)*VLOOKUP('Données projet'!$B$16,Paramètres!$A$1:$I$89,5,0)</f>
        <v>258.77280000000002</v>
      </c>
      <c r="FG163" s="13">
        <f t="shared" si="182"/>
        <v>62.460716522234691</v>
      </c>
      <c r="FH163" s="20">
        <f t="shared" si="183"/>
        <v>559.48170794289206</v>
      </c>
      <c r="FI163" s="59">
        <f t="shared" si="131"/>
        <v>847.24078553558047</v>
      </c>
      <c r="FJ163" s="59">
        <f ca="1">AVERAGE(OFFSET($FI$3,0,0,'Données projet'!$E$16+1,1))-AVERAGE(OFFSET($H$3,0,0,'Données projet'!$E$16+1,1))</f>
        <v>383.47399633251354</v>
      </c>
      <c r="FK163" s="59">
        <f t="shared" si="156"/>
        <v>370.49129421395628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>
        <f>EXP(-LN(2)/35)*FQ162+(1-EXP(-LN(2)/35))/(LN(2)/35)*FM163*FN163*VLOOKUP('Données projet'!$B$16,Paramètres!$A$1:$I$89,3,0)*0.475*44/12</f>
        <v>11.117749157579816</v>
      </c>
      <c r="FR163" s="21">
        <f>EXP(-LN(2)/25)*FR162+(1-EXP(-LN(2)/25))/(LN(2)/25)*Calculateur!FM163*Calculateur!FO163*VLOOKUP('Données projet'!$B$16,Paramètres!$A$1:$I$89,3,0)*0.475*44/12</f>
        <v>0</v>
      </c>
      <c r="FS163" s="21">
        <f>EXP(-LN(2)/2)*FS162+(1-EXP(-LN(2)/2))/(LN(2)/2)*FM163*FP163*VLOOKUP('Données projet'!$B$16,Paramètres!$A$1:$I$89,3,0)*0.475*44/12</f>
        <v>0</v>
      </c>
      <c r="FT163" s="22">
        <f t="shared" si="184"/>
        <v>11.117749157579816</v>
      </c>
      <c r="FU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19.8100000000004</v>
      </c>
      <c r="GA163" s="17">
        <f>FZ163*VLOOKUP('Données projet'!$B$17,Paramètres!$A$1:$I$89,3,0)*VLOOKUP('Données projet'!$B$17,Paramètres!$A$1:$I$89,5,0)</f>
        <v>18.851196000000382</v>
      </c>
      <c r="GB163" s="13">
        <f t="shared" si="185"/>
        <v>6.172221809210666</v>
      </c>
      <c r="GC163" s="20">
        <f t="shared" si="186"/>
        <v>43.582452684375909</v>
      </c>
      <c r="GD163" s="59">
        <f t="shared" si="134"/>
        <v>331.34153027706429</v>
      </c>
      <c r="GE163" s="59">
        <f ca="1">AVERAGE(OFFSET($GD$3,0,0,'Données projet'!$E$17+1,1))-AVERAGE(OFFSET($H$3,0,0,'Données projet'!$E$17+1,1))</f>
        <v>592.58528889137358</v>
      </c>
      <c r="GF163" s="59">
        <f t="shared" si="158"/>
        <v>311.31528020403709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>
        <f>EXP(-LN(2)/35)*GL162+(1-EXP(-LN(2)/35))/(LN(2)/35)*GH163*GI163*VLOOKUP('Données projet'!$B$17,Paramètres!$A$1:$I$89,3,0)*0.475*44/12</f>
        <v>164.09171366769823</v>
      </c>
      <c r="GM163" s="21">
        <f>EXP(-LN(2)/25)*GM162+(1-EXP(-LN(2)/25))/(LN(2)/25)*Calculateur!GH163*Calculateur!GJ163*VLOOKUP('Données projet'!$B$17,Paramètres!$A$1:$I$89,3,0)*0.475*44/12</f>
        <v>0</v>
      </c>
      <c r="GN163" s="21">
        <f>EXP(-LN(2)/2)*GN162+(1-EXP(-LN(2)/2))/(LN(2)/2)*GH163*GK163*VLOOKUP('Données projet'!$B$17,Paramètres!$A$1:$I$89,3,0)*0.475*44/12</f>
        <v>0</v>
      </c>
      <c r="GO163" s="21">
        <f t="shared" si="187"/>
        <v>164.09171366769823</v>
      </c>
      <c r="GP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328.00000000000006</v>
      </c>
      <c r="GV163" s="17">
        <f>GU163*VLOOKUP('Données projet'!$B$18,Paramètres!$A$1:$I$89,3,0)*VLOOKUP('Données projet'!$B$18,Paramètres!$A$1:$I$89,5,0)</f>
        <v>255.84000000000006</v>
      </c>
      <c r="GW163" s="13">
        <f t="shared" si="188"/>
        <v>61.834803371075836</v>
      </c>
      <c r="GX163" s="20">
        <f t="shared" si="189"/>
        <v>553.28361587129041</v>
      </c>
      <c r="GY163" s="59">
        <f t="shared" si="137"/>
        <v>841.04269346397882</v>
      </c>
      <c r="GZ163" s="59">
        <f ca="1">AVERAGE(OFFSET($GY$3,0,0,'Données projet'!$E$18+1,1))-AVERAGE(OFFSET($H$3,0,0,'Données projet'!$E$18+1,1))</f>
        <v>308.85018589589453</v>
      </c>
      <c r="HA163" s="59">
        <f t="shared" si="160"/>
        <v>302.59481222418219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>
        <f>EXP(-LN(2)/35)*HG162+(1-EXP(-LN(2)/35))/(LN(2)/35)*HC163*HD163*VLOOKUP('Données projet'!$B$18,Paramètres!$A$1:$I$89,3,0)*0.475*44/12</f>
        <v>8.3096336302623257</v>
      </c>
      <c r="HH163" s="21">
        <f>EXP(-LN(2)/25)*HH162+(1-EXP(-LN(2)/25))/(LN(2)/25)*Calculateur!HC163*Calculateur!HE163*VLOOKUP('Données projet'!$B$18,Paramètres!$A$1:$I$89,3,0)*0.475*44/12</f>
        <v>0</v>
      </c>
      <c r="HI163" s="21">
        <f>EXP(-LN(2)/2)*HI162+(1-EXP(-LN(2)/2))/(LN(2)/2)*HC163*HF163*VLOOKUP('Données projet'!$B$18,Paramètres!$A$1:$I$89,3,0)*0.475*44/12</f>
        <v>0</v>
      </c>
      <c r="HJ163" s="22">
        <f t="shared" si="190"/>
        <v>8.3096336302623257</v>
      </c>
    </row>
    <row r="164" spans="1:218" x14ac:dyDescent="0.35">
      <c r="A164" s="10">
        <f t="shared" si="161"/>
        <v>161</v>
      </c>
      <c r="B164" s="72">
        <f>'Scénario référence'!$B$16*5+'Scénario référence'!$B$17*0+'Scénario référence'!$B$18*5</f>
        <v>5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66">
        <f t="shared" si="110"/>
        <v>183.33333333333334</v>
      </c>
      <c r="I164" s="6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19.8100000000004</v>
      </c>
      <c r="O164" s="13">
        <f>N164*VLOOKUP('Données projet'!$B$9,Paramètres!$A$1:$I$89,3,0)*VLOOKUP('Données projet'!$B$9,Paramètres!$A$1:$I$89,5,0)</f>
        <v>17.924088000000364</v>
      </c>
      <c r="P164" s="13">
        <f t="shared" si="141"/>
        <v>5.9032212091029486</v>
      </c>
      <c r="Q164" s="20">
        <f t="shared" si="162"/>
        <v>41.499230205854936</v>
      </c>
      <c r="R164" s="59">
        <f t="shared" si="109"/>
        <v>329.35500867347463</v>
      </c>
      <c r="S164" s="59">
        <f ca="1">AVERAGE(OFFSET($R$3,0,0,'Données projet'!$E$9+1,1))-AVERAGE(OFFSET($H$3,0,0,'Données projet'!$E$9+1,1))</f>
        <v>567.42635821507474</v>
      </c>
      <c r="T164" s="59">
        <f t="shared" si="142"/>
        <v>299.04735309930152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152.96214040043876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152.96214040043876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19.8100000000004</v>
      </c>
      <c r="AJ164" s="13">
        <f>AI164*VLOOKUP('Données projet'!$B$10,Paramètres!$A$1:$I$89,3,0)*VLOOKUP('Données projet'!$B$10,Paramètres!$A$1:$I$89,5,0)</f>
        <v>20.08734000000041</v>
      </c>
      <c r="AK164" s="13">
        <f t="shared" si="164"/>
        <v>6.5285137703520215</v>
      </c>
      <c r="AL164" s="20">
        <f t="shared" si="165"/>
        <v>46.355945316697152</v>
      </c>
      <c r="AM164" s="59">
        <f t="shared" si="113"/>
        <v>334.21172378431686</v>
      </c>
      <c r="AN164" s="59">
        <f ca="1">AVERAGE(OFFSET($AM$3,0,0,'Données projet'!$E$10+1,1))-AVERAGE(OFFSET($H$3,0,0,'Données projet'!$E$10+1,1))</f>
        <v>626.09203985591455</v>
      </c>
      <c r="AO164" s="59">
        <f t="shared" si="144"/>
        <v>327.65191296575199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171.42308837980212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171.42308837980212</v>
      </c>
      <c r="AY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404.00000000000017</v>
      </c>
      <c r="BE164" s="13">
        <f>BD164*VLOOKUP('Données projet'!$B$11,Paramètres!$A$1:$I$89,3,0)*VLOOKUP('Données projet'!$B$11,Paramètres!$A$1:$I$89,5,0)</f>
        <v>346.63200000000018</v>
      </c>
      <c r="BF164" s="13">
        <f t="shared" si="167"/>
        <v>80.868615263336864</v>
      </c>
      <c r="BG164" s="20">
        <f t="shared" si="168"/>
        <v>744.56357158364528</v>
      </c>
      <c r="BH164" s="59">
        <f t="shared" si="116"/>
        <v>1032.4193500512649</v>
      </c>
      <c r="BI164" s="59">
        <f ca="1">AVERAGE(OFFSET($BH$3,0,0,'Données projet'!$E$11+1,1))-AVERAGE(OFFSET($H$3,0,0,'Données projet'!$E$11+1,1))</f>
        <v>481.23392184981651</v>
      </c>
      <c r="BJ164" s="59">
        <f t="shared" si="146"/>
        <v>275.88160405468193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44.378486850595635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44.378486850595635</v>
      </c>
      <c r="BT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5.2499999999990337</v>
      </c>
      <c r="BZ164" s="13">
        <f>BY164*VLOOKUP('Données projet'!$B$12,Paramètres!$A$1:$I$89,3,0)*VLOOKUP('Données projet'!$B$12,Paramètres!$A$1:$I$89,5,0)</f>
        <v>2.4569999999995478</v>
      </c>
      <c r="CA164" s="13">
        <f t="shared" si="170"/>
        <v>1.0197977774625564</v>
      </c>
      <c r="CB164" s="20">
        <f t="shared" si="171"/>
        <v>6.0554227957464972</v>
      </c>
      <c r="CC164" s="59">
        <f t="shared" si="119"/>
        <v>293.91120126336619</v>
      </c>
      <c r="CD164" s="59">
        <f ca="1">AVERAGE(OFFSET($CC$3,0,0,'Données projet'!$E$12+1,1))-AVERAGE(OFFSET($H$3,0,0,'Données projet'!$E$12+1,1))</f>
        <v>331.86732359395467</v>
      </c>
      <c r="CE164" s="59">
        <f t="shared" si="148"/>
        <v>208.64489375183106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86.728834492660553</v>
      </c>
      <c r="CL164" s="21">
        <f>EXP(-LN(2)/25)*CL163+(1-EXP(-LN(2)/25))/(LN(2)/25)*Calculateur!CG164*Calculateur!CI164*VLOOKUP('Données projet'!$B$12,Paramètres!$A$1:$I$89,3,0)*0.475*44/12</f>
        <v>0</v>
      </c>
      <c r="CM164" s="21">
        <f>EXP(-LN(2)/2)*CM163+(1-EXP(-LN(2)/2))/(LN(2)/2)*CG164*CJ164*VLOOKUP('Données projet'!$B$12,Paramètres!$A$1:$I$89,3,0)*0.475*44/12</f>
        <v>0</v>
      </c>
      <c r="CN164" s="22">
        <f t="shared" si="172"/>
        <v>86.728834492660553</v>
      </c>
      <c r="CO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319</v>
      </c>
      <c r="CU164" s="17">
        <f>CT164*VLOOKUP('Données projet'!$B$13,Paramètres!$A$1:$I$89,3,0)*VLOOKUP('Données projet'!$B$13,Paramètres!$A$1:$I$89,5,0)</f>
        <v>233.89079999999998</v>
      </c>
      <c r="CV164" s="13">
        <f t="shared" si="173"/>
        <v>57.123140349023068</v>
      </c>
      <c r="CW164" s="20">
        <f t="shared" si="174"/>
        <v>506.84927944121517</v>
      </c>
      <c r="CX164" s="59">
        <f t="shared" si="122"/>
        <v>794.70505790883487</v>
      </c>
      <c r="CY164" s="59">
        <f ca="1">AVERAGE(OFFSET($CX$3,0,0,'Données projet'!$E$13+1,1))-AVERAGE(OFFSET($H$3,0,0,'Données projet'!$E$13+1,1))</f>
        <v>352.45777291109863</v>
      </c>
      <c r="CZ164" s="59">
        <f t="shared" si="150"/>
        <v>340.92165104349181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7.9928767162362266</v>
      </c>
      <c r="DG164" s="21">
        <f>EXP(-LN(2)/25)*DG163+(1-EXP(-LN(2)/25))/(LN(2)/25)*Calculateur!DB164*Calculateur!DD164*VLOOKUP('Données projet'!$B$13,Paramètres!$A$1:$I$89,3,0)*0.475*44/12</f>
        <v>0</v>
      </c>
      <c r="DH164" s="21">
        <f>EXP(-LN(2)/2)*DH163+(1-EXP(-LN(2)/2))/(LN(2)/2)*DB164*DE164*VLOOKUP('Données projet'!$B$13,Paramètres!$A$1:$I$89,3,0)*0.475*44/12</f>
        <v>0</v>
      </c>
      <c r="DI164" s="22">
        <f t="shared" si="175"/>
        <v>7.9928767162362266</v>
      </c>
      <c r="DJ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19.8100000000004</v>
      </c>
      <c r="DP164" s="17">
        <f>DO164*VLOOKUP('Données projet'!$B$14,Paramètres!$A$1:$I$89,3,0)*VLOOKUP('Données projet'!$B$14,Paramètres!$A$1:$I$89,5,0)</f>
        <v>13.288548000000269</v>
      </c>
      <c r="DQ164" s="13">
        <f t="shared" si="176"/>
        <v>4.531654695205642</v>
      </c>
      <c r="DR164" s="20">
        <f t="shared" si="177"/>
        <v>31.036853027483627</v>
      </c>
      <c r="DS164" s="59">
        <f t="shared" si="125"/>
        <v>318.89263149510333</v>
      </c>
      <c r="DT164" s="59">
        <f ca="1">AVERAGE(OFFSET($DS$3,0,0,'Données projet'!$E$14+1,1))-AVERAGE(OFFSET($H$3,0,0,'Données projet'!$E$14+1,1))</f>
        <v>441.20130048888439</v>
      </c>
      <c r="DU164" s="59">
        <f t="shared" si="152"/>
        <v>237.47732532183946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139.77574898660782</v>
      </c>
      <c r="EB164" s="21">
        <f>EXP(-LN(2)/25)*EB163+(1-EXP(-LN(2)/25))/(LN(2)/25)*Calculateur!DW164*Calculateur!DY164*VLOOKUP('Données projet'!$B$14,Paramètres!$A$1:$I$89,3,0)*0.475*44/12</f>
        <v>0</v>
      </c>
      <c r="EC164" s="21">
        <f>EXP(-LN(2)/2)*EC163+(1-EXP(-LN(2)/2))/(LN(2)/2)*DW164*DZ164*VLOOKUP('Données projet'!$B$14,Paramètres!$A$1:$I$89,3,0)*0.475*44/12</f>
        <v>0</v>
      </c>
      <c r="ED164" s="22">
        <f t="shared" si="178"/>
        <v>139.77574898660782</v>
      </c>
      <c r="EE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319</v>
      </c>
      <c r="EK164" s="17">
        <f>EJ164*VLOOKUP('Données projet'!$B$15,Paramètres!$A$1:$I$89,3,0)*VLOOKUP('Données projet'!$B$15,Paramètres!$A$1:$I$89,5,0)</f>
        <v>253.79640000000001</v>
      </c>
      <c r="EL164" s="13">
        <f t="shared" si="179"/>
        <v>61.39816832228076</v>
      </c>
      <c r="EM164" s="20">
        <f t="shared" si="180"/>
        <v>548.96387316130563</v>
      </c>
      <c r="EN164" s="59">
        <f t="shared" si="128"/>
        <v>836.81965162892539</v>
      </c>
      <c r="EO164" s="59">
        <f ca="1">AVERAGE(OFFSET($EN$3,0,0,'Données projet'!$E$15+1,1))-AVERAGE(OFFSET($H$3,0,0,'Données projet'!$E$15+1,1))</f>
        <v>377.27600411578322</v>
      </c>
      <c r="EP164" s="59">
        <f t="shared" si="154"/>
        <v>364.58250627635425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>
        <f>EXP(-LN(2)/35)*EV163+(1-EXP(-LN(2)/35))/(LN(2)/35)*ER164*ES164*VLOOKUP('Données projet'!$B$15,Paramètres!$A$1:$I$89,3,0)*0.475*44/12</f>
        <v>10.690126553184813</v>
      </c>
      <c r="EW164" s="21">
        <f>EXP(-LN(2)/25)*EW163+(1-EXP(-LN(2)/25))/(LN(2)/25)*Calculateur!ER164*Calculateur!ET164*VLOOKUP('Données projet'!$B$15,Paramètres!$A$1:$I$89,3,0)*0.475*44/12</f>
        <v>0</v>
      </c>
      <c r="EX164" s="21">
        <f>EXP(-LN(2)/2)*EX163+(1-EXP(-LN(2)/2))/(LN(2)/2)*ER164*EU164*VLOOKUP('Données projet'!$B$15,Paramètres!$A$1:$I$89,3,0)*0.475*44/12</f>
        <v>0</v>
      </c>
      <c r="EY164" s="22">
        <f t="shared" si="181"/>
        <v>10.690126553184813</v>
      </c>
      <c r="EZ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319</v>
      </c>
      <c r="FF164" s="17">
        <f>FE164*VLOOKUP('Données projet'!$B$16,Paramètres!$A$1:$I$89,3,0)*VLOOKUP('Données projet'!$B$16,Paramètres!$A$1:$I$89,5,0)</f>
        <v>258.77280000000002</v>
      </c>
      <c r="FG164" s="13">
        <f t="shared" si="182"/>
        <v>62.460716522234691</v>
      </c>
      <c r="FH164" s="20">
        <f t="shared" si="183"/>
        <v>559.48170794289206</v>
      </c>
      <c r="FI164" s="59">
        <f t="shared" si="131"/>
        <v>847.3374864105117</v>
      </c>
      <c r="FJ164" s="59">
        <f ca="1">AVERAGE(OFFSET($FI$3,0,0,'Données projet'!$E$16+1,1))-AVERAGE(OFFSET($H$3,0,0,'Données projet'!$E$16+1,1))</f>
        <v>383.47399633251354</v>
      </c>
      <c r="FK164" s="59">
        <f t="shared" si="156"/>
        <v>370.49129421395628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>
        <f>EXP(-LN(2)/35)*FQ163+(1-EXP(-LN(2)/35))/(LN(2)/35)*FM164*FN164*VLOOKUP('Données projet'!$B$16,Paramètres!$A$1:$I$89,3,0)*0.475*44/12</f>
        <v>10.899736877757078</v>
      </c>
      <c r="FR164" s="21">
        <f>EXP(-LN(2)/25)*FR163+(1-EXP(-LN(2)/25))/(LN(2)/25)*Calculateur!FM164*Calculateur!FO164*VLOOKUP('Données projet'!$B$16,Paramètres!$A$1:$I$89,3,0)*0.475*44/12</f>
        <v>0</v>
      </c>
      <c r="FS164" s="21">
        <f>EXP(-LN(2)/2)*FS163+(1-EXP(-LN(2)/2))/(LN(2)/2)*FM164*FP164*VLOOKUP('Données projet'!$B$16,Paramètres!$A$1:$I$89,3,0)*0.475*44/12</f>
        <v>0</v>
      </c>
      <c r="FT164" s="22">
        <f t="shared" si="184"/>
        <v>10.899736877757078</v>
      </c>
      <c r="FU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19.8100000000004</v>
      </c>
      <c r="GA164" s="17">
        <f>FZ164*VLOOKUP('Données projet'!$B$17,Paramètres!$A$1:$I$89,3,0)*VLOOKUP('Données projet'!$B$17,Paramètres!$A$1:$I$89,5,0)</f>
        <v>18.851196000000382</v>
      </c>
      <c r="GB164" s="13">
        <f t="shared" si="185"/>
        <v>6.172221809210666</v>
      </c>
      <c r="GC164" s="20">
        <f t="shared" si="186"/>
        <v>43.582452684375909</v>
      </c>
      <c r="GD164" s="59">
        <f t="shared" si="134"/>
        <v>331.43823115199564</v>
      </c>
      <c r="GE164" s="59">
        <f ca="1">AVERAGE(OFFSET($GD$3,0,0,'Données projet'!$E$17+1,1))-AVERAGE(OFFSET($H$3,0,0,'Données projet'!$E$17+1,1))</f>
        <v>592.58528889137358</v>
      </c>
      <c r="GF164" s="59">
        <f t="shared" si="158"/>
        <v>311.31528020403709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>
        <f>EXP(-LN(2)/35)*GL163+(1-EXP(-LN(2)/35))/(LN(2)/35)*GH164*GI164*VLOOKUP('Données projet'!$B$17,Paramètres!$A$1:$I$89,3,0)*0.475*44/12</f>
        <v>160.87397524873734</v>
      </c>
      <c r="GM164" s="21">
        <f>EXP(-LN(2)/25)*GM163+(1-EXP(-LN(2)/25))/(LN(2)/25)*Calculateur!GH164*Calculateur!GJ164*VLOOKUP('Données projet'!$B$17,Paramètres!$A$1:$I$89,3,0)*0.475*44/12</f>
        <v>0</v>
      </c>
      <c r="GN164" s="21">
        <f>EXP(-LN(2)/2)*GN163+(1-EXP(-LN(2)/2))/(LN(2)/2)*GH164*GK164*VLOOKUP('Données projet'!$B$17,Paramètres!$A$1:$I$89,3,0)*0.475*44/12</f>
        <v>0</v>
      </c>
      <c r="GO164" s="21">
        <f t="shared" si="187"/>
        <v>160.87397524873734</v>
      </c>
      <c r="GP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328.00000000000006</v>
      </c>
      <c r="GV164" s="17">
        <f>GU164*VLOOKUP('Données projet'!$B$18,Paramètres!$A$1:$I$89,3,0)*VLOOKUP('Données projet'!$B$18,Paramètres!$A$1:$I$89,5,0)</f>
        <v>255.84000000000006</v>
      </c>
      <c r="GW164" s="13">
        <f t="shared" si="188"/>
        <v>61.834803371075836</v>
      </c>
      <c r="GX164" s="20">
        <f t="shared" si="189"/>
        <v>553.28361587129041</v>
      </c>
      <c r="GY164" s="59">
        <f t="shared" si="137"/>
        <v>841.13939433891005</v>
      </c>
      <c r="GZ164" s="59">
        <f ca="1">AVERAGE(OFFSET($GY$3,0,0,'Données projet'!$E$18+1,1))-AVERAGE(OFFSET($H$3,0,0,'Données projet'!$E$18+1,1))</f>
        <v>308.85018589589453</v>
      </c>
      <c r="HA164" s="59">
        <f t="shared" si="160"/>
        <v>302.59481222418219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>
        <f>EXP(-LN(2)/35)*HG163+(1-EXP(-LN(2)/35))/(LN(2)/35)*HC164*HD164*VLOOKUP('Données projet'!$B$18,Paramètres!$A$1:$I$89,3,0)*0.475*44/12</f>
        <v>8.1466867831489349</v>
      </c>
      <c r="HH164" s="21">
        <f>EXP(-LN(2)/25)*HH163+(1-EXP(-LN(2)/25))/(LN(2)/25)*Calculateur!HC164*Calculateur!HE164*VLOOKUP('Données projet'!$B$18,Paramètres!$A$1:$I$89,3,0)*0.475*44/12</f>
        <v>0</v>
      </c>
      <c r="HI164" s="21">
        <f>EXP(-LN(2)/2)*HI163+(1-EXP(-LN(2)/2))/(LN(2)/2)*HC164*HF164*VLOOKUP('Données projet'!$B$18,Paramètres!$A$1:$I$89,3,0)*0.475*44/12</f>
        <v>0</v>
      </c>
      <c r="HJ164" s="22">
        <f t="shared" si="190"/>
        <v>8.1466867831489349</v>
      </c>
    </row>
    <row r="165" spans="1:218" x14ac:dyDescent="0.35">
      <c r="A165" s="10">
        <f t="shared" si="161"/>
        <v>162</v>
      </c>
      <c r="B165" s="72">
        <f>'Scénario référence'!$B$16*5+'Scénario référence'!$B$17*0+'Scénario référence'!$B$18*5</f>
        <v>5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66">
        <f t="shared" si="110"/>
        <v>183.33333333333334</v>
      </c>
      <c r="I165" s="6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19.8100000000004</v>
      </c>
      <c r="O165" s="13">
        <f>N165*VLOOKUP('Données projet'!$B$9,Paramètres!$A$1:$I$89,3,0)*VLOOKUP('Données projet'!$B$9,Paramètres!$A$1:$I$89,5,0)</f>
        <v>17.924088000000364</v>
      </c>
      <c r="P165" s="13">
        <f t="shared" si="141"/>
        <v>5.9032212091029486</v>
      </c>
      <c r="Q165" s="20">
        <f t="shared" si="162"/>
        <v>41.499230205854936</v>
      </c>
      <c r="R165" s="59">
        <f t="shared" si="109"/>
        <v>329.45003200441664</v>
      </c>
      <c r="S165" s="59">
        <f ca="1">AVERAGE(OFFSET($R$3,0,0,'Données projet'!$E$9+1,1))-AVERAGE(OFFSET($H$3,0,0,'Données projet'!$E$9+1,1))</f>
        <v>567.42635821507474</v>
      </c>
      <c r="T165" s="59">
        <f t="shared" si="142"/>
        <v>299.04735309930152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149.96264612487943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149.96264612487943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19.8100000000004</v>
      </c>
      <c r="AJ165" s="13">
        <f>AI165*VLOOKUP('Données projet'!$B$10,Paramètres!$A$1:$I$89,3,0)*VLOOKUP('Données projet'!$B$10,Paramètres!$A$1:$I$89,5,0)</f>
        <v>20.08734000000041</v>
      </c>
      <c r="AK165" s="13">
        <f t="shared" si="164"/>
        <v>6.5285137703520215</v>
      </c>
      <c r="AL165" s="20">
        <f t="shared" si="165"/>
        <v>46.355945316697152</v>
      </c>
      <c r="AM165" s="59">
        <f t="shared" si="113"/>
        <v>334.30674711525887</v>
      </c>
      <c r="AN165" s="59">
        <f ca="1">AVERAGE(OFFSET($AM$3,0,0,'Données projet'!$E$10+1,1))-AVERAGE(OFFSET($H$3,0,0,'Données projet'!$E$10+1,1))</f>
        <v>626.09203985591455</v>
      </c>
      <c r="AO165" s="59">
        <f t="shared" si="144"/>
        <v>327.65191296575199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168.0615861744339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168.0615861744339</v>
      </c>
      <c r="AY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404.00000000000017</v>
      </c>
      <c r="BE165" s="13">
        <f>BD165*VLOOKUP('Données projet'!$B$11,Paramètres!$A$1:$I$89,3,0)*VLOOKUP('Données projet'!$B$11,Paramètres!$A$1:$I$89,5,0)</f>
        <v>346.63200000000018</v>
      </c>
      <c r="BF165" s="13">
        <f t="shared" si="167"/>
        <v>80.868615263336864</v>
      </c>
      <c r="BG165" s="20">
        <f t="shared" si="168"/>
        <v>744.56357158364528</v>
      </c>
      <c r="BH165" s="59">
        <f t="shared" si="116"/>
        <v>1032.5143733822069</v>
      </c>
      <c r="BI165" s="59">
        <f ca="1">AVERAGE(OFFSET($BH$3,0,0,'Données projet'!$E$11+1,1))-AVERAGE(OFFSET($H$3,0,0,'Données projet'!$E$11+1,1))</f>
        <v>481.23392184981651</v>
      </c>
      <c r="BJ165" s="59">
        <f t="shared" si="146"/>
        <v>275.88160405468193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43.508251791659667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43.508251791659667</v>
      </c>
      <c r="BT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5.2499999999990337</v>
      </c>
      <c r="BZ165" s="13">
        <f>BY165*VLOOKUP('Données projet'!$B$12,Paramètres!$A$1:$I$89,3,0)*VLOOKUP('Données projet'!$B$12,Paramètres!$A$1:$I$89,5,0)</f>
        <v>2.4569999999995478</v>
      </c>
      <c r="CA165" s="13">
        <f t="shared" si="170"/>
        <v>1.0197977774625564</v>
      </c>
      <c r="CB165" s="20">
        <f t="shared" si="171"/>
        <v>6.0554227957464972</v>
      </c>
      <c r="CC165" s="59">
        <f t="shared" si="119"/>
        <v>294.00622459430821</v>
      </c>
      <c r="CD165" s="59">
        <f ca="1">AVERAGE(OFFSET($CC$3,0,0,'Données projet'!$E$12+1,1))-AVERAGE(OFFSET($H$3,0,0,'Données projet'!$E$12+1,1))</f>
        <v>331.86732359395467</v>
      </c>
      <c r="CE165" s="59">
        <f t="shared" si="148"/>
        <v>208.64489375183106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85.028134947625148</v>
      </c>
      <c r="CL165" s="21">
        <f>EXP(-LN(2)/25)*CL164+(1-EXP(-LN(2)/25))/(LN(2)/25)*Calculateur!CG165*Calculateur!CI165*VLOOKUP('Données projet'!$B$12,Paramètres!$A$1:$I$89,3,0)*0.475*44/12</f>
        <v>0</v>
      </c>
      <c r="CM165" s="21">
        <f>EXP(-LN(2)/2)*CM164+(1-EXP(-LN(2)/2))/(LN(2)/2)*CG165*CJ165*VLOOKUP('Données projet'!$B$12,Paramètres!$A$1:$I$89,3,0)*0.475*44/12</f>
        <v>0</v>
      </c>
      <c r="CN165" s="22">
        <f t="shared" si="172"/>
        <v>85.028134947625148</v>
      </c>
      <c r="CO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319</v>
      </c>
      <c r="CU165" s="17">
        <f>CT165*VLOOKUP('Données projet'!$B$13,Paramètres!$A$1:$I$89,3,0)*VLOOKUP('Données projet'!$B$13,Paramètres!$A$1:$I$89,5,0)</f>
        <v>233.89079999999998</v>
      </c>
      <c r="CV165" s="13">
        <f t="shared" si="173"/>
        <v>57.123140349023068</v>
      </c>
      <c r="CW165" s="20">
        <f t="shared" si="174"/>
        <v>506.84927944121517</v>
      </c>
      <c r="CX165" s="59">
        <f t="shared" si="122"/>
        <v>794.80008123977689</v>
      </c>
      <c r="CY165" s="59">
        <f ca="1">AVERAGE(OFFSET($CX$3,0,0,'Données projet'!$E$13+1,1))-AVERAGE(OFFSET($H$3,0,0,'Données projet'!$E$13+1,1))</f>
        <v>352.45777291109863</v>
      </c>
      <c r="CZ165" s="59">
        <f t="shared" si="150"/>
        <v>340.92165104349181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7.8361412790042477</v>
      </c>
      <c r="DG165" s="21">
        <f>EXP(-LN(2)/25)*DG164+(1-EXP(-LN(2)/25))/(LN(2)/25)*Calculateur!DB165*Calculateur!DD165*VLOOKUP('Données projet'!$B$13,Paramètres!$A$1:$I$89,3,0)*0.475*44/12</f>
        <v>0</v>
      </c>
      <c r="DH165" s="21">
        <f>EXP(-LN(2)/2)*DH164+(1-EXP(-LN(2)/2))/(LN(2)/2)*DB165*DE165*VLOOKUP('Données projet'!$B$13,Paramètres!$A$1:$I$89,3,0)*0.475*44/12</f>
        <v>0</v>
      </c>
      <c r="DI165" s="22">
        <f t="shared" si="175"/>
        <v>7.8361412790042477</v>
      </c>
      <c r="DJ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19.8100000000004</v>
      </c>
      <c r="DP165" s="17">
        <f>DO165*VLOOKUP('Données projet'!$B$14,Paramètres!$A$1:$I$89,3,0)*VLOOKUP('Données projet'!$B$14,Paramètres!$A$1:$I$89,5,0)</f>
        <v>13.288548000000269</v>
      </c>
      <c r="DQ165" s="13">
        <f t="shared" si="176"/>
        <v>4.531654695205642</v>
      </c>
      <c r="DR165" s="20">
        <f t="shared" si="177"/>
        <v>31.036853027483627</v>
      </c>
      <c r="DS165" s="59">
        <f t="shared" si="125"/>
        <v>318.98765482604534</v>
      </c>
      <c r="DT165" s="59">
        <f ca="1">AVERAGE(OFFSET($DS$3,0,0,'Données projet'!$E$14+1,1))-AVERAGE(OFFSET($H$3,0,0,'Données projet'!$E$14+1,1))</f>
        <v>441.20130048888439</v>
      </c>
      <c r="DU165" s="59">
        <f t="shared" si="152"/>
        <v>237.47732532183946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137.03483180376912</v>
      </c>
      <c r="EB165" s="21">
        <f>EXP(-LN(2)/25)*EB164+(1-EXP(-LN(2)/25))/(LN(2)/25)*Calculateur!DW165*Calculateur!DY165*VLOOKUP('Données projet'!$B$14,Paramètres!$A$1:$I$89,3,0)*0.475*44/12</f>
        <v>0</v>
      </c>
      <c r="EC165" s="21">
        <f>EXP(-LN(2)/2)*EC164+(1-EXP(-LN(2)/2))/(LN(2)/2)*DW165*DZ165*VLOOKUP('Données projet'!$B$14,Paramètres!$A$1:$I$89,3,0)*0.475*44/12</f>
        <v>0</v>
      </c>
      <c r="ED165" s="22">
        <f t="shared" si="178"/>
        <v>137.03483180376912</v>
      </c>
      <c r="EE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319</v>
      </c>
      <c r="EK165" s="17">
        <f>EJ165*VLOOKUP('Données projet'!$B$15,Paramètres!$A$1:$I$89,3,0)*VLOOKUP('Données projet'!$B$15,Paramètres!$A$1:$I$89,5,0)</f>
        <v>253.79640000000001</v>
      </c>
      <c r="EL165" s="13">
        <f t="shared" si="179"/>
        <v>61.39816832228076</v>
      </c>
      <c r="EM165" s="20">
        <f t="shared" si="180"/>
        <v>548.96387316130563</v>
      </c>
      <c r="EN165" s="59">
        <f t="shared" si="128"/>
        <v>836.9146749598674</v>
      </c>
      <c r="EO165" s="59">
        <f ca="1">AVERAGE(OFFSET($EN$3,0,0,'Données projet'!$E$15+1,1))-AVERAGE(OFFSET($H$3,0,0,'Données projet'!$E$15+1,1))</f>
        <v>377.27600411578322</v>
      </c>
      <c r="EP165" s="59">
        <f t="shared" si="154"/>
        <v>364.58250627635425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>
        <f>EXP(-LN(2)/35)*EV164+(1-EXP(-LN(2)/35))/(LN(2)/35)*ER165*ES165*VLOOKUP('Données projet'!$B$15,Paramètres!$A$1:$I$89,3,0)*0.475*44/12</f>
        <v>10.480499691810227</v>
      </c>
      <c r="EW165" s="21">
        <f>EXP(-LN(2)/25)*EW164+(1-EXP(-LN(2)/25))/(LN(2)/25)*Calculateur!ER165*Calculateur!ET165*VLOOKUP('Données projet'!$B$15,Paramètres!$A$1:$I$89,3,0)*0.475*44/12</f>
        <v>0</v>
      </c>
      <c r="EX165" s="21">
        <f>EXP(-LN(2)/2)*EX164+(1-EXP(-LN(2)/2))/(LN(2)/2)*ER165*EU165*VLOOKUP('Données projet'!$B$15,Paramètres!$A$1:$I$89,3,0)*0.475*44/12</f>
        <v>0</v>
      </c>
      <c r="EY165" s="22">
        <f t="shared" si="181"/>
        <v>10.480499691810227</v>
      </c>
      <c r="EZ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319</v>
      </c>
      <c r="FF165" s="17">
        <f>FE165*VLOOKUP('Données projet'!$B$16,Paramètres!$A$1:$I$89,3,0)*VLOOKUP('Données projet'!$B$16,Paramètres!$A$1:$I$89,5,0)</f>
        <v>258.77280000000002</v>
      </c>
      <c r="FG165" s="13">
        <f t="shared" si="182"/>
        <v>62.460716522234691</v>
      </c>
      <c r="FH165" s="20">
        <f t="shared" si="183"/>
        <v>559.48170794289206</v>
      </c>
      <c r="FI165" s="59">
        <f t="shared" si="131"/>
        <v>847.43250974145371</v>
      </c>
      <c r="FJ165" s="59">
        <f ca="1">AVERAGE(OFFSET($FI$3,0,0,'Données projet'!$E$16+1,1))-AVERAGE(OFFSET($H$3,0,0,'Données projet'!$E$16+1,1))</f>
        <v>383.47399633251354</v>
      </c>
      <c r="FK165" s="59">
        <f t="shared" si="156"/>
        <v>370.49129421395628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>
        <f>EXP(-LN(2)/35)*FQ164+(1-EXP(-LN(2)/35))/(LN(2)/35)*FM165*FN165*VLOOKUP('Données projet'!$B$16,Paramètres!$A$1:$I$89,3,0)*0.475*44/12</f>
        <v>10.685999685767303</v>
      </c>
      <c r="FR165" s="21">
        <f>EXP(-LN(2)/25)*FR164+(1-EXP(-LN(2)/25))/(LN(2)/25)*Calculateur!FM165*Calculateur!FO165*VLOOKUP('Données projet'!$B$16,Paramètres!$A$1:$I$89,3,0)*0.475*44/12</f>
        <v>0</v>
      </c>
      <c r="FS165" s="21">
        <f>EXP(-LN(2)/2)*FS164+(1-EXP(-LN(2)/2))/(LN(2)/2)*FM165*FP165*VLOOKUP('Données projet'!$B$16,Paramètres!$A$1:$I$89,3,0)*0.475*44/12</f>
        <v>0</v>
      </c>
      <c r="FT165" s="22">
        <f t="shared" si="184"/>
        <v>10.685999685767303</v>
      </c>
      <c r="FU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19.8100000000004</v>
      </c>
      <c r="GA165" s="17">
        <f>FZ165*VLOOKUP('Données projet'!$B$17,Paramètres!$A$1:$I$89,3,0)*VLOOKUP('Données projet'!$B$17,Paramètres!$A$1:$I$89,5,0)</f>
        <v>18.851196000000382</v>
      </c>
      <c r="GB165" s="13">
        <f t="shared" si="185"/>
        <v>6.172221809210666</v>
      </c>
      <c r="GC165" s="20">
        <f t="shared" si="186"/>
        <v>43.582452684375909</v>
      </c>
      <c r="GD165" s="59">
        <f t="shared" si="134"/>
        <v>331.53325448293765</v>
      </c>
      <c r="GE165" s="59">
        <f ca="1">AVERAGE(OFFSET($GD$3,0,0,'Données projet'!$E$17+1,1))-AVERAGE(OFFSET($H$3,0,0,'Données projet'!$E$17+1,1))</f>
        <v>592.58528889137358</v>
      </c>
      <c r="GF165" s="59">
        <f t="shared" si="158"/>
        <v>311.31528020403709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>
        <f>EXP(-LN(2)/35)*GL164+(1-EXP(-LN(2)/35))/(LN(2)/35)*GH165*GI165*VLOOKUP('Données projet'!$B$17,Paramètres!$A$1:$I$89,3,0)*0.475*44/12</f>
        <v>157.71933471754562</v>
      </c>
      <c r="GM165" s="21">
        <f>EXP(-LN(2)/25)*GM164+(1-EXP(-LN(2)/25))/(LN(2)/25)*Calculateur!GH165*Calculateur!GJ165*VLOOKUP('Données projet'!$B$17,Paramètres!$A$1:$I$89,3,0)*0.475*44/12</f>
        <v>0</v>
      </c>
      <c r="GN165" s="21">
        <f>EXP(-LN(2)/2)*GN164+(1-EXP(-LN(2)/2))/(LN(2)/2)*GH165*GK165*VLOOKUP('Données projet'!$B$17,Paramètres!$A$1:$I$89,3,0)*0.475*44/12</f>
        <v>0</v>
      </c>
      <c r="GO165" s="21">
        <f t="shared" si="187"/>
        <v>157.71933471754562</v>
      </c>
      <c r="GP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328.00000000000006</v>
      </c>
      <c r="GV165" s="17">
        <f>GU165*VLOOKUP('Données projet'!$B$18,Paramètres!$A$1:$I$89,3,0)*VLOOKUP('Données projet'!$B$18,Paramètres!$A$1:$I$89,5,0)</f>
        <v>255.84000000000006</v>
      </c>
      <c r="GW165" s="13">
        <f t="shared" si="188"/>
        <v>61.834803371075836</v>
      </c>
      <c r="GX165" s="20">
        <f t="shared" si="189"/>
        <v>553.28361587129041</v>
      </c>
      <c r="GY165" s="59">
        <f t="shared" si="137"/>
        <v>841.23441766985206</v>
      </c>
      <c r="GZ165" s="59">
        <f ca="1">AVERAGE(OFFSET($GY$3,0,0,'Données projet'!$E$18+1,1))-AVERAGE(OFFSET($H$3,0,0,'Données projet'!$E$18+1,1))</f>
        <v>308.85018589589453</v>
      </c>
      <c r="HA165" s="59">
        <f t="shared" si="160"/>
        <v>302.59481222418219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>
        <f>EXP(-LN(2)/35)*HG164+(1-EXP(-LN(2)/35))/(LN(2)/35)*HC165*HD165*VLOOKUP('Données projet'!$B$18,Paramètres!$A$1:$I$89,3,0)*0.475*44/12</f>
        <v>7.9869352243196747</v>
      </c>
      <c r="HH165" s="21">
        <f>EXP(-LN(2)/25)*HH164+(1-EXP(-LN(2)/25))/(LN(2)/25)*Calculateur!HC165*Calculateur!HE165*VLOOKUP('Données projet'!$B$18,Paramètres!$A$1:$I$89,3,0)*0.475*44/12</f>
        <v>0</v>
      </c>
      <c r="HI165" s="21">
        <f>EXP(-LN(2)/2)*HI164+(1-EXP(-LN(2)/2))/(LN(2)/2)*HC165*HF165*VLOOKUP('Données projet'!$B$18,Paramètres!$A$1:$I$89,3,0)*0.475*44/12</f>
        <v>0</v>
      </c>
      <c r="HJ165" s="22">
        <f t="shared" si="190"/>
        <v>7.9869352243196747</v>
      </c>
    </row>
    <row r="166" spans="1:218" x14ac:dyDescent="0.35">
      <c r="A166" s="10">
        <f t="shared" si="161"/>
        <v>163</v>
      </c>
      <c r="B166" s="72">
        <f>'Scénario référence'!$B$16*5+'Scénario référence'!$B$17*0+'Scénario référence'!$B$18*5</f>
        <v>5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66">
        <f t="shared" si="110"/>
        <v>183.33333333333334</v>
      </c>
      <c r="I166" s="6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19.8100000000004</v>
      </c>
      <c r="O166" s="13">
        <f>N166*VLOOKUP('Données projet'!$B$9,Paramètres!$A$1:$I$89,3,0)*VLOOKUP('Données projet'!$B$9,Paramètres!$A$1:$I$89,5,0)</f>
        <v>17.924088000000364</v>
      </c>
      <c r="P166" s="13">
        <f t="shared" si="141"/>
        <v>5.9032212091029486</v>
      </c>
      <c r="Q166" s="20">
        <f t="shared" si="162"/>
        <v>41.499230205854936</v>
      </c>
      <c r="R166" s="59">
        <f t="shared" si="109"/>
        <v>329.54340689300716</v>
      </c>
      <c r="S166" s="59">
        <f ca="1">AVERAGE(OFFSET($R$3,0,0,'Données projet'!$E$9+1,1))-AVERAGE(OFFSET($H$3,0,0,'Données projet'!$E$9+1,1))</f>
        <v>567.42635821507474</v>
      </c>
      <c r="T166" s="59">
        <f t="shared" si="142"/>
        <v>299.04735309930152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147.02197010255296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147.02197010255296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19.8100000000004</v>
      </c>
      <c r="AJ166" s="13">
        <f>AI166*VLOOKUP('Données projet'!$B$10,Paramètres!$A$1:$I$89,3,0)*VLOOKUP('Données projet'!$B$10,Paramètres!$A$1:$I$89,5,0)</f>
        <v>20.08734000000041</v>
      </c>
      <c r="AK166" s="13">
        <f t="shared" si="164"/>
        <v>6.5285137703520215</v>
      </c>
      <c r="AL166" s="20">
        <f t="shared" si="165"/>
        <v>46.355945316697152</v>
      </c>
      <c r="AM166" s="59">
        <f t="shared" si="113"/>
        <v>334.40012200384939</v>
      </c>
      <c r="AN166" s="59">
        <f ca="1">AVERAGE(OFFSET($AM$3,0,0,'Données projet'!$E$10+1,1))-AVERAGE(OFFSET($H$3,0,0,'Données projet'!$E$10+1,1))</f>
        <v>626.09203985591455</v>
      </c>
      <c r="AO166" s="59">
        <f t="shared" si="144"/>
        <v>327.65191296575199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164.76600097699904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164.76600097699904</v>
      </c>
      <c r="AY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404.00000000000017</v>
      </c>
      <c r="BE166" s="13">
        <f>BD166*VLOOKUP('Données projet'!$B$11,Paramètres!$A$1:$I$89,3,0)*VLOOKUP('Données projet'!$B$11,Paramètres!$A$1:$I$89,5,0)</f>
        <v>346.63200000000018</v>
      </c>
      <c r="BF166" s="13">
        <f t="shared" si="167"/>
        <v>80.868615263336864</v>
      </c>
      <c r="BG166" s="20">
        <f t="shared" si="168"/>
        <v>744.56357158364528</v>
      </c>
      <c r="BH166" s="59">
        <f t="shared" si="116"/>
        <v>1032.6077482707974</v>
      </c>
      <c r="BI166" s="59">
        <f ca="1">AVERAGE(OFFSET($BH$3,0,0,'Données projet'!$E$11+1,1))-AVERAGE(OFFSET($H$3,0,0,'Données projet'!$E$11+1,1))</f>
        <v>481.23392184981651</v>
      </c>
      <c r="BJ166" s="59">
        <f t="shared" si="146"/>
        <v>275.88160405468193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42.65508151143846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42.65508151143846</v>
      </c>
      <c r="BT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5.2499999999990337</v>
      </c>
      <c r="BZ166" s="13">
        <f>BY166*VLOOKUP('Données projet'!$B$12,Paramètres!$A$1:$I$89,3,0)*VLOOKUP('Données projet'!$B$12,Paramètres!$A$1:$I$89,5,0)</f>
        <v>2.4569999999995478</v>
      </c>
      <c r="CA166" s="13">
        <f t="shared" si="170"/>
        <v>1.0197977774625564</v>
      </c>
      <c r="CB166" s="20">
        <f t="shared" si="171"/>
        <v>6.0554227957464972</v>
      </c>
      <c r="CC166" s="59">
        <f t="shared" si="119"/>
        <v>294.09959948289873</v>
      </c>
      <c r="CD166" s="59">
        <f ca="1">AVERAGE(OFFSET($CC$3,0,0,'Données projet'!$E$12+1,1))-AVERAGE(OFFSET($H$3,0,0,'Données projet'!$E$12+1,1))</f>
        <v>331.86732359395467</v>
      </c>
      <c r="CE166" s="59">
        <f t="shared" si="148"/>
        <v>208.64489375183106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83.360785083343586</v>
      </c>
      <c r="CL166" s="21">
        <f>EXP(-LN(2)/25)*CL165+(1-EXP(-LN(2)/25))/(LN(2)/25)*Calculateur!CG166*Calculateur!CI166*VLOOKUP('Données projet'!$B$12,Paramètres!$A$1:$I$89,3,0)*0.475*44/12</f>
        <v>0</v>
      </c>
      <c r="CM166" s="21">
        <f>EXP(-LN(2)/2)*CM165+(1-EXP(-LN(2)/2))/(LN(2)/2)*CG166*CJ166*VLOOKUP('Données projet'!$B$12,Paramètres!$A$1:$I$89,3,0)*0.475*44/12</f>
        <v>0</v>
      </c>
      <c r="CN166" s="22">
        <f t="shared" si="172"/>
        <v>83.360785083343586</v>
      </c>
      <c r="CO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319</v>
      </c>
      <c r="CU166" s="17">
        <f>CT166*VLOOKUP('Données projet'!$B$13,Paramètres!$A$1:$I$89,3,0)*VLOOKUP('Données projet'!$B$13,Paramètres!$A$1:$I$89,5,0)</f>
        <v>233.89079999999998</v>
      </c>
      <c r="CV166" s="13">
        <f t="shared" si="173"/>
        <v>57.123140349023068</v>
      </c>
      <c r="CW166" s="20">
        <f t="shared" si="174"/>
        <v>506.84927944121517</v>
      </c>
      <c r="CX166" s="59">
        <f t="shared" si="122"/>
        <v>794.89345612836746</v>
      </c>
      <c r="CY166" s="59">
        <f ca="1">AVERAGE(OFFSET($CX$3,0,0,'Données projet'!$E$13+1,1))-AVERAGE(OFFSET($H$3,0,0,'Données projet'!$E$13+1,1))</f>
        <v>352.45777291109863</v>
      </c>
      <c r="CZ166" s="59">
        <f t="shared" si="150"/>
        <v>340.92165104349181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7.6824793280972106</v>
      </c>
      <c r="DG166" s="21">
        <f>EXP(-LN(2)/25)*DG165+(1-EXP(-LN(2)/25))/(LN(2)/25)*Calculateur!DB166*Calculateur!DD166*VLOOKUP('Données projet'!$B$13,Paramètres!$A$1:$I$89,3,0)*0.475*44/12</f>
        <v>0</v>
      </c>
      <c r="DH166" s="21">
        <f>EXP(-LN(2)/2)*DH165+(1-EXP(-LN(2)/2))/(LN(2)/2)*DB166*DE166*VLOOKUP('Données projet'!$B$13,Paramètres!$A$1:$I$89,3,0)*0.475*44/12</f>
        <v>0</v>
      </c>
      <c r="DI166" s="22">
        <f t="shared" si="175"/>
        <v>7.6824793280972106</v>
      </c>
      <c r="DJ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19.8100000000004</v>
      </c>
      <c r="DP166" s="17">
        <f>DO166*VLOOKUP('Données projet'!$B$14,Paramètres!$A$1:$I$89,3,0)*VLOOKUP('Données projet'!$B$14,Paramètres!$A$1:$I$89,5,0)</f>
        <v>13.288548000000269</v>
      </c>
      <c r="DQ166" s="13">
        <f t="shared" si="176"/>
        <v>4.531654695205642</v>
      </c>
      <c r="DR166" s="20">
        <f t="shared" si="177"/>
        <v>31.036853027483627</v>
      </c>
      <c r="DS166" s="59">
        <f t="shared" si="125"/>
        <v>319.08102971463586</v>
      </c>
      <c r="DT166" s="59">
        <f ca="1">AVERAGE(OFFSET($DS$3,0,0,'Données projet'!$E$14+1,1))-AVERAGE(OFFSET($H$3,0,0,'Données projet'!$E$14+1,1))</f>
        <v>441.20130048888439</v>
      </c>
      <c r="DU166" s="59">
        <f t="shared" si="152"/>
        <v>237.47732532183946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134.34766233509148</v>
      </c>
      <c r="EB166" s="21">
        <f>EXP(-LN(2)/25)*EB165+(1-EXP(-LN(2)/25))/(LN(2)/25)*Calculateur!DW166*Calculateur!DY166*VLOOKUP('Données projet'!$B$14,Paramètres!$A$1:$I$89,3,0)*0.475*44/12</f>
        <v>0</v>
      </c>
      <c r="EC166" s="21">
        <f>EXP(-LN(2)/2)*EC165+(1-EXP(-LN(2)/2))/(LN(2)/2)*DW166*DZ166*VLOOKUP('Données projet'!$B$14,Paramètres!$A$1:$I$89,3,0)*0.475*44/12</f>
        <v>0</v>
      </c>
      <c r="ED166" s="22">
        <f t="shared" si="178"/>
        <v>134.34766233509148</v>
      </c>
      <c r="EE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319</v>
      </c>
      <c r="EK166" s="17">
        <f>EJ166*VLOOKUP('Données projet'!$B$15,Paramètres!$A$1:$I$89,3,0)*VLOOKUP('Données projet'!$B$15,Paramètres!$A$1:$I$89,5,0)</f>
        <v>253.79640000000001</v>
      </c>
      <c r="EL166" s="13">
        <f t="shared" si="179"/>
        <v>61.39816832228076</v>
      </c>
      <c r="EM166" s="20">
        <f t="shared" si="180"/>
        <v>548.96387316130563</v>
      </c>
      <c r="EN166" s="59">
        <f t="shared" si="128"/>
        <v>837.00804984845786</v>
      </c>
      <c r="EO166" s="59">
        <f ca="1">AVERAGE(OFFSET($EN$3,0,0,'Données projet'!$E$15+1,1))-AVERAGE(OFFSET($H$3,0,0,'Données projet'!$E$15+1,1))</f>
        <v>377.27600411578322</v>
      </c>
      <c r="EP166" s="59">
        <f t="shared" si="154"/>
        <v>364.58250627635425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>
        <f>EXP(-LN(2)/35)*EV165+(1-EXP(-LN(2)/35))/(LN(2)/35)*ER166*ES166*VLOOKUP('Données projet'!$B$15,Paramètres!$A$1:$I$89,3,0)*0.475*44/12</f>
        <v>10.274983485327436</v>
      </c>
      <c r="EW166" s="21">
        <f>EXP(-LN(2)/25)*EW165+(1-EXP(-LN(2)/25))/(LN(2)/25)*Calculateur!ER166*Calculateur!ET166*VLOOKUP('Données projet'!$B$15,Paramètres!$A$1:$I$89,3,0)*0.475*44/12</f>
        <v>0</v>
      </c>
      <c r="EX166" s="21">
        <f>EXP(-LN(2)/2)*EX165+(1-EXP(-LN(2)/2))/(LN(2)/2)*ER166*EU166*VLOOKUP('Données projet'!$B$15,Paramètres!$A$1:$I$89,3,0)*0.475*44/12</f>
        <v>0</v>
      </c>
      <c r="EY166" s="22">
        <f t="shared" si="181"/>
        <v>10.274983485327436</v>
      </c>
      <c r="EZ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319</v>
      </c>
      <c r="FF166" s="17">
        <f>FE166*VLOOKUP('Données projet'!$B$16,Paramètres!$A$1:$I$89,3,0)*VLOOKUP('Données projet'!$B$16,Paramètres!$A$1:$I$89,5,0)</f>
        <v>258.77280000000002</v>
      </c>
      <c r="FG166" s="13">
        <f t="shared" si="182"/>
        <v>62.460716522234691</v>
      </c>
      <c r="FH166" s="20">
        <f t="shared" si="183"/>
        <v>559.48170794289206</v>
      </c>
      <c r="FI166" s="59">
        <f t="shared" si="131"/>
        <v>847.52588463004429</v>
      </c>
      <c r="FJ166" s="59">
        <f ca="1">AVERAGE(OFFSET($FI$3,0,0,'Données projet'!$E$16+1,1))-AVERAGE(OFFSET($H$3,0,0,'Données projet'!$E$16+1,1))</f>
        <v>383.47399633251354</v>
      </c>
      <c r="FK166" s="59">
        <f t="shared" si="156"/>
        <v>370.49129421395628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>
        <f>EXP(-LN(2)/35)*FQ165+(1-EXP(-LN(2)/35))/(LN(2)/35)*FM166*FN166*VLOOKUP('Données projet'!$B$16,Paramètres!$A$1:$I$89,3,0)*0.475*44/12</f>
        <v>10.476453749745634</v>
      </c>
      <c r="FR166" s="21">
        <f>EXP(-LN(2)/25)*FR165+(1-EXP(-LN(2)/25))/(LN(2)/25)*Calculateur!FM166*Calculateur!FO166*VLOOKUP('Données projet'!$B$16,Paramètres!$A$1:$I$89,3,0)*0.475*44/12</f>
        <v>0</v>
      </c>
      <c r="FS166" s="21">
        <f>EXP(-LN(2)/2)*FS165+(1-EXP(-LN(2)/2))/(LN(2)/2)*FM166*FP166*VLOOKUP('Données projet'!$B$16,Paramètres!$A$1:$I$89,3,0)*0.475*44/12</f>
        <v>0</v>
      </c>
      <c r="FT166" s="22">
        <f t="shared" si="184"/>
        <v>10.476453749745634</v>
      </c>
      <c r="FU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19.8100000000004</v>
      </c>
      <c r="GA166" s="17">
        <f>FZ166*VLOOKUP('Données projet'!$B$17,Paramètres!$A$1:$I$89,3,0)*VLOOKUP('Données projet'!$B$17,Paramètres!$A$1:$I$89,5,0)</f>
        <v>18.851196000000382</v>
      </c>
      <c r="GB166" s="13">
        <f t="shared" si="185"/>
        <v>6.172221809210666</v>
      </c>
      <c r="GC166" s="20">
        <f t="shared" si="186"/>
        <v>43.582452684375909</v>
      </c>
      <c r="GD166" s="59">
        <f t="shared" si="134"/>
        <v>331.62662937152811</v>
      </c>
      <c r="GE166" s="59">
        <f ca="1">AVERAGE(OFFSET($GD$3,0,0,'Données projet'!$E$17+1,1))-AVERAGE(OFFSET($H$3,0,0,'Données projet'!$E$17+1,1))</f>
        <v>592.58528889137358</v>
      </c>
      <c r="GF166" s="59">
        <f t="shared" si="158"/>
        <v>311.31528020403709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>
        <f>EXP(-LN(2)/35)*GL165+(1-EXP(-LN(2)/35))/(LN(2)/35)*GH166*GI166*VLOOKUP('Données projet'!$B$17,Paramètres!$A$1:$I$89,3,0)*0.475*44/12</f>
        <v>154.62655476302984</v>
      </c>
      <c r="GM166" s="21">
        <f>EXP(-LN(2)/25)*GM165+(1-EXP(-LN(2)/25))/(LN(2)/25)*Calculateur!GH166*Calculateur!GJ166*VLOOKUP('Données projet'!$B$17,Paramètres!$A$1:$I$89,3,0)*0.475*44/12</f>
        <v>0</v>
      </c>
      <c r="GN166" s="21">
        <f>EXP(-LN(2)/2)*GN165+(1-EXP(-LN(2)/2))/(LN(2)/2)*GH166*GK166*VLOOKUP('Données projet'!$B$17,Paramètres!$A$1:$I$89,3,0)*0.475*44/12</f>
        <v>0</v>
      </c>
      <c r="GO166" s="21">
        <f t="shared" si="187"/>
        <v>154.62655476302984</v>
      </c>
      <c r="GP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328.00000000000006</v>
      </c>
      <c r="GV166" s="17">
        <f>GU166*VLOOKUP('Données projet'!$B$18,Paramètres!$A$1:$I$89,3,0)*VLOOKUP('Données projet'!$B$18,Paramètres!$A$1:$I$89,5,0)</f>
        <v>255.84000000000006</v>
      </c>
      <c r="GW166" s="13">
        <f t="shared" si="188"/>
        <v>61.834803371075836</v>
      </c>
      <c r="GX166" s="20">
        <f t="shared" si="189"/>
        <v>553.28361587129041</v>
      </c>
      <c r="GY166" s="59">
        <f t="shared" si="137"/>
        <v>841.32779255844264</v>
      </c>
      <c r="GZ166" s="59">
        <f ca="1">AVERAGE(OFFSET($GY$3,0,0,'Données projet'!$E$18+1,1))-AVERAGE(OFFSET($H$3,0,0,'Données projet'!$E$18+1,1))</f>
        <v>308.85018589589453</v>
      </c>
      <c r="HA166" s="59">
        <f t="shared" si="160"/>
        <v>302.59481222418219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>
        <f>EXP(-LN(2)/35)*HG165+(1-EXP(-LN(2)/35))/(LN(2)/35)*HC166*HD166*VLOOKUP('Données projet'!$B$18,Paramètres!$A$1:$I$89,3,0)*0.475*44/12</f>
        <v>7.8303162961202268</v>
      </c>
      <c r="HH166" s="21">
        <f>EXP(-LN(2)/25)*HH165+(1-EXP(-LN(2)/25))/(LN(2)/25)*Calculateur!HC166*Calculateur!HE166*VLOOKUP('Données projet'!$B$18,Paramètres!$A$1:$I$89,3,0)*0.475*44/12</f>
        <v>0</v>
      </c>
      <c r="HI166" s="21">
        <f>EXP(-LN(2)/2)*HI165+(1-EXP(-LN(2)/2))/(LN(2)/2)*HC166*HF166*VLOOKUP('Données projet'!$B$18,Paramètres!$A$1:$I$89,3,0)*0.475*44/12</f>
        <v>0</v>
      </c>
      <c r="HJ166" s="22">
        <f t="shared" si="190"/>
        <v>7.8303162961202268</v>
      </c>
    </row>
    <row r="167" spans="1:218" x14ac:dyDescent="0.35">
      <c r="A167" s="10">
        <f t="shared" si="161"/>
        <v>164</v>
      </c>
      <c r="B167" s="72">
        <f>'Scénario référence'!$B$16*5+'Scénario référence'!$B$17*0+'Scénario référence'!$B$18*5</f>
        <v>5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66">
        <f t="shared" si="110"/>
        <v>183.33333333333334</v>
      </c>
      <c r="I167" s="6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19.8100000000004</v>
      </c>
      <c r="O167" s="13">
        <f>N167*VLOOKUP('Données projet'!$B$9,Paramètres!$A$1:$I$89,3,0)*VLOOKUP('Données projet'!$B$9,Paramètres!$A$1:$I$89,5,0)</f>
        <v>17.924088000000364</v>
      </c>
      <c r="P167" s="13">
        <f t="shared" si="141"/>
        <v>5.9032212091029486</v>
      </c>
      <c r="Q167" s="20">
        <f t="shared" si="162"/>
        <v>41.499230205854936</v>
      </c>
      <c r="R167" s="59">
        <f t="shared" si="109"/>
        <v>329.63516193603562</v>
      </c>
      <c r="S167" s="59">
        <f ca="1">AVERAGE(OFFSET($R$3,0,0,'Données projet'!$E$9+1,1))-AVERAGE(OFFSET($H$3,0,0,'Données projet'!$E$9+1,1))</f>
        <v>567.42635821507474</v>
      </c>
      <c r="T167" s="59">
        <f t="shared" si="142"/>
        <v>299.04735309930152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144.13895894338904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144.13895894338904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19.8100000000004</v>
      </c>
      <c r="AJ167" s="13">
        <f>AI167*VLOOKUP('Données projet'!$B$10,Paramètres!$A$1:$I$89,3,0)*VLOOKUP('Données projet'!$B$10,Paramètres!$A$1:$I$89,5,0)</f>
        <v>20.08734000000041</v>
      </c>
      <c r="AK167" s="13">
        <f t="shared" si="164"/>
        <v>6.5285137703520215</v>
      </c>
      <c r="AL167" s="20">
        <f t="shared" si="165"/>
        <v>46.355945316697152</v>
      </c>
      <c r="AM167" s="59">
        <f t="shared" si="113"/>
        <v>334.49187704687785</v>
      </c>
      <c r="AN167" s="59">
        <f ca="1">AVERAGE(OFFSET($AM$3,0,0,'Données projet'!$E$10+1,1))-AVERAGE(OFFSET($H$3,0,0,'Données projet'!$E$10+1,1))</f>
        <v>626.09203985591455</v>
      </c>
      <c r="AO167" s="59">
        <f t="shared" si="144"/>
        <v>327.65191296575199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161.5350401951774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161.5350401951774</v>
      </c>
      <c r="AY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404.00000000000017</v>
      </c>
      <c r="BE167" s="13">
        <f>BD167*VLOOKUP('Données projet'!$B$11,Paramètres!$A$1:$I$89,3,0)*VLOOKUP('Données projet'!$B$11,Paramètres!$A$1:$I$89,5,0)</f>
        <v>346.63200000000018</v>
      </c>
      <c r="BF167" s="13">
        <f t="shared" si="167"/>
        <v>80.868615263336864</v>
      </c>
      <c r="BG167" s="20">
        <f t="shared" si="168"/>
        <v>744.56357158364528</v>
      </c>
      <c r="BH167" s="59">
        <f t="shared" si="116"/>
        <v>1032.699503313826</v>
      </c>
      <c r="BI167" s="59">
        <f ca="1">AVERAGE(OFFSET($BH$3,0,0,'Données projet'!$E$11+1,1))-AVERAGE(OFFSET($H$3,0,0,'Données projet'!$E$11+1,1))</f>
        <v>481.23392184981651</v>
      </c>
      <c r="BJ167" s="59">
        <f t="shared" si="146"/>
        <v>275.88160405468193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41.818641380029909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41.818641380029909</v>
      </c>
      <c r="BT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5.2499999999990337</v>
      </c>
      <c r="BZ167" s="13">
        <f>BY167*VLOOKUP('Données projet'!$B$12,Paramètres!$A$1:$I$89,3,0)*VLOOKUP('Données projet'!$B$12,Paramètres!$A$1:$I$89,5,0)</f>
        <v>2.4569999999995478</v>
      </c>
      <c r="CA167" s="13">
        <f t="shared" si="170"/>
        <v>1.0197977774625564</v>
      </c>
      <c r="CB167" s="20">
        <f t="shared" si="171"/>
        <v>6.0554227957464972</v>
      </c>
      <c r="CC167" s="59">
        <f t="shared" si="119"/>
        <v>294.19135452592718</v>
      </c>
      <c r="CD167" s="59">
        <f ca="1">AVERAGE(OFFSET($CC$3,0,0,'Données projet'!$E$12+1,1))-AVERAGE(OFFSET($H$3,0,0,'Données projet'!$E$12+1,1))</f>
        <v>331.86732359395467</v>
      </c>
      <c r="CE167" s="59">
        <f t="shared" si="148"/>
        <v>208.64489375183106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81.726130932917584</v>
      </c>
      <c r="CL167" s="21">
        <f>EXP(-LN(2)/25)*CL166+(1-EXP(-LN(2)/25))/(LN(2)/25)*Calculateur!CG167*Calculateur!CI167*VLOOKUP('Données projet'!$B$12,Paramètres!$A$1:$I$89,3,0)*0.475*44/12</f>
        <v>0</v>
      </c>
      <c r="CM167" s="21">
        <f>EXP(-LN(2)/2)*CM166+(1-EXP(-LN(2)/2))/(LN(2)/2)*CG167*CJ167*VLOOKUP('Données projet'!$B$12,Paramètres!$A$1:$I$89,3,0)*0.475*44/12</f>
        <v>0</v>
      </c>
      <c r="CN167" s="22">
        <f t="shared" si="172"/>
        <v>81.726130932917584</v>
      </c>
      <c r="CO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319</v>
      </c>
      <c r="CU167" s="17">
        <f>CT167*VLOOKUP('Données projet'!$B$13,Paramètres!$A$1:$I$89,3,0)*VLOOKUP('Données projet'!$B$13,Paramètres!$A$1:$I$89,5,0)</f>
        <v>233.89079999999998</v>
      </c>
      <c r="CV167" s="13">
        <f t="shared" si="173"/>
        <v>57.123140349023068</v>
      </c>
      <c r="CW167" s="20">
        <f t="shared" si="174"/>
        <v>506.84927944121517</v>
      </c>
      <c r="CX167" s="59">
        <f t="shared" si="122"/>
        <v>794.9852111713958</v>
      </c>
      <c r="CY167" s="59">
        <f ca="1">AVERAGE(OFFSET($CX$3,0,0,'Données projet'!$E$13+1,1))-AVERAGE(OFFSET($H$3,0,0,'Données projet'!$E$13+1,1))</f>
        <v>352.45777291109863</v>
      </c>
      <c r="CZ167" s="59">
        <f t="shared" si="150"/>
        <v>340.92165104349181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7.5318305943229253</v>
      </c>
      <c r="DG167" s="21">
        <f>EXP(-LN(2)/25)*DG166+(1-EXP(-LN(2)/25))/(LN(2)/25)*Calculateur!DB167*Calculateur!DD167*VLOOKUP('Données projet'!$B$13,Paramètres!$A$1:$I$89,3,0)*0.475*44/12</f>
        <v>0</v>
      </c>
      <c r="DH167" s="21">
        <f>EXP(-LN(2)/2)*DH166+(1-EXP(-LN(2)/2))/(LN(2)/2)*DB167*DE167*VLOOKUP('Données projet'!$B$13,Paramètres!$A$1:$I$89,3,0)*0.475*44/12</f>
        <v>0</v>
      </c>
      <c r="DI167" s="22">
        <f t="shared" si="175"/>
        <v>7.5318305943229253</v>
      </c>
      <c r="DJ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19.8100000000004</v>
      </c>
      <c r="DP167" s="17">
        <f>DO167*VLOOKUP('Données projet'!$B$14,Paramètres!$A$1:$I$89,3,0)*VLOOKUP('Données projet'!$B$14,Paramètres!$A$1:$I$89,5,0)</f>
        <v>13.288548000000269</v>
      </c>
      <c r="DQ167" s="13">
        <f t="shared" si="176"/>
        <v>4.531654695205642</v>
      </c>
      <c r="DR167" s="20">
        <f t="shared" si="177"/>
        <v>31.036853027483627</v>
      </c>
      <c r="DS167" s="59">
        <f t="shared" si="125"/>
        <v>319.17278475766432</v>
      </c>
      <c r="DT167" s="59">
        <f ca="1">AVERAGE(OFFSET($DS$3,0,0,'Données projet'!$E$14+1,1))-AVERAGE(OFFSET($H$3,0,0,'Données projet'!$E$14+1,1))</f>
        <v>441.20130048888439</v>
      </c>
      <c r="DU167" s="59">
        <f t="shared" si="152"/>
        <v>237.47732532183946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131.71318662068308</v>
      </c>
      <c r="EB167" s="21">
        <f>EXP(-LN(2)/25)*EB166+(1-EXP(-LN(2)/25))/(LN(2)/25)*Calculateur!DW167*Calculateur!DY167*VLOOKUP('Données projet'!$B$14,Paramètres!$A$1:$I$89,3,0)*0.475*44/12</f>
        <v>0</v>
      </c>
      <c r="EC167" s="21">
        <f>EXP(-LN(2)/2)*EC166+(1-EXP(-LN(2)/2))/(LN(2)/2)*DW167*DZ167*VLOOKUP('Données projet'!$B$14,Paramètres!$A$1:$I$89,3,0)*0.475*44/12</f>
        <v>0</v>
      </c>
      <c r="ED167" s="22">
        <f t="shared" si="178"/>
        <v>131.71318662068308</v>
      </c>
      <c r="EE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319</v>
      </c>
      <c r="EK167" s="17">
        <f>EJ167*VLOOKUP('Données projet'!$B$15,Paramètres!$A$1:$I$89,3,0)*VLOOKUP('Données projet'!$B$15,Paramètres!$A$1:$I$89,5,0)</f>
        <v>253.79640000000001</v>
      </c>
      <c r="EL167" s="13">
        <f t="shared" si="179"/>
        <v>61.39816832228076</v>
      </c>
      <c r="EM167" s="20">
        <f t="shared" si="180"/>
        <v>548.96387316130563</v>
      </c>
      <c r="EN167" s="59">
        <f t="shared" si="128"/>
        <v>837.09980489148631</v>
      </c>
      <c r="EO167" s="59">
        <f ca="1">AVERAGE(OFFSET($EN$3,0,0,'Données projet'!$E$15+1,1))-AVERAGE(OFFSET($H$3,0,0,'Données projet'!$E$15+1,1))</f>
        <v>377.27600411578322</v>
      </c>
      <c r="EP167" s="59">
        <f t="shared" si="154"/>
        <v>364.58250627635425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>
        <f>EXP(-LN(2)/35)*EV166+(1-EXP(-LN(2)/35))/(LN(2)/35)*ER167*ES167*VLOOKUP('Données projet'!$B$15,Paramètres!$A$1:$I$89,3,0)*0.475*44/12</f>
        <v>10.073497326301265</v>
      </c>
      <c r="EW167" s="21">
        <f>EXP(-LN(2)/25)*EW166+(1-EXP(-LN(2)/25))/(LN(2)/25)*Calculateur!ER167*Calculateur!ET167*VLOOKUP('Données projet'!$B$15,Paramètres!$A$1:$I$89,3,0)*0.475*44/12</f>
        <v>0</v>
      </c>
      <c r="EX167" s="21">
        <f>EXP(-LN(2)/2)*EX166+(1-EXP(-LN(2)/2))/(LN(2)/2)*ER167*EU167*VLOOKUP('Données projet'!$B$15,Paramètres!$A$1:$I$89,3,0)*0.475*44/12</f>
        <v>0</v>
      </c>
      <c r="EY167" s="22">
        <f t="shared" si="181"/>
        <v>10.073497326301265</v>
      </c>
      <c r="EZ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319</v>
      </c>
      <c r="FF167" s="17">
        <f>FE167*VLOOKUP('Données projet'!$B$16,Paramètres!$A$1:$I$89,3,0)*VLOOKUP('Données projet'!$B$16,Paramètres!$A$1:$I$89,5,0)</f>
        <v>258.77280000000002</v>
      </c>
      <c r="FG167" s="13">
        <f t="shared" si="182"/>
        <v>62.460716522234691</v>
      </c>
      <c r="FH167" s="20">
        <f t="shared" si="183"/>
        <v>559.48170794289206</v>
      </c>
      <c r="FI167" s="59">
        <f t="shared" si="131"/>
        <v>847.61763967307274</v>
      </c>
      <c r="FJ167" s="59">
        <f ca="1">AVERAGE(OFFSET($FI$3,0,0,'Données projet'!$E$16+1,1))-AVERAGE(OFFSET($H$3,0,0,'Données projet'!$E$16+1,1))</f>
        <v>383.47399633251354</v>
      </c>
      <c r="FK167" s="59">
        <f t="shared" si="156"/>
        <v>370.49129421395628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>
        <f>EXP(-LN(2)/35)*FQ166+(1-EXP(-LN(2)/35))/(LN(2)/35)*FM167*FN167*VLOOKUP('Données projet'!$B$16,Paramètres!$A$1:$I$89,3,0)*0.475*44/12</f>
        <v>10.271016881718948</v>
      </c>
      <c r="FR167" s="21">
        <f>EXP(-LN(2)/25)*FR166+(1-EXP(-LN(2)/25))/(LN(2)/25)*Calculateur!FM167*Calculateur!FO167*VLOOKUP('Données projet'!$B$16,Paramètres!$A$1:$I$89,3,0)*0.475*44/12</f>
        <v>0</v>
      </c>
      <c r="FS167" s="21">
        <f>EXP(-LN(2)/2)*FS166+(1-EXP(-LN(2)/2))/(LN(2)/2)*FM167*FP167*VLOOKUP('Données projet'!$B$16,Paramètres!$A$1:$I$89,3,0)*0.475*44/12</f>
        <v>0</v>
      </c>
      <c r="FT167" s="22">
        <f t="shared" si="184"/>
        <v>10.271016881718948</v>
      </c>
      <c r="FU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19.8100000000004</v>
      </c>
      <c r="GA167" s="17">
        <f>FZ167*VLOOKUP('Données projet'!$B$17,Paramètres!$A$1:$I$89,3,0)*VLOOKUP('Données projet'!$B$17,Paramètres!$A$1:$I$89,5,0)</f>
        <v>18.851196000000382</v>
      </c>
      <c r="GB167" s="13">
        <f t="shared" si="185"/>
        <v>6.172221809210666</v>
      </c>
      <c r="GC167" s="20">
        <f t="shared" si="186"/>
        <v>43.582452684375909</v>
      </c>
      <c r="GD167" s="59">
        <f t="shared" si="134"/>
        <v>331.71838441455657</v>
      </c>
      <c r="GE167" s="59">
        <f ca="1">AVERAGE(OFFSET($GD$3,0,0,'Données projet'!$E$17+1,1))-AVERAGE(OFFSET($H$3,0,0,'Données projet'!$E$17+1,1))</f>
        <v>592.58528889137358</v>
      </c>
      <c r="GF167" s="59">
        <f t="shared" si="158"/>
        <v>311.31528020403709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>
        <f>EXP(-LN(2)/35)*GL166+(1-EXP(-LN(2)/35))/(LN(2)/35)*GH167*GI167*VLOOKUP('Données projet'!$B$17,Paramètres!$A$1:$I$89,3,0)*0.475*44/12</f>
        <v>151.59442233701262</v>
      </c>
      <c r="GM167" s="21">
        <f>EXP(-LN(2)/25)*GM166+(1-EXP(-LN(2)/25))/(LN(2)/25)*Calculateur!GH167*Calculateur!GJ167*VLOOKUP('Données projet'!$B$17,Paramètres!$A$1:$I$89,3,0)*0.475*44/12</f>
        <v>0</v>
      </c>
      <c r="GN167" s="21">
        <f>EXP(-LN(2)/2)*GN166+(1-EXP(-LN(2)/2))/(LN(2)/2)*GH167*GK167*VLOOKUP('Données projet'!$B$17,Paramètres!$A$1:$I$89,3,0)*0.475*44/12</f>
        <v>0</v>
      </c>
      <c r="GO167" s="21">
        <f t="shared" si="187"/>
        <v>151.59442233701262</v>
      </c>
      <c r="GP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328.00000000000006</v>
      </c>
      <c r="GV167" s="17">
        <f>GU167*VLOOKUP('Données projet'!$B$18,Paramètres!$A$1:$I$89,3,0)*VLOOKUP('Données projet'!$B$18,Paramètres!$A$1:$I$89,5,0)</f>
        <v>255.84000000000006</v>
      </c>
      <c r="GW167" s="13">
        <f t="shared" si="188"/>
        <v>61.834803371075836</v>
      </c>
      <c r="GX167" s="20">
        <f t="shared" si="189"/>
        <v>553.28361587129041</v>
      </c>
      <c r="GY167" s="59">
        <f t="shared" si="137"/>
        <v>841.41954760147109</v>
      </c>
      <c r="GZ167" s="59">
        <f ca="1">AVERAGE(OFFSET($GY$3,0,0,'Données projet'!$E$18+1,1))-AVERAGE(OFFSET($H$3,0,0,'Données projet'!$E$18+1,1))</f>
        <v>308.85018589589453</v>
      </c>
      <c r="HA167" s="59">
        <f t="shared" si="160"/>
        <v>302.59481222418219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>
        <f>EXP(-LN(2)/35)*HG166+(1-EXP(-LN(2)/35))/(LN(2)/35)*HC167*HD167*VLOOKUP('Données projet'!$B$18,Paramètres!$A$1:$I$89,3,0)*0.475*44/12</f>
        <v>7.6767685695746568</v>
      </c>
      <c r="HH167" s="21">
        <f>EXP(-LN(2)/25)*HH166+(1-EXP(-LN(2)/25))/(LN(2)/25)*Calculateur!HC167*Calculateur!HE167*VLOOKUP('Données projet'!$B$18,Paramètres!$A$1:$I$89,3,0)*0.475*44/12</f>
        <v>0</v>
      </c>
      <c r="HI167" s="21">
        <f>EXP(-LN(2)/2)*HI166+(1-EXP(-LN(2)/2))/(LN(2)/2)*HC167*HF167*VLOOKUP('Données projet'!$B$18,Paramètres!$A$1:$I$89,3,0)*0.475*44/12</f>
        <v>0</v>
      </c>
      <c r="HJ167" s="22">
        <f t="shared" si="190"/>
        <v>7.6767685695746568</v>
      </c>
    </row>
    <row r="168" spans="1:218" x14ac:dyDescent="0.35">
      <c r="A168" s="10">
        <f t="shared" si="161"/>
        <v>165</v>
      </c>
      <c r="B168" s="72">
        <f>'Scénario référence'!$B$16*5+'Scénario référence'!$B$17*0+'Scénario référence'!$B$18*5</f>
        <v>5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66">
        <f t="shared" si="110"/>
        <v>183.33333333333334</v>
      </c>
      <c r="I168" s="6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19.8100000000004</v>
      </c>
      <c r="O168" s="13">
        <f>N168*VLOOKUP('Données projet'!$B$9,Paramètres!$A$1:$I$89,3,0)*VLOOKUP('Données projet'!$B$9,Paramètres!$A$1:$I$89,5,0)</f>
        <v>17.924088000000364</v>
      </c>
      <c r="P168" s="13">
        <f t="shared" si="141"/>
        <v>5.9032212091029486</v>
      </c>
      <c r="Q168" s="20">
        <f t="shared" si="162"/>
        <v>41.499230205854936</v>
      </c>
      <c r="R168" s="59">
        <f t="shared" si="109"/>
        <v>329.72532523420108</v>
      </c>
      <c r="S168" s="59">
        <f ca="1">AVERAGE(OFFSET($R$3,0,0,'Données projet'!$E$9+1,1))-AVERAGE(OFFSET($H$3,0,0,'Données projet'!$E$9+1,1))</f>
        <v>567.42635821507474</v>
      </c>
      <c r="T168" s="59">
        <f t="shared" si="142"/>
        <v>299.04735309930152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141.31248187459315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141.31248187459315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19.8100000000004</v>
      </c>
      <c r="AJ168" s="13">
        <f>AI168*VLOOKUP('Données projet'!$B$10,Paramètres!$A$1:$I$89,3,0)*VLOOKUP('Données projet'!$B$10,Paramètres!$A$1:$I$89,5,0)</f>
        <v>20.08734000000041</v>
      </c>
      <c r="AK168" s="13">
        <f t="shared" si="164"/>
        <v>6.5285137703520215</v>
      </c>
      <c r="AL168" s="20">
        <f t="shared" si="165"/>
        <v>46.355945316697152</v>
      </c>
      <c r="AM168" s="59">
        <f t="shared" si="113"/>
        <v>334.58204034504331</v>
      </c>
      <c r="AN168" s="59">
        <f ca="1">AVERAGE(OFFSET($AM$3,0,0,'Données projet'!$E$10+1,1))-AVERAGE(OFFSET($H$3,0,0,'Données projet'!$E$10+1,1))</f>
        <v>626.09203985591455</v>
      </c>
      <c r="AO168" s="59">
        <f t="shared" si="144"/>
        <v>327.65191296575199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158.3674365835958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158.3674365835958</v>
      </c>
      <c r="AY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404.00000000000017</v>
      </c>
      <c r="BE168" s="13">
        <f>BD168*VLOOKUP('Données projet'!$B$11,Paramètres!$A$1:$I$89,3,0)*VLOOKUP('Données projet'!$B$11,Paramètres!$A$1:$I$89,5,0)</f>
        <v>346.63200000000018</v>
      </c>
      <c r="BF168" s="13">
        <f t="shared" si="167"/>
        <v>80.868615263336864</v>
      </c>
      <c r="BG168" s="20">
        <f t="shared" si="168"/>
        <v>744.56357158364528</v>
      </c>
      <c r="BH168" s="59">
        <f t="shared" si="116"/>
        <v>1032.7896666119914</v>
      </c>
      <c r="BI168" s="59">
        <f ca="1">AVERAGE(OFFSET($BH$3,0,0,'Données projet'!$E$11+1,1))-AVERAGE(OFFSET($H$3,0,0,'Données projet'!$E$11+1,1))</f>
        <v>481.23392184981651</v>
      </c>
      <c r="BJ168" s="59">
        <f t="shared" si="146"/>
        <v>275.88160405468193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40.99860332942017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40.99860332942017</v>
      </c>
      <c r="BT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5.2499999999990337</v>
      </c>
      <c r="BZ168" s="13">
        <f>BY168*VLOOKUP('Données projet'!$B$12,Paramètres!$A$1:$I$89,3,0)*VLOOKUP('Données projet'!$B$12,Paramètres!$A$1:$I$89,5,0)</f>
        <v>2.4569999999995478</v>
      </c>
      <c r="CA168" s="13">
        <f t="shared" si="170"/>
        <v>1.0197977774625564</v>
      </c>
      <c r="CB168" s="20">
        <f t="shared" si="171"/>
        <v>6.0554227957464972</v>
      </c>
      <c r="CC168" s="59">
        <f t="shared" si="119"/>
        <v>294.28151782409265</v>
      </c>
      <c r="CD168" s="59">
        <f ca="1">AVERAGE(OFFSET($CC$3,0,0,'Données projet'!$E$12+1,1))-AVERAGE(OFFSET($H$3,0,0,'Données projet'!$E$12+1,1))</f>
        <v>331.86732359395467</v>
      </c>
      <c r="CE168" s="59">
        <f t="shared" si="148"/>
        <v>208.64489375183106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80.123531353340852</v>
      </c>
      <c r="CL168" s="21">
        <f>EXP(-LN(2)/25)*CL167+(1-EXP(-LN(2)/25))/(LN(2)/25)*Calculateur!CG168*Calculateur!CI168*VLOOKUP('Données projet'!$B$12,Paramètres!$A$1:$I$89,3,0)*0.475*44/12</f>
        <v>0</v>
      </c>
      <c r="CM168" s="21">
        <f>EXP(-LN(2)/2)*CM167+(1-EXP(-LN(2)/2))/(LN(2)/2)*CG168*CJ168*VLOOKUP('Données projet'!$B$12,Paramètres!$A$1:$I$89,3,0)*0.475*44/12</f>
        <v>0</v>
      </c>
      <c r="CN168" s="22">
        <f t="shared" si="172"/>
        <v>80.123531353340852</v>
      </c>
      <c r="CO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319</v>
      </c>
      <c r="CU168" s="17">
        <f>CT168*VLOOKUP('Données projet'!$B$13,Paramètres!$A$1:$I$89,3,0)*VLOOKUP('Données projet'!$B$13,Paramètres!$A$1:$I$89,5,0)</f>
        <v>233.89079999999998</v>
      </c>
      <c r="CV168" s="13">
        <f t="shared" si="173"/>
        <v>57.123140349023068</v>
      </c>
      <c r="CW168" s="20">
        <f t="shared" si="174"/>
        <v>506.84927944121517</v>
      </c>
      <c r="CX168" s="59">
        <f t="shared" si="122"/>
        <v>795.07537446956132</v>
      </c>
      <c r="CY168" s="59">
        <f ca="1">AVERAGE(OFFSET($CX$3,0,0,'Données projet'!$E$13+1,1))-AVERAGE(OFFSET($H$3,0,0,'Données projet'!$E$13+1,1))</f>
        <v>352.45777291109863</v>
      </c>
      <c r="CZ168" s="59">
        <f t="shared" si="150"/>
        <v>340.92165104349181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7.3841359903312993</v>
      </c>
      <c r="DG168" s="21">
        <f>EXP(-LN(2)/25)*DG167+(1-EXP(-LN(2)/25))/(LN(2)/25)*Calculateur!DB168*Calculateur!DD168*VLOOKUP('Données projet'!$B$13,Paramètres!$A$1:$I$89,3,0)*0.475*44/12</f>
        <v>0</v>
      </c>
      <c r="DH168" s="21">
        <f>EXP(-LN(2)/2)*DH167+(1-EXP(-LN(2)/2))/(LN(2)/2)*DB168*DE168*VLOOKUP('Données projet'!$B$13,Paramètres!$A$1:$I$89,3,0)*0.475*44/12</f>
        <v>0</v>
      </c>
      <c r="DI168" s="22">
        <f t="shared" si="175"/>
        <v>7.3841359903312993</v>
      </c>
      <c r="DJ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19.8100000000004</v>
      </c>
      <c r="DP168" s="17">
        <f>DO168*VLOOKUP('Données projet'!$B$14,Paramètres!$A$1:$I$89,3,0)*VLOOKUP('Données projet'!$B$14,Paramètres!$A$1:$I$89,5,0)</f>
        <v>13.288548000000269</v>
      </c>
      <c r="DQ168" s="13">
        <f t="shared" si="176"/>
        <v>4.531654695205642</v>
      </c>
      <c r="DR168" s="20">
        <f t="shared" si="177"/>
        <v>31.036853027483627</v>
      </c>
      <c r="DS168" s="59">
        <f t="shared" si="125"/>
        <v>319.26294805582978</v>
      </c>
      <c r="DT168" s="59">
        <f ca="1">AVERAGE(OFFSET($DS$3,0,0,'Données projet'!$E$14+1,1))-AVERAGE(OFFSET($H$3,0,0,'Données projet'!$E$14+1,1))</f>
        <v>441.20130048888439</v>
      </c>
      <c r="DU168" s="59">
        <f t="shared" si="152"/>
        <v>237.47732532183946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129.13037136816268</v>
      </c>
      <c r="EB168" s="21">
        <f>EXP(-LN(2)/25)*EB167+(1-EXP(-LN(2)/25))/(LN(2)/25)*Calculateur!DW168*Calculateur!DY168*VLOOKUP('Données projet'!$B$14,Paramètres!$A$1:$I$89,3,0)*0.475*44/12</f>
        <v>0</v>
      </c>
      <c r="EC168" s="21">
        <f>EXP(-LN(2)/2)*EC167+(1-EXP(-LN(2)/2))/(LN(2)/2)*DW168*DZ168*VLOOKUP('Données projet'!$B$14,Paramètres!$A$1:$I$89,3,0)*0.475*44/12</f>
        <v>0</v>
      </c>
      <c r="ED168" s="22">
        <f t="shared" si="178"/>
        <v>129.13037136816268</v>
      </c>
      <c r="EE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319</v>
      </c>
      <c r="EK168" s="17">
        <f>EJ168*VLOOKUP('Données projet'!$B$15,Paramètres!$A$1:$I$89,3,0)*VLOOKUP('Données projet'!$B$15,Paramètres!$A$1:$I$89,5,0)</f>
        <v>253.79640000000001</v>
      </c>
      <c r="EL168" s="13">
        <f t="shared" si="179"/>
        <v>61.39816832228076</v>
      </c>
      <c r="EM168" s="20">
        <f t="shared" si="180"/>
        <v>548.96387316130563</v>
      </c>
      <c r="EN168" s="59">
        <f t="shared" si="128"/>
        <v>837.18996818965184</v>
      </c>
      <c r="EO168" s="59">
        <f ca="1">AVERAGE(OFFSET($EN$3,0,0,'Données projet'!$E$15+1,1))-AVERAGE(OFFSET($H$3,0,0,'Données projet'!$E$15+1,1))</f>
        <v>377.27600411578322</v>
      </c>
      <c r="EP168" s="59">
        <f t="shared" si="154"/>
        <v>364.58250627635425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>
        <f>EXP(-LN(2)/35)*EV167+(1-EXP(-LN(2)/35))/(LN(2)/35)*ER168*ES168*VLOOKUP('Données projet'!$B$15,Paramètres!$A$1:$I$89,3,0)*0.475*44/12</f>
        <v>9.8759621879591748</v>
      </c>
      <c r="EW168" s="21">
        <f>EXP(-LN(2)/25)*EW167+(1-EXP(-LN(2)/25))/(LN(2)/25)*Calculateur!ER168*Calculateur!ET168*VLOOKUP('Données projet'!$B$15,Paramètres!$A$1:$I$89,3,0)*0.475*44/12</f>
        <v>0</v>
      </c>
      <c r="EX168" s="21">
        <f>EXP(-LN(2)/2)*EX167+(1-EXP(-LN(2)/2))/(LN(2)/2)*ER168*EU168*VLOOKUP('Données projet'!$B$15,Paramètres!$A$1:$I$89,3,0)*0.475*44/12</f>
        <v>0</v>
      </c>
      <c r="EY168" s="22">
        <f t="shared" si="181"/>
        <v>9.8759621879591748</v>
      </c>
      <c r="EZ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319</v>
      </c>
      <c r="FF168" s="17">
        <f>FE168*VLOOKUP('Données projet'!$B$16,Paramètres!$A$1:$I$89,3,0)*VLOOKUP('Données projet'!$B$16,Paramètres!$A$1:$I$89,5,0)</f>
        <v>258.77280000000002</v>
      </c>
      <c r="FG168" s="13">
        <f t="shared" si="182"/>
        <v>62.460716522234691</v>
      </c>
      <c r="FH168" s="20">
        <f t="shared" si="183"/>
        <v>559.48170794289206</v>
      </c>
      <c r="FI168" s="59">
        <f t="shared" si="131"/>
        <v>847.70780297123815</v>
      </c>
      <c r="FJ168" s="59">
        <f ca="1">AVERAGE(OFFSET($FI$3,0,0,'Données projet'!$E$16+1,1))-AVERAGE(OFFSET($H$3,0,0,'Données projet'!$E$16+1,1))</f>
        <v>383.47399633251354</v>
      </c>
      <c r="FK168" s="59">
        <f t="shared" si="156"/>
        <v>370.49129421395628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>
        <f>EXP(-LN(2)/35)*FQ167+(1-EXP(-LN(2)/35))/(LN(2)/35)*FM168*FN168*VLOOKUP('Données projet'!$B$16,Paramètres!$A$1:$I$89,3,0)*0.475*44/12</f>
        <v>10.06960850537015</v>
      </c>
      <c r="FR168" s="21">
        <f>EXP(-LN(2)/25)*FR167+(1-EXP(-LN(2)/25))/(LN(2)/25)*Calculateur!FM168*Calculateur!FO168*VLOOKUP('Données projet'!$B$16,Paramètres!$A$1:$I$89,3,0)*0.475*44/12</f>
        <v>0</v>
      </c>
      <c r="FS168" s="21">
        <f>EXP(-LN(2)/2)*FS167+(1-EXP(-LN(2)/2))/(LN(2)/2)*FM168*FP168*VLOOKUP('Données projet'!$B$16,Paramètres!$A$1:$I$89,3,0)*0.475*44/12</f>
        <v>0</v>
      </c>
      <c r="FT168" s="22">
        <f t="shared" si="184"/>
        <v>10.06960850537015</v>
      </c>
      <c r="FU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19.8100000000004</v>
      </c>
      <c r="GA168" s="17">
        <f>FZ168*VLOOKUP('Données projet'!$B$17,Paramètres!$A$1:$I$89,3,0)*VLOOKUP('Données projet'!$B$17,Paramètres!$A$1:$I$89,5,0)</f>
        <v>18.851196000000382</v>
      </c>
      <c r="GB168" s="13">
        <f t="shared" si="185"/>
        <v>6.172221809210666</v>
      </c>
      <c r="GC168" s="20">
        <f t="shared" si="186"/>
        <v>43.582452684375909</v>
      </c>
      <c r="GD168" s="59">
        <f t="shared" si="134"/>
        <v>331.80854771272209</v>
      </c>
      <c r="GE168" s="59">
        <f ca="1">AVERAGE(OFFSET($GD$3,0,0,'Données projet'!$E$17+1,1))-AVERAGE(OFFSET($H$3,0,0,'Données projet'!$E$17+1,1))</f>
        <v>592.58528889137358</v>
      </c>
      <c r="GF168" s="59">
        <f t="shared" si="158"/>
        <v>311.31528020403709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>
        <f>EXP(-LN(2)/35)*GL167+(1-EXP(-LN(2)/35))/(LN(2)/35)*GH168*GI168*VLOOKUP('Données projet'!$B$17,Paramètres!$A$1:$I$89,3,0)*0.475*44/12</f>
        <v>148.62174817845141</v>
      </c>
      <c r="GM168" s="21">
        <f>EXP(-LN(2)/25)*GM167+(1-EXP(-LN(2)/25))/(LN(2)/25)*Calculateur!GH168*Calculateur!GJ168*VLOOKUP('Données projet'!$B$17,Paramètres!$A$1:$I$89,3,0)*0.475*44/12</f>
        <v>0</v>
      </c>
      <c r="GN168" s="21">
        <f>EXP(-LN(2)/2)*GN167+(1-EXP(-LN(2)/2))/(LN(2)/2)*GH168*GK168*VLOOKUP('Données projet'!$B$17,Paramètres!$A$1:$I$89,3,0)*0.475*44/12</f>
        <v>0</v>
      </c>
      <c r="GO168" s="21">
        <f t="shared" si="187"/>
        <v>148.62174817845141</v>
      </c>
      <c r="GP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328.00000000000006</v>
      </c>
      <c r="GV168" s="17">
        <f>GU168*VLOOKUP('Données projet'!$B$18,Paramètres!$A$1:$I$89,3,0)*VLOOKUP('Données projet'!$B$18,Paramètres!$A$1:$I$89,5,0)</f>
        <v>255.84000000000006</v>
      </c>
      <c r="GW168" s="13">
        <f t="shared" si="188"/>
        <v>61.834803371075836</v>
      </c>
      <c r="GX168" s="20">
        <f t="shared" si="189"/>
        <v>553.28361587129041</v>
      </c>
      <c r="GY168" s="59">
        <f t="shared" si="137"/>
        <v>841.5097108996365</v>
      </c>
      <c r="GZ168" s="59">
        <f ca="1">AVERAGE(OFFSET($GY$3,0,0,'Données projet'!$E$18+1,1))-AVERAGE(OFFSET($H$3,0,0,'Données projet'!$E$18+1,1))</f>
        <v>308.85018589589453</v>
      </c>
      <c r="HA168" s="59">
        <f t="shared" si="160"/>
        <v>302.59481222418219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>
        <f>EXP(-LN(2)/35)*HG167+(1-EXP(-LN(2)/35))/(LN(2)/35)*HC168*HD168*VLOOKUP('Données projet'!$B$18,Paramètres!$A$1:$I$89,3,0)*0.475*44/12</f>
        <v>7.5262318202917795</v>
      </c>
      <c r="HH168" s="21">
        <f>EXP(-LN(2)/25)*HH167+(1-EXP(-LN(2)/25))/(LN(2)/25)*Calculateur!HC168*Calculateur!HE168*VLOOKUP('Données projet'!$B$18,Paramètres!$A$1:$I$89,3,0)*0.475*44/12</f>
        <v>0</v>
      </c>
      <c r="HI168" s="21">
        <f>EXP(-LN(2)/2)*HI167+(1-EXP(-LN(2)/2))/(LN(2)/2)*HC168*HF168*VLOOKUP('Données projet'!$B$18,Paramètres!$A$1:$I$89,3,0)*0.475*44/12</f>
        <v>0</v>
      </c>
      <c r="HJ168" s="22">
        <f t="shared" si="190"/>
        <v>7.5262318202917795</v>
      </c>
    </row>
    <row r="169" spans="1:218" x14ac:dyDescent="0.35">
      <c r="A169" s="10">
        <f t="shared" si="161"/>
        <v>166</v>
      </c>
      <c r="B169" s="72">
        <f>'Scénario référence'!$B$16*5+'Scénario référence'!$B$17*0+'Scénario référence'!$B$18*5</f>
        <v>5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66">
        <f t="shared" si="110"/>
        <v>183.33333333333334</v>
      </c>
      <c r="I169" s="6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19.8100000000004</v>
      </c>
      <c r="O169" s="13">
        <f>N169*VLOOKUP('Données projet'!$B$9,Paramètres!$A$1:$I$89,3,0)*VLOOKUP('Données projet'!$B$9,Paramètres!$A$1:$I$89,5,0)</f>
        <v>17.924088000000364</v>
      </c>
      <c r="P169" s="13">
        <f t="shared" si="141"/>
        <v>5.9032212091029486</v>
      </c>
      <c r="Q169" s="20">
        <f t="shared" si="162"/>
        <v>41.499230205854936</v>
      </c>
      <c r="R169" s="59">
        <f t="shared" si="109"/>
        <v>329.81392440071835</v>
      </c>
      <c r="S169" s="59">
        <f ca="1">AVERAGE(OFFSET($R$3,0,0,'Données projet'!$E$9+1,1))-AVERAGE(OFFSET($H$3,0,0,'Données projet'!$E$9+1,1))</f>
        <v>567.42635821507474</v>
      </c>
      <c r="T169" s="59">
        <f t="shared" si="142"/>
        <v>299.04735309930152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138.54143029713555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138.54143029713555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19.8100000000004</v>
      </c>
      <c r="AJ169" s="13">
        <f>AI169*VLOOKUP('Données projet'!$B$10,Paramètres!$A$1:$I$89,3,0)*VLOOKUP('Données projet'!$B$10,Paramètres!$A$1:$I$89,5,0)</f>
        <v>20.08734000000041</v>
      </c>
      <c r="AK169" s="13">
        <f t="shared" si="164"/>
        <v>6.5285137703520215</v>
      </c>
      <c r="AL169" s="20">
        <f t="shared" si="165"/>
        <v>46.355945316697152</v>
      </c>
      <c r="AM169" s="59">
        <f t="shared" si="113"/>
        <v>334.67063951156058</v>
      </c>
      <c r="AN169" s="59">
        <f ca="1">AVERAGE(OFFSET($AM$3,0,0,'Données projet'!$E$10+1,1))-AVERAGE(OFFSET($H$3,0,0,'Données projet'!$E$10+1,1))</f>
        <v>626.09203985591455</v>
      </c>
      <c r="AO169" s="59">
        <f t="shared" si="144"/>
        <v>327.65191296575199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155.26194774678987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155.26194774678987</v>
      </c>
      <c r="AY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404.00000000000017</v>
      </c>
      <c r="BE169" s="13">
        <f>BD169*VLOOKUP('Données projet'!$B$11,Paramètres!$A$1:$I$89,3,0)*VLOOKUP('Données projet'!$B$11,Paramètres!$A$1:$I$89,5,0)</f>
        <v>346.63200000000018</v>
      </c>
      <c r="BF169" s="13">
        <f t="shared" si="167"/>
        <v>80.868615263336864</v>
      </c>
      <c r="BG169" s="20">
        <f t="shared" si="168"/>
        <v>744.56357158364528</v>
      </c>
      <c r="BH169" s="59">
        <f t="shared" si="116"/>
        <v>1032.8782657785086</v>
      </c>
      <c r="BI169" s="59">
        <f ca="1">AVERAGE(OFFSET($BH$3,0,0,'Données projet'!$E$11+1,1))-AVERAGE(OFFSET($H$3,0,0,'Données projet'!$E$11+1,1))</f>
        <v>481.23392184981651</v>
      </c>
      <c r="BJ169" s="59">
        <f t="shared" si="146"/>
        <v>275.88160405468193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40.194645724809064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40.194645724809064</v>
      </c>
      <c r="BT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5.2499999999990337</v>
      </c>
      <c r="BZ169" s="13">
        <f>BY169*VLOOKUP('Données projet'!$B$12,Paramètres!$A$1:$I$89,3,0)*VLOOKUP('Données projet'!$B$12,Paramètres!$A$1:$I$89,5,0)</f>
        <v>2.4569999999995478</v>
      </c>
      <c r="CA169" s="13">
        <f t="shared" si="170"/>
        <v>1.0197977774625564</v>
      </c>
      <c r="CB169" s="20">
        <f t="shared" si="171"/>
        <v>6.0554227957464972</v>
      </c>
      <c r="CC169" s="59">
        <f t="shared" si="119"/>
        <v>294.37011699060992</v>
      </c>
      <c r="CD169" s="59">
        <f ca="1">AVERAGE(OFFSET($CC$3,0,0,'Données projet'!$E$12+1,1))-AVERAGE(OFFSET($H$3,0,0,'Données projet'!$E$12+1,1))</f>
        <v>331.86732359395467</v>
      </c>
      <c r="CE169" s="59">
        <f t="shared" si="148"/>
        <v>208.64489375183106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78.552357774030398</v>
      </c>
      <c r="CL169" s="21">
        <f>EXP(-LN(2)/25)*CL168+(1-EXP(-LN(2)/25))/(LN(2)/25)*Calculateur!CG169*Calculateur!CI169*VLOOKUP('Données projet'!$B$12,Paramètres!$A$1:$I$89,3,0)*0.475*44/12</f>
        <v>0</v>
      </c>
      <c r="CM169" s="21">
        <f>EXP(-LN(2)/2)*CM168+(1-EXP(-LN(2)/2))/(LN(2)/2)*CG169*CJ169*VLOOKUP('Données projet'!$B$12,Paramètres!$A$1:$I$89,3,0)*0.475*44/12</f>
        <v>0</v>
      </c>
      <c r="CN169" s="22">
        <f t="shared" si="172"/>
        <v>78.552357774030398</v>
      </c>
      <c r="CO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319</v>
      </c>
      <c r="CU169" s="17">
        <f>CT169*VLOOKUP('Données projet'!$B$13,Paramètres!$A$1:$I$89,3,0)*VLOOKUP('Données projet'!$B$13,Paramètres!$A$1:$I$89,5,0)</f>
        <v>233.89079999999998</v>
      </c>
      <c r="CV169" s="13">
        <f t="shared" si="173"/>
        <v>57.123140349023068</v>
      </c>
      <c r="CW169" s="20">
        <f t="shared" si="174"/>
        <v>506.84927944121517</v>
      </c>
      <c r="CX169" s="59">
        <f t="shared" si="122"/>
        <v>795.16397363607859</v>
      </c>
      <c r="CY169" s="59">
        <f ca="1">AVERAGE(OFFSET($CX$3,0,0,'Données projet'!$E$13+1,1))-AVERAGE(OFFSET($H$3,0,0,'Données projet'!$E$13+1,1))</f>
        <v>352.45777291109863</v>
      </c>
      <c r="CZ169" s="59">
        <f t="shared" si="150"/>
        <v>340.92165104349181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7.2393375874391355</v>
      </c>
      <c r="DG169" s="21">
        <f>EXP(-LN(2)/25)*DG168+(1-EXP(-LN(2)/25))/(LN(2)/25)*Calculateur!DB169*Calculateur!DD169*VLOOKUP('Données projet'!$B$13,Paramètres!$A$1:$I$89,3,0)*0.475*44/12</f>
        <v>0</v>
      </c>
      <c r="DH169" s="21">
        <f>EXP(-LN(2)/2)*DH168+(1-EXP(-LN(2)/2))/(LN(2)/2)*DB169*DE169*VLOOKUP('Données projet'!$B$13,Paramètres!$A$1:$I$89,3,0)*0.475*44/12</f>
        <v>0</v>
      </c>
      <c r="DI169" s="22">
        <f t="shared" si="175"/>
        <v>7.2393375874391355</v>
      </c>
      <c r="DJ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19.8100000000004</v>
      </c>
      <c r="DP169" s="17">
        <f>DO169*VLOOKUP('Données projet'!$B$14,Paramètres!$A$1:$I$89,3,0)*VLOOKUP('Données projet'!$B$14,Paramètres!$A$1:$I$89,5,0)</f>
        <v>13.288548000000269</v>
      </c>
      <c r="DQ169" s="13">
        <f t="shared" si="176"/>
        <v>4.531654695205642</v>
      </c>
      <c r="DR169" s="20">
        <f t="shared" si="177"/>
        <v>31.036853027483627</v>
      </c>
      <c r="DS169" s="59">
        <f t="shared" si="125"/>
        <v>319.35154722234705</v>
      </c>
      <c r="DT169" s="59">
        <f ca="1">AVERAGE(OFFSET($DS$3,0,0,'Données projet'!$E$14+1,1))-AVERAGE(OFFSET($H$3,0,0,'Données projet'!$E$14+1,1))</f>
        <v>441.20130048888439</v>
      </c>
      <c r="DU169" s="59">
        <f t="shared" si="152"/>
        <v>237.47732532183946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126.59820354738247</v>
      </c>
      <c r="EB169" s="21">
        <f>EXP(-LN(2)/25)*EB168+(1-EXP(-LN(2)/25))/(LN(2)/25)*Calculateur!DW169*Calculateur!DY169*VLOOKUP('Données projet'!$B$14,Paramètres!$A$1:$I$89,3,0)*0.475*44/12</f>
        <v>0</v>
      </c>
      <c r="EC169" s="21">
        <f>EXP(-LN(2)/2)*EC168+(1-EXP(-LN(2)/2))/(LN(2)/2)*DW169*DZ169*VLOOKUP('Données projet'!$B$14,Paramètres!$A$1:$I$89,3,0)*0.475*44/12</f>
        <v>0</v>
      </c>
      <c r="ED169" s="22">
        <f t="shared" si="178"/>
        <v>126.59820354738247</v>
      </c>
      <c r="EE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319</v>
      </c>
      <c r="EK169" s="17">
        <f>EJ169*VLOOKUP('Données projet'!$B$15,Paramètres!$A$1:$I$89,3,0)*VLOOKUP('Données projet'!$B$15,Paramètres!$A$1:$I$89,5,0)</f>
        <v>253.79640000000001</v>
      </c>
      <c r="EL169" s="13">
        <f t="shared" si="179"/>
        <v>61.39816832228076</v>
      </c>
      <c r="EM169" s="20">
        <f t="shared" si="180"/>
        <v>548.96387316130563</v>
      </c>
      <c r="EN169" s="59">
        <f t="shared" si="128"/>
        <v>837.27856735616911</v>
      </c>
      <c r="EO169" s="59">
        <f ca="1">AVERAGE(OFFSET($EN$3,0,0,'Données projet'!$E$15+1,1))-AVERAGE(OFFSET($H$3,0,0,'Données projet'!$E$15+1,1))</f>
        <v>377.27600411578322</v>
      </c>
      <c r="EP169" s="59">
        <f t="shared" si="154"/>
        <v>364.58250627635425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>
        <f>EXP(-LN(2)/35)*EV168+(1-EXP(-LN(2)/35))/(LN(2)/35)*ER169*ES169*VLOOKUP('Données projet'!$B$15,Paramètres!$A$1:$I$89,3,0)*0.475*44/12</f>
        <v>9.6823005931954356</v>
      </c>
      <c r="EW169" s="21">
        <f>EXP(-LN(2)/25)*EW168+(1-EXP(-LN(2)/25))/(LN(2)/25)*Calculateur!ER169*Calculateur!ET169*VLOOKUP('Données projet'!$B$15,Paramètres!$A$1:$I$89,3,0)*0.475*44/12</f>
        <v>0</v>
      </c>
      <c r="EX169" s="21">
        <f>EXP(-LN(2)/2)*EX168+(1-EXP(-LN(2)/2))/(LN(2)/2)*ER169*EU169*VLOOKUP('Données projet'!$B$15,Paramètres!$A$1:$I$89,3,0)*0.475*44/12</f>
        <v>0</v>
      </c>
      <c r="EY169" s="22">
        <f t="shared" si="181"/>
        <v>9.6823005931954356</v>
      </c>
      <c r="EZ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319</v>
      </c>
      <c r="FF169" s="17">
        <f>FE169*VLOOKUP('Données projet'!$B$16,Paramètres!$A$1:$I$89,3,0)*VLOOKUP('Données projet'!$B$16,Paramètres!$A$1:$I$89,5,0)</f>
        <v>258.77280000000002</v>
      </c>
      <c r="FG169" s="13">
        <f t="shared" si="182"/>
        <v>62.460716522234691</v>
      </c>
      <c r="FH169" s="20">
        <f t="shared" si="183"/>
        <v>559.48170794289206</v>
      </c>
      <c r="FI169" s="59">
        <f t="shared" si="131"/>
        <v>847.79640213775542</v>
      </c>
      <c r="FJ169" s="59">
        <f ca="1">AVERAGE(OFFSET($FI$3,0,0,'Données projet'!$E$16+1,1))-AVERAGE(OFFSET($H$3,0,0,'Données projet'!$E$16+1,1))</f>
        <v>383.47399633251354</v>
      </c>
      <c r="FK169" s="59">
        <f t="shared" si="156"/>
        <v>370.49129421395628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>
        <f>EXP(-LN(2)/35)*FQ168+(1-EXP(-LN(2)/35))/(LN(2)/35)*FM169*FN169*VLOOKUP('Données projet'!$B$16,Paramètres!$A$1:$I$89,3,0)*0.475*44/12</f>
        <v>9.8721496244345719</v>
      </c>
      <c r="FR169" s="21">
        <f>EXP(-LN(2)/25)*FR168+(1-EXP(-LN(2)/25))/(LN(2)/25)*Calculateur!FM169*Calculateur!FO169*VLOOKUP('Données projet'!$B$16,Paramètres!$A$1:$I$89,3,0)*0.475*44/12</f>
        <v>0</v>
      </c>
      <c r="FS169" s="21">
        <f>EXP(-LN(2)/2)*FS168+(1-EXP(-LN(2)/2))/(LN(2)/2)*FM169*FP169*VLOOKUP('Données projet'!$B$16,Paramètres!$A$1:$I$89,3,0)*0.475*44/12</f>
        <v>0</v>
      </c>
      <c r="FT169" s="22">
        <f t="shared" si="184"/>
        <v>9.8721496244345719</v>
      </c>
      <c r="FU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19.8100000000004</v>
      </c>
      <c r="GA169" s="17">
        <f>FZ169*VLOOKUP('Données projet'!$B$17,Paramètres!$A$1:$I$89,3,0)*VLOOKUP('Données projet'!$B$17,Paramètres!$A$1:$I$89,5,0)</f>
        <v>18.851196000000382</v>
      </c>
      <c r="GB169" s="13">
        <f t="shared" si="185"/>
        <v>6.172221809210666</v>
      </c>
      <c r="GC169" s="20">
        <f t="shared" si="186"/>
        <v>43.582452684375909</v>
      </c>
      <c r="GD169" s="59">
        <f t="shared" si="134"/>
        <v>331.89714687923936</v>
      </c>
      <c r="GE169" s="59">
        <f ca="1">AVERAGE(OFFSET($GD$3,0,0,'Données projet'!$E$17+1,1))-AVERAGE(OFFSET($H$3,0,0,'Données projet'!$E$17+1,1))</f>
        <v>592.58528889137358</v>
      </c>
      <c r="GF169" s="59">
        <f t="shared" si="158"/>
        <v>311.31528020403709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>
        <f>EXP(-LN(2)/35)*GL168+(1-EXP(-LN(2)/35))/(LN(2)/35)*GH169*GI169*VLOOKUP('Données projet'!$B$17,Paramètres!$A$1:$I$89,3,0)*0.475*44/12</f>
        <v>145.70736634698738</v>
      </c>
      <c r="GM169" s="21">
        <f>EXP(-LN(2)/25)*GM168+(1-EXP(-LN(2)/25))/(LN(2)/25)*Calculateur!GH169*Calculateur!GJ169*VLOOKUP('Données projet'!$B$17,Paramètres!$A$1:$I$89,3,0)*0.475*44/12</f>
        <v>0</v>
      </c>
      <c r="GN169" s="21">
        <f>EXP(-LN(2)/2)*GN168+(1-EXP(-LN(2)/2))/(LN(2)/2)*GH169*GK169*VLOOKUP('Données projet'!$B$17,Paramètres!$A$1:$I$89,3,0)*0.475*44/12</f>
        <v>0</v>
      </c>
      <c r="GO169" s="21">
        <f t="shared" si="187"/>
        <v>145.70736634698738</v>
      </c>
      <c r="GP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328.00000000000006</v>
      </c>
      <c r="GV169" s="17">
        <f>GU169*VLOOKUP('Données projet'!$B$18,Paramètres!$A$1:$I$89,3,0)*VLOOKUP('Données projet'!$B$18,Paramètres!$A$1:$I$89,5,0)</f>
        <v>255.84000000000006</v>
      </c>
      <c r="GW169" s="13">
        <f t="shared" si="188"/>
        <v>61.834803371075836</v>
      </c>
      <c r="GX169" s="20">
        <f t="shared" si="189"/>
        <v>553.28361587129041</v>
      </c>
      <c r="GY169" s="59">
        <f t="shared" si="137"/>
        <v>841.59831006615377</v>
      </c>
      <c r="GZ169" s="59">
        <f ca="1">AVERAGE(OFFSET($GY$3,0,0,'Données projet'!$E$18+1,1))-AVERAGE(OFFSET($H$3,0,0,'Données projet'!$E$18+1,1))</f>
        <v>308.85018589589453</v>
      </c>
      <c r="HA169" s="59">
        <f t="shared" si="160"/>
        <v>302.59481222418219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>
        <f>EXP(-LN(2)/35)*HG168+(1-EXP(-LN(2)/35))/(LN(2)/35)*HC169*HD169*VLOOKUP('Données projet'!$B$18,Paramètres!$A$1:$I$89,3,0)*0.475*44/12</f>
        <v>7.3786470048439892</v>
      </c>
      <c r="HH169" s="21">
        <f>EXP(-LN(2)/25)*HH168+(1-EXP(-LN(2)/25))/(LN(2)/25)*Calculateur!HC169*Calculateur!HE169*VLOOKUP('Données projet'!$B$18,Paramètres!$A$1:$I$89,3,0)*0.475*44/12</f>
        <v>0</v>
      </c>
      <c r="HI169" s="21">
        <f>EXP(-LN(2)/2)*HI168+(1-EXP(-LN(2)/2))/(LN(2)/2)*HC169*HF169*VLOOKUP('Données projet'!$B$18,Paramètres!$A$1:$I$89,3,0)*0.475*44/12</f>
        <v>0</v>
      </c>
      <c r="HJ169" s="22">
        <f t="shared" si="190"/>
        <v>7.3786470048439892</v>
      </c>
    </row>
    <row r="170" spans="1:218" x14ac:dyDescent="0.35">
      <c r="A170" s="10">
        <f t="shared" si="161"/>
        <v>167</v>
      </c>
      <c r="B170" s="72">
        <f>'Scénario référence'!$B$16*5+'Scénario référence'!$B$17*0+'Scénario référence'!$B$18*5</f>
        <v>5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66">
        <f t="shared" si="110"/>
        <v>183.33333333333334</v>
      </c>
      <c r="I170" s="6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19.8100000000004</v>
      </c>
      <c r="O170" s="13">
        <f>N170*VLOOKUP('Données projet'!$B$9,Paramètres!$A$1:$I$89,3,0)*VLOOKUP('Données projet'!$B$9,Paramètres!$A$1:$I$89,5,0)</f>
        <v>17.924088000000364</v>
      </c>
      <c r="P170" s="13">
        <f t="shared" si="141"/>
        <v>5.9032212091029486</v>
      </c>
      <c r="Q170" s="20">
        <f t="shared" si="162"/>
        <v>41.499230205854936</v>
      </c>
      <c r="R170" s="59">
        <f t="shared" si="109"/>
        <v>329.90098656977455</v>
      </c>
      <c r="S170" s="59">
        <f ca="1">AVERAGE(OFFSET($R$3,0,0,'Données projet'!$E$9+1,1))-AVERAGE(OFFSET($H$3,0,0,'Données projet'!$E$9+1,1))</f>
        <v>567.42635821507474</v>
      </c>
      <c r="T170" s="59">
        <f t="shared" si="142"/>
        <v>299.04735309930152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135.82471735093733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135.82471735093733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19.8100000000004</v>
      </c>
      <c r="AJ170" s="13">
        <f>AI170*VLOOKUP('Données projet'!$B$10,Paramètres!$A$1:$I$89,3,0)*VLOOKUP('Données projet'!$B$10,Paramètres!$A$1:$I$89,5,0)</f>
        <v>20.08734000000041</v>
      </c>
      <c r="AK170" s="13">
        <f t="shared" si="164"/>
        <v>6.5285137703520215</v>
      </c>
      <c r="AL170" s="20">
        <f t="shared" si="165"/>
        <v>46.355945316697152</v>
      </c>
      <c r="AM170" s="59">
        <f t="shared" si="113"/>
        <v>334.75770168061678</v>
      </c>
      <c r="AN170" s="59">
        <f ca="1">AVERAGE(OFFSET($AM$3,0,0,'Données projet'!$E$10+1,1))-AVERAGE(OFFSET($H$3,0,0,'Données projet'!$E$10+1,1))</f>
        <v>626.09203985591455</v>
      </c>
      <c r="AO170" s="59">
        <f t="shared" si="144"/>
        <v>327.65191296575199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152.21735565191256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152.21735565191256</v>
      </c>
      <c r="AY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404.00000000000017</v>
      </c>
      <c r="BE170" s="13">
        <f>BD170*VLOOKUP('Données projet'!$B$11,Paramètres!$A$1:$I$89,3,0)*VLOOKUP('Données projet'!$B$11,Paramètres!$A$1:$I$89,5,0)</f>
        <v>346.63200000000018</v>
      </c>
      <c r="BF170" s="13">
        <f t="shared" si="167"/>
        <v>80.868615263336864</v>
      </c>
      <c r="BG170" s="20">
        <f t="shared" si="168"/>
        <v>744.56357158364528</v>
      </c>
      <c r="BH170" s="59">
        <f t="shared" si="116"/>
        <v>1032.9653279475649</v>
      </c>
      <c r="BI170" s="59">
        <f ca="1">AVERAGE(OFFSET($BH$3,0,0,'Données projet'!$E$11+1,1))-AVERAGE(OFFSET($H$3,0,0,'Données projet'!$E$11+1,1))</f>
        <v>481.23392184981651</v>
      </c>
      <c r="BJ170" s="59">
        <f t="shared" si="146"/>
        <v>275.88160405468193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39.406453238458667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39.406453238458667</v>
      </c>
      <c r="BT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5.2499999999990337</v>
      </c>
      <c r="BZ170" s="13">
        <f>BY170*VLOOKUP('Données projet'!$B$12,Paramètres!$A$1:$I$89,3,0)*VLOOKUP('Données projet'!$B$12,Paramètres!$A$1:$I$89,5,0)</f>
        <v>2.4569999999995478</v>
      </c>
      <c r="CA170" s="13">
        <f t="shared" si="170"/>
        <v>1.0197977774625564</v>
      </c>
      <c r="CB170" s="20">
        <f t="shared" si="171"/>
        <v>6.0554227957464972</v>
      </c>
      <c r="CC170" s="59">
        <f t="shared" si="119"/>
        <v>294.45717915966611</v>
      </c>
      <c r="CD170" s="59">
        <f ca="1">AVERAGE(OFFSET($CC$3,0,0,'Données projet'!$E$12+1,1))-AVERAGE(OFFSET($H$3,0,0,'Données projet'!$E$12+1,1))</f>
        <v>331.86732359395467</v>
      </c>
      <c r="CE170" s="59">
        <f t="shared" si="148"/>
        <v>208.64489375183106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77.011993950288968</v>
      </c>
      <c r="CL170" s="21">
        <f>EXP(-LN(2)/25)*CL169+(1-EXP(-LN(2)/25))/(LN(2)/25)*Calculateur!CG170*Calculateur!CI170*VLOOKUP('Données projet'!$B$12,Paramètres!$A$1:$I$89,3,0)*0.475*44/12</f>
        <v>0</v>
      </c>
      <c r="CM170" s="21">
        <f>EXP(-LN(2)/2)*CM169+(1-EXP(-LN(2)/2))/(LN(2)/2)*CG170*CJ170*VLOOKUP('Données projet'!$B$12,Paramètres!$A$1:$I$89,3,0)*0.475*44/12</f>
        <v>0</v>
      </c>
      <c r="CN170" s="22">
        <f t="shared" si="172"/>
        <v>77.011993950288968</v>
      </c>
      <c r="CO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319</v>
      </c>
      <c r="CU170" s="17">
        <f>CT170*VLOOKUP('Données projet'!$B$13,Paramètres!$A$1:$I$89,3,0)*VLOOKUP('Données projet'!$B$13,Paramètres!$A$1:$I$89,5,0)</f>
        <v>233.89079999999998</v>
      </c>
      <c r="CV170" s="13">
        <f t="shared" si="173"/>
        <v>57.123140349023068</v>
      </c>
      <c r="CW170" s="20">
        <f t="shared" si="174"/>
        <v>506.84927944121517</v>
      </c>
      <c r="CX170" s="59">
        <f t="shared" si="122"/>
        <v>795.25103580513473</v>
      </c>
      <c r="CY170" s="59">
        <f ca="1">AVERAGE(OFFSET($CX$3,0,0,'Données projet'!$E$13+1,1))-AVERAGE(OFFSET($H$3,0,0,'Données projet'!$E$13+1,1))</f>
        <v>352.45777291109863</v>
      </c>
      <c r="CZ170" s="59">
        <f t="shared" si="150"/>
        <v>340.92165104349181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7.097378592909382</v>
      </c>
      <c r="DG170" s="21">
        <f>EXP(-LN(2)/25)*DG169+(1-EXP(-LN(2)/25))/(LN(2)/25)*Calculateur!DB170*Calculateur!DD170*VLOOKUP('Données projet'!$B$13,Paramètres!$A$1:$I$89,3,0)*0.475*44/12</f>
        <v>0</v>
      </c>
      <c r="DH170" s="21">
        <f>EXP(-LN(2)/2)*DH169+(1-EXP(-LN(2)/2))/(LN(2)/2)*DB170*DE170*VLOOKUP('Données projet'!$B$13,Paramètres!$A$1:$I$89,3,0)*0.475*44/12</f>
        <v>0</v>
      </c>
      <c r="DI170" s="22">
        <f t="shared" si="175"/>
        <v>7.097378592909382</v>
      </c>
      <c r="DJ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19.8100000000004</v>
      </c>
      <c r="DP170" s="17">
        <f>DO170*VLOOKUP('Données projet'!$B$14,Paramètres!$A$1:$I$89,3,0)*VLOOKUP('Données projet'!$B$14,Paramètres!$A$1:$I$89,5,0)</f>
        <v>13.288548000000269</v>
      </c>
      <c r="DQ170" s="13">
        <f t="shared" si="176"/>
        <v>4.531654695205642</v>
      </c>
      <c r="DR170" s="20">
        <f t="shared" si="177"/>
        <v>31.036853027483627</v>
      </c>
      <c r="DS170" s="59">
        <f t="shared" si="125"/>
        <v>319.43860939140325</v>
      </c>
      <c r="DT170" s="59">
        <f ca="1">AVERAGE(OFFSET($DS$3,0,0,'Données projet'!$E$14+1,1))-AVERAGE(OFFSET($H$3,0,0,'Données projet'!$E$14+1,1))</f>
        <v>441.20130048888439</v>
      </c>
      <c r="DU170" s="59">
        <f t="shared" si="152"/>
        <v>237.47732532183946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124.11568999309789</v>
      </c>
      <c r="EB170" s="21">
        <f>EXP(-LN(2)/25)*EB169+(1-EXP(-LN(2)/25))/(LN(2)/25)*Calculateur!DW170*Calculateur!DY170*VLOOKUP('Données projet'!$B$14,Paramètres!$A$1:$I$89,3,0)*0.475*44/12</f>
        <v>0</v>
      </c>
      <c r="EC170" s="21">
        <f>EXP(-LN(2)/2)*EC169+(1-EXP(-LN(2)/2))/(LN(2)/2)*DW170*DZ170*VLOOKUP('Données projet'!$B$14,Paramètres!$A$1:$I$89,3,0)*0.475*44/12</f>
        <v>0</v>
      </c>
      <c r="ED170" s="22">
        <f t="shared" si="178"/>
        <v>124.11568999309789</v>
      </c>
      <c r="EE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319</v>
      </c>
      <c r="EK170" s="17">
        <f>EJ170*VLOOKUP('Données projet'!$B$15,Paramètres!$A$1:$I$89,3,0)*VLOOKUP('Données projet'!$B$15,Paramètres!$A$1:$I$89,5,0)</f>
        <v>253.79640000000001</v>
      </c>
      <c r="EL170" s="13">
        <f t="shared" si="179"/>
        <v>61.39816832228076</v>
      </c>
      <c r="EM170" s="20">
        <f t="shared" si="180"/>
        <v>548.96387316130563</v>
      </c>
      <c r="EN170" s="59">
        <f t="shared" si="128"/>
        <v>837.36562952522524</v>
      </c>
      <c r="EO170" s="59">
        <f ca="1">AVERAGE(OFFSET($EN$3,0,0,'Données projet'!$E$15+1,1))-AVERAGE(OFFSET($H$3,0,0,'Données projet'!$E$15+1,1))</f>
        <v>377.27600411578322</v>
      </c>
      <c r="EP170" s="59">
        <f t="shared" si="154"/>
        <v>364.58250627635425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>
        <f>EXP(-LN(2)/35)*EV169+(1-EXP(-LN(2)/35))/(LN(2)/35)*ER170*ES170*VLOOKUP('Données projet'!$B$15,Paramètres!$A$1:$I$89,3,0)*0.475*44/12</f>
        <v>9.4924365841831033</v>
      </c>
      <c r="EW170" s="21">
        <f>EXP(-LN(2)/25)*EW169+(1-EXP(-LN(2)/25))/(LN(2)/25)*Calculateur!ER170*Calculateur!ET170*VLOOKUP('Données projet'!$B$15,Paramètres!$A$1:$I$89,3,0)*0.475*44/12</f>
        <v>0</v>
      </c>
      <c r="EX170" s="21">
        <f>EXP(-LN(2)/2)*EX169+(1-EXP(-LN(2)/2))/(LN(2)/2)*ER170*EU170*VLOOKUP('Données projet'!$B$15,Paramètres!$A$1:$I$89,3,0)*0.475*44/12</f>
        <v>0</v>
      </c>
      <c r="EY170" s="22">
        <f t="shared" si="181"/>
        <v>9.4924365841831033</v>
      </c>
      <c r="EZ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319</v>
      </c>
      <c r="FF170" s="17">
        <f>FE170*VLOOKUP('Données projet'!$B$16,Paramètres!$A$1:$I$89,3,0)*VLOOKUP('Données projet'!$B$16,Paramètres!$A$1:$I$89,5,0)</f>
        <v>258.77280000000002</v>
      </c>
      <c r="FG170" s="13">
        <f t="shared" si="182"/>
        <v>62.460716522234691</v>
      </c>
      <c r="FH170" s="20">
        <f t="shared" si="183"/>
        <v>559.48170794289206</v>
      </c>
      <c r="FI170" s="59">
        <f t="shared" si="131"/>
        <v>847.88346430681167</v>
      </c>
      <c r="FJ170" s="59">
        <f ca="1">AVERAGE(OFFSET($FI$3,0,0,'Données projet'!$E$16+1,1))-AVERAGE(OFFSET($H$3,0,0,'Données projet'!$E$16+1,1))</f>
        <v>383.47399633251354</v>
      </c>
      <c r="FK170" s="59">
        <f t="shared" si="156"/>
        <v>370.49129421395628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>
        <f>EXP(-LN(2)/35)*FQ169+(1-EXP(-LN(2)/35))/(LN(2)/35)*FM170*FN170*VLOOKUP('Données projet'!$B$16,Paramètres!$A$1:$I$89,3,0)*0.475*44/12</f>
        <v>9.6785627917161161</v>
      </c>
      <c r="FR170" s="21">
        <f>EXP(-LN(2)/25)*FR169+(1-EXP(-LN(2)/25))/(LN(2)/25)*Calculateur!FM170*Calculateur!FO170*VLOOKUP('Données projet'!$B$16,Paramètres!$A$1:$I$89,3,0)*0.475*44/12</f>
        <v>0</v>
      </c>
      <c r="FS170" s="21">
        <f>EXP(-LN(2)/2)*FS169+(1-EXP(-LN(2)/2))/(LN(2)/2)*FM170*FP170*VLOOKUP('Données projet'!$B$16,Paramètres!$A$1:$I$89,3,0)*0.475*44/12</f>
        <v>0</v>
      </c>
      <c r="FT170" s="22">
        <f t="shared" si="184"/>
        <v>9.6785627917161161</v>
      </c>
      <c r="FU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19.8100000000004</v>
      </c>
      <c r="GA170" s="17">
        <f>FZ170*VLOOKUP('Données projet'!$B$17,Paramètres!$A$1:$I$89,3,0)*VLOOKUP('Données projet'!$B$17,Paramètres!$A$1:$I$89,5,0)</f>
        <v>18.851196000000382</v>
      </c>
      <c r="GB170" s="13">
        <f t="shared" si="185"/>
        <v>6.172221809210666</v>
      </c>
      <c r="GC170" s="20">
        <f t="shared" si="186"/>
        <v>43.582452684375909</v>
      </c>
      <c r="GD170" s="59">
        <f t="shared" si="134"/>
        <v>331.9842090482955</v>
      </c>
      <c r="GE170" s="59">
        <f ca="1">AVERAGE(OFFSET($GD$3,0,0,'Données projet'!$E$17+1,1))-AVERAGE(OFFSET($H$3,0,0,'Données projet'!$E$17+1,1))</f>
        <v>592.58528889137358</v>
      </c>
      <c r="GF170" s="59">
        <f t="shared" si="158"/>
        <v>311.31528020403709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>
        <f>EXP(-LN(2)/35)*GL169+(1-EXP(-LN(2)/35))/(LN(2)/35)*GH170*GI170*VLOOKUP('Données projet'!$B$17,Paramètres!$A$1:$I$89,3,0)*0.475*44/12</f>
        <v>142.85013376564098</v>
      </c>
      <c r="GM170" s="21">
        <f>EXP(-LN(2)/25)*GM169+(1-EXP(-LN(2)/25))/(LN(2)/25)*Calculateur!GH170*Calculateur!GJ170*VLOOKUP('Données projet'!$B$17,Paramètres!$A$1:$I$89,3,0)*0.475*44/12</f>
        <v>0</v>
      </c>
      <c r="GN170" s="21">
        <f>EXP(-LN(2)/2)*GN169+(1-EXP(-LN(2)/2))/(LN(2)/2)*GH170*GK170*VLOOKUP('Données projet'!$B$17,Paramètres!$A$1:$I$89,3,0)*0.475*44/12</f>
        <v>0</v>
      </c>
      <c r="GO170" s="21">
        <f t="shared" si="187"/>
        <v>142.85013376564098</v>
      </c>
      <c r="GP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328.00000000000006</v>
      </c>
      <c r="GV170" s="17">
        <f>GU170*VLOOKUP('Données projet'!$B$18,Paramètres!$A$1:$I$89,3,0)*VLOOKUP('Données projet'!$B$18,Paramètres!$A$1:$I$89,5,0)</f>
        <v>255.84000000000006</v>
      </c>
      <c r="GW170" s="13">
        <f t="shared" si="188"/>
        <v>61.834803371075836</v>
      </c>
      <c r="GX170" s="20">
        <f t="shared" si="189"/>
        <v>553.28361587129041</v>
      </c>
      <c r="GY170" s="59">
        <f t="shared" si="137"/>
        <v>841.68537223521002</v>
      </c>
      <c r="GZ170" s="59">
        <f ca="1">AVERAGE(OFFSET($GY$3,0,0,'Données projet'!$E$18+1,1))-AVERAGE(OFFSET($H$3,0,0,'Données projet'!$E$18+1,1))</f>
        <v>308.85018589589453</v>
      </c>
      <c r="HA170" s="59">
        <f t="shared" si="160"/>
        <v>302.59481222418219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>
        <f>EXP(-LN(2)/35)*HG169+(1-EXP(-LN(2)/35))/(LN(2)/35)*HC170*HD170*VLOOKUP('Données projet'!$B$18,Paramètres!$A$1:$I$89,3,0)*0.475*44/12</f>
        <v>7.2339562376092807</v>
      </c>
      <c r="HH170" s="21">
        <f>EXP(-LN(2)/25)*HH169+(1-EXP(-LN(2)/25))/(LN(2)/25)*Calculateur!HC170*Calculateur!HE170*VLOOKUP('Données projet'!$B$18,Paramètres!$A$1:$I$89,3,0)*0.475*44/12</f>
        <v>0</v>
      </c>
      <c r="HI170" s="21">
        <f>EXP(-LN(2)/2)*HI169+(1-EXP(-LN(2)/2))/(LN(2)/2)*HC170*HF170*VLOOKUP('Données projet'!$B$18,Paramètres!$A$1:$I$89,3,0)*0.475*44/12</f>
        <v>0</v>
      </c>
      <c r="HJ170" s="22">
        <f t="shared" si="190"/>
        <v>7.2339562376092807</v>
      </c>
    </row>
    <row r="171" spans="1:218" x14ac:dyDescent="0.35">
      <c r="A171" s="10">
        <f t="shared" si="161"/>
        <v>168</v>
      </c>
      <c r="B171" s="72">
        <f>'Scénario référence'!$B$16*5+'Scénario référence'!$B$17*0+'Scénario référence'!$B$18*5</f>
        <v>5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66">
        <f t="shared" si="110"/>
        <v>183.33333333333334</v>
      </c>
      <c r="I171" s="6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19.8100000000004</v>
      </c>
      <c r="O171" s="13">
        <f>N171*VLOOKUP('Données projet'!$B$9,Paramètres!$A$1:$I$89,3,0)*VLOOKUP('Données projet'!$B$9,Paramètres!$A$1:$I$89,5,0)</f>
        <v>17.924088000000364</v>
      </c>
      <c r="P171" s="13">
        <f t="shared" si="141"/>
        <v>5.9032212091029486</v>
      </c>
      <c r="Q171" s="20">
        <f t="shared" si="162"/>
        <v>41.499230205854936</v>
      </c>
      <c r="R171" s="59">
        <f t="shared" si="109"/>
        <v>329.98653840483945</v>
      </c>
      <c r="S171" s="59">
        <f ca="1">AVERAGE(OFFSET($R$3,0,0,'Données projet'!$E$9+1,1))-AVERAGE(OFFSET($H$3,0,0,'Données projet'!$E$9+1,1))</f>
        <v>567.42635821507474</v>
      </c>
      <c r="T171" s="59">
        <f t="shared" si="142"/>
        <v>299.04735309930152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133.16127748858278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133.16127748858278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19.8100000000004</v>
      </c>
      <c r="AJ171" s="13">
        <f>AI171*VLOOKUP('Données projet'!$B$10,Paramètres!$A$1:$I$89,3,0)*VLOOKUP('Données projet'!$B$10,Paramètres!$A$1:$I$89,5,0)</f>
        <v>20.08734000000041</v>
      </c>
      <c r="AK171" s="13">
        <f t="shared" si="164"/>
        <v>6.5285137703520215</v>
      </c>
      <c r="AL171" s="20">
        <f t="shared" si="165"/>
        <v>46.355945316697152</v>
      </c>
      <c r="AM171" s="59">
        <f t="shared" si="113"/>
        <v>334.84325351568168</v>
      </c>
      <c r="AN171" s="59">
        <f ca="1">AVERAGE(OFFSET($AM$3,0,0,'Données projet'!$E$10+1,1))-AVERAGE(OFFSET($H$3,0,0,'Données projet'!$E$10+1,1))</f>
        <v>626.09203985591455</v>
      </c>
      <c r="AO171" s="59">
        <f t="shared" si="144"/>
        <v>327.65191296575199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149.23246615099796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149.23246615099796</v>
      </c>
      <c r="AY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404.00000000000017</v>
      </c>
      <c r="BE171" s="13">
        <f>BD171*VLOOKUP('Données projet'!$B$11,Paramètres!$A$1:$I$89,3,0)*VLOOKUP('Données projet'!$B$11,Paramètres!$A$1:$I$89,5,0)</f>
        <v>346.63200000000018</v>
      </c>
      <c r="BF171" s="13">
        <f t="shared" si="167"/>
        <v>80.868615263336864</v>
      </c>
      <c r="BG171" s="20">
        <f t="shared" si="168"/>
        <v>744.56357158364528</v>
      </c>
      <c r="BH171" s="59">
        <f t="shared" si="116"/>
        <v>1033.0508797826299</v>
      </c>
      <c r="BI171" s="59">
        <f ca="1">AVERAGE(OFFSET($BH$3,0,0,'Données projet'!$E$11+1,1))-AVERAGE(OFFSET($H$3,0,0,'Données projet'!$E$11+1,1))</f>
        <v>481.23392184981651</v>
      </c>
      <c r="BJ171" s="59">
        <f t="shared" si="146"/>
        <v>275.88160405468193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38.633716726015656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38.633716726015656</v>
      </c>
      <c r="BT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5.2499999999990337</v>
      </c>
      <c r="BZ171" s="13">
        <f>BY171*VLOOKUP('Données projet'!$B$12,Paramètres!$A$1:$I$89,3,0)*VLOOKUP('Données projet'!$B$12,Paramètres!$A$1:$I$89,5,0)</f>
        <v>2.4569999999995478</v>
      </c>
      <c r="CA171" s="13">
        <f t="shared" si="170"/>
        <v>1.0197977774625564</v>
      </c>
      <c r="CB171" s="20">
        <f t="shared" si="171"/>
        <v>6.0554227957464972</v>
      </c>
      <c r="CC171" s="59">
        <f t="shared" si="119"/>
        <v>294.54273099473102</v>
      </c>
      <c r="CD171" s="59">
        <f ca="1">AVERAGE(OFFSET($CC$3,0,0,'Données projet'!$E$12+1,1))-AVERAGE(OFFSET($H$3,0,0,'Données projet'!$E$12+1,1))</f>
        <v>331.86732359395467</v>
      </c>
      <c r="CE171" s="59">
        <f t="shared" si="148"/>
        <v>208.64489375183106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75.50183572160195</v>
      </c>
      <c r="CL171" s="21">
        <f>EXP(-LN(2)/25)*CL170+(1-EXP(-LN(2)/25))/(LN(2)/25)*Calculateur!CG171*Calculateur!CI171*VLOOKUP('Données projet'!$B$12,Paramètres!$A$1:$I$89,3,0)*0.475*44/12</f>
        <v>0</v>
      </c>
      <c r="CM171" s="21">
        <f>EXP(-LN(2)/2)*CM170+(1-EXP(-LN(2)/2))/(LN(2)/2)*CG171*CJ171*VLOOKUP('Données projet'!$B$12,Paramètres!$A$1:$I$89,3,0)*0.475*44/12</f>
        <v>0</v>
      </c>
      <c r="CN171" s="22">
        <f t="shared" si="172"/>
        <v>75.50183572160195</v>
      </c>
      <c r="CO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319</v>
      </c>
      <c r="CU171" s="17">
        <f>CT171*VLOOKUP('Données projet'!$B$13,Paramètres!$A$1:$I$89,3,0)*VLOOKUP('Données projet'!$B$13,Paramètres!$A$1:$I$89,5,0)</f>
        <v>233.89079999999998</v>
      </c>
      <c r="CV171" s="13">
        <f t="shared" si="173"/>
        <v>57.123140349023068</v>
      </c>
      <c r="CW171" s="20">
        <f t="shared" si="174"/>
        <v>506.84927944121517</v>
      </c>
      <c r="CX171" s="59">
        <f t="shared" si="122"/>
        <v>795.3365876401997</v>
      </c>
      <c r="CY171" s="59">
        <f ca="1">AVERAGE(OFFSET($CX$3,0,0,'Données projet'!$E$13+1,1))-AVERAGE(OFFSET($H$3,0,0,'Données projet'!$E$13+1,1))</f>
        <v>352.45777291109863</v>
      </c>
      <c r="CZ171" s="59">
        <f t="shared" si="150"/>
        <v>340.92165104349181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6.9582033276759203</v>
      </c>
      <c r="DG171" s="21">
        <f>EXP(-LN(2)/25)*DG170+(1-EXP(-LN(2)/25))/(LN(2)/25)*Calculateur!DB171*Calculateur!DD171*VLOOKUP('Données projet'!$B$13,Paramètres!$A$1:$I$89,3,0)*0.475*44/12</f>
        <v>0</v>
      </c>
      <c r="DH171" s="21">
        <f>EXP(-LN(2)/2)*DH170+(1-EXP(-LN(2)/2))/(LN(2)/2)*DB171*DE171*VLOOKUP('Données projet'!$B$13,Paramètres!$A$1:$I$89,3,0)*0.475*44/12</f>
        <v>0</v>
      </c>
      <c r="DI171" s="22">
        <f t="shared" si="175"/>
        <v>6.9582033276759203</v>
      </c>
      <c r="DJ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19.8100000000004</v>
      </c>
      <c r="DP171" s="17">
        <f>DO171*VLOOKUP('Données projet'!$B$14,Paramètres!$A$1:$I$89,3,0)*VLOOKUP('Données projet'!$B$14,Paramètres!$A$1:$I$89,5,0)</f>
        <v>13.288548000000269</v>
      </c>
      <c r="DQ171" s="13">
        <f t="shared" si="176"/>
        <v>4.531654695205642</v>
      </c>
      <c r="DR171" s="20">
        <f t="shared" si="177"/>
        <v>31.036853027483627</v>
      </c>
      <c r="DS171" s="59">
        <f t="shared" si="125"/>
        <v>319.52416122646815</v>
      </c>
      <c r="DT171" s="59">
        <f ca="1">AVERAGE(OFFSET($DS$3,0,0,'Données projet'!$E$14+1,1))-AVERAGE(OFFSET($H$3,0,0,'Données projet'!$E$14+1,1))</f>
        <v>441.20130048888439</v>
      </c>
      <c r="DU171" s="59">
        <f t="shared" si="152"/>
        <v>237.47732532183946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121.68185701542907</v>
      </c>
      <c r="EB171" s="21">
        <f>EXP(-LN(2)/25)*EB170+(1-EXP(-LN(2)/25))/(LN(2)/25)*Calculateur!DW171*Calculateur!DY171*VLOOKUP('Données projet'!$B$14,Paramètres!$A$1:$I$89,3,0)*0.475*44/12</f>
        <v>0</v>
      </c>
      <c r="EC171" s="21">
        <f>EXP(-LN(2)/2)*EC170+(1-EXP(-LN(2)/2))/(LN(2)/2)*DW171*DZ171*VLOOKUP('Données projet'!$B$14,Paramètres!$A$1:$I$89,3,0)*0.475*44/12</f>
        <v>0</v>
      </c>
      <c r="ED171" s="22">
        <f t="shared" si="178"/>
        <v>121.68185701542907</v>
      </c>
      <c r="EE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319</v>
      </c>
      <c r="EK171" s="17">
        <f>EJ171*VLOOKUP('Données projet'!$B$15,Paramètres!$A$1:$I$89,3,0)*VLOOKUP('Données projet'!$B$15,Paramètres!$A$1:$I$89,5,0)</f>
        <v>253.79640000000001</v>
      </c>
      <c r="EL171" s="13">
        <f t="shared" si="179"/>
        <v>61.39816832228076</v>
      </c>
      <c r="EM171" s="20">
        <f t="shared" si="180"/>
        <v>548.96387316130563</v>
      </c>
      <c r="EN171" s="59">
        <f t="shared" si="128"/>
        <v>837.45118136029009</v>
      </c>
      <c r="EO171" s="59">
        <f ca="1">AVERAGE(OFFSET($EN$3,0,0,'Données projet'!$E$15+1,1))-AVERAGE(OFFSET($H$3,0,0,'Données projet'!$E$15+1,1))</f>
        <v>377.27600411578322</v>
      </c>
      <c r="EP171" s="59">
        <f t="shared" si="154"/>
        <v>364.58250627635425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>
        <f>EXP(-LN(2)/35)*EV170+(1-EXP(-LN(2)/35))/(LN(2)/35)*ER171*ES171*VLOOKUP('Données projet'!$B$15,Paramètres!$A$1:$I$89,3,0)*0.475*44/12</f>
        <v>9.3062956925818927</v>
      </c>
      <c r="EW171" s="21">
        <f>EXP(-LN(2)/25)*EW170+(1-EXP(-LN(2)/25))/(LN(2)/25)*Calculateur!ER171*Calculateur!ET171*VLOOKUP('Données projet'!$B$15,Paramètres!$A$1:$I$89,3,0)*0.475*44/12</f>
        <v>0</v>
      </c>
      <c r="EX171" s="21">
        <f>EXP(-LN(2)/2)*EX170+(1-EXP(-LN(2)/2))/(LN(2)/2)*ER171*EU171*VLOOKUP('Données projet'!$B$15,Paramètres!$A$1:$I$89,3,0)*0.475*44/12</f>
        <v>0</v>
      </c>
      <c r="EY171" s="22">
        <f t="shared" si="181"/>
        <v>9.3062956925818927</v>
      </c>
      <c r="EZ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319</v>
      </c>
      <c r="FF171" s="17">
        <f>FE171*VLOOKUP('Données projet'!$B$16,Paramètres!$A$1:$I$89,3,0)*VLOOKUP('Données projet'!$B$16,Paramètres!$A$1:$I$89,5,0)</f>
        <v>258.77280000000002</v>
      </c>
      <c r="FG171" s="13">
        <f t="shared" si="182"/>
        <v>62.460716522234691</v>
      </c>
      <c r="FH171" s="20">
        <f t="shared" si="183"/>
        <v>559.48170794289206</v>
      </c>
      <c r="FI171" s="59">
        <f t="shared" si="131"/>
        <v>847.96901614187664</v>
      </c>
      <c r="FJ171" s="59">
        <f ca="1">AVERAGE(OFFSET($FI$3,0,0,'Données projet'!$E$16+1,1))-AVERAGE(OFFSET($H$3,0,0,'Données projet'!$E$16+1,1))</f>
        <v>383.47399633251354</v>
      </c>
      <c r="FK171" s="59">
        <f t="shared" si="156"/>
        <v>370.49129421395628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>
        <f>EXP(-LN(2)/35)*FQ170+(1-EXP(-LN(2)/35))/(LN(2)/35)*FM171*FN171*VLOOKUP('Données projet'!$B$16,Paramètres!$A$1:$I$89,3,0)*0.475*44/12</f>
        <v>9.4887720787109604</v>
      </c>
      <c r="FR171" s="21">
        <f>EXP(-LN(2)/25)*FR170+(1-EXP(-LN(2)/25))/(LN(2)/25)*Calculateur!FM171*Calculateur!FO171*VLOOKUP('Données projet'!$B$16,Paramètres!$A$1:$I$89,3,0)*0.475*44/12</f>
        <v>0</v>
      </c>
      <c r="FS171" s="21">
        <f>EXP(-LN(2)/2)*FS170+(1-EXP(-LN(2)/2))/(LN(2)/2)*FM171*FP171*VLOOKUP('Données projet'!$B$16,Paramètres!$A$1:$I$89,3,0)*0.475*44/12</f>
        <v>0</v>
      </c>
      <c r="FT171" s="22">
        <f t="shared" si="184"/>
        <v>9.4887720787109604</v>
      </c>
      <c r="FU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19.8100000000004</v>
      </c>
      <c r="GA171" s="17">
        <f>FZ171*VLOOKUP('Données projet'!$B$17,Paramètres!$A$1:$I$89,3,0)*VLOOKUP('Données projet'!$B$17,Paramètres!$A$1:$I$89,5,0)</f>
        <v>18.851196000000382</v>
      </c>
      <c r="GB171" s="13">
        <f t="shared" si="185"/>
        <v>6.172221809210666</v>
      </c>
      <c r="GC171" s="20">
        <f t="shared" si="186"/>
        <v>43.582452684375909</v>
      </c>
      <c r="GD171" s="59">
        <f t="shared" si="134"/>
        <v>332.06976088336046</v>
      </c>
      <c r="GE171" s="59">
        <f ca="1">AVERAGE(OFFSET($GD$3,0,0,'Données projet'!$E$17+1,1))-AVERAGE(OFFSET($H$3,0,0,'Données projet'!$E$17+1,1))</f>
        <v>592.58528889137358</v>
      </c>
      <c r="GF171" s="59">
        <f t="shared" si="158"/>
        <v>311.31528020403709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>
        <f>EXP(-LN(2)/35)*GL170+(1-EXP(-LN(2)/35))/(LN(2)/35)*GH171*GI171*VLOOKUP('Données projet'!$B$17,Paramètres!$A$1:$I$89,3,0)*0.475*44/12</f>
        <v>140.04892977247499</v>
      </c>
      <c r="GM171" s="21">
        <f>EXP(-LN(2)/25)*GM170+(1-EXP(-LN(2)/25))/(LN(2)/25)*Calculateur!GH171*Calculateur!GJ171*VLOOKUP('Données projet'!$B$17,Paramètres!$A$1:$I$89,3,0)*0.475*44/12</f>
        <v>0</v>
      </c>
      <c r="GN171" s="21">
        <f>EXP(-LN(2)/2)*GN170+(1-EXP(-LN(2)/2))/(LN(2)/2)*GH171*GK171*VLOOKUP('Données projet'!$B$17,Paramètres!$A$1:$I$89,3,0)*0.475*44/12</f>
        <v>0</v>
      </c>
      <c r="GO171" s="21">
        <f t="shared" si="187"/>
        <v>140.04892977247499</v>
      </c>
      <c r="GP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328.00000000000006</v>
      </c>
      <c r="GV171" s="17">
        <f>GU171*VLOOKUP('Données projet'!$B$18,Paramètres!$A$1:$I$89,3,0)*VLOOKUP('Données projet'!$B$18,Paramètres!$A$1:$I$89,5,0)</f>
        <v>255.84000000000006</v>
      </c>
      <c r="GW171" s="13">
        <f t="shared" si="188"/>
        <v>61.834803371075836</v>
      </c>
      <c r="GX171" s="20">
        <f t="shared" si="189"/>
        <v>553.28361587129041</v>
      </c>
      <c r="GY171" s="59">
        <f t="shared" si="137"/>
        <v>841.77092407027499</v>
      </c>
      <c r="GZ171" s="59">
        <f ca="1">AVERAGE(OFFSET($GY$3,0,0,'Données projet'!$E$18+1,1))-AVERAGE(OFFSET($H$3,0,0,'Données projet'!$E$18+1,1))</f>
        <v>308.85018589589453</v>
      </c>
      <c r="HA171" s="59">
        <f t="shared" si="160"/>
        <v>302.59481222418219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>
        <f>EXP(-LN(2)/35)*HG170+(1-EXP(-LN(2)/35))/(LN(2)/35)*HC171*HD171*VLOOKUP('Données projet'!$B$18,Paramètres!$A$1:$I$89,3,0)*0.475*44/12</f>
        <v>7.0921027680673916</v>
      </c>
      <c r="HH171" s="21">
        <f>EXP(-LN(2)/25)*HH170+(1-EXP(-LN(2)/25))/(LN(2)/25)*Calculateur!HC171*Calculateur!HE171*VLOOKUP('Données projet'!$B$18,Paramètres!$A$1:$I$89,3,0)*0.475*44/12</f>
        <v>0</v>
      </c>
      <c r="HI171" s="21">
        <f>EXP(-LN(2)/2)*HI170+(1-EXP(-LN(2)/2))/(LN(2)/2)*HC171*HF171*VLOOKUP('Données projet'!$B$18,Paramètres!$A$1:$I$89,3,0)*0.475*44/12</f>
        <v>0</v>
      </c>
      <c r="HJ171" s="22">
        <f t="shared" si="190"/>
        <v>7.0921027680673916</v>
      </c>
    </row>
    <row r="172" spans="1:218" x14ac:dyDescent="0.35">
      <c r="A172" s="10">
        <f t="shared" si="161"/>
        <v>169</v>
      </c>
      <c r="B172" s="72">
        <f>'Scénario référence'!$B$16*5+'Scénario référence'!$B$17*0+'Scénario référence'!$B$18*5</f>
        <v>5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66">
        <f t="shared" si="110"/>
        <v>183.33333333333334</v>
      </c>
      <c r="I172" s="6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19.8100000000004</v>
      </c>
      <c r="O172" s="13">
        <f>N172*VLOOKUP('Données projet'!$B$9,Paramètres!$A$1:$I$89,3,0)*VLOOKUP('Données projet'!$B$9,Paramètres!$A$1:$I$89,5,0)</f>
        <v>17.924088000000364</v>
      </c>
      <c r="P172" s="13">
        <f t="shared" si="141"/>
        <v>5.9032212091029486</v>
      </c>
      <c r="Q172" s="20">
        <f t="shared" si="162"/>
        <v>41.499230205854936</v>
      </c>
      <c r="R172" s="59">
        <f t="shared" si="109"/>
        <v>330.07060610683135</v>
      </c>
      <c r="S172" s="59">
        <f ca="1">AVERAGE(OFFSET($R$3,0,0,'Données projet'!$E$9+1,1))-AVERAGE(OFFSET($H$3,0,0,'Données projet'!$E$9+1,1))</f>
        <v>567.42635821507474</v>
      </c>
      <c r="T172" s="59">
        <f t="shared" si="142"/>
        <v>299.04735309930152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130.55006605739109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130.55006605739109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19.8100000000004</v>
      </c>
      <c r="AJ172" s="13">
        <f>AI172*VLOOKUP('Données projet'!$B$10,Paramètres!$A$1:$I$89,3,0)*VLOOKUP('Données projet'!$B$10,Paramètres!$A$1:$I$89,5,0)</f>
        <v>20.08734000000041</v>
      </c>
      <c r="AK172" s="13">
        <f t="shared" si="164"/>
        <v>6.5285137703520215</v>
      </c>
      <c r="AL172" s="20">
        <f t="shared" si="165"/>
        <v>46.355945316697152</v>
      </c>
      <c r="AM172" s="59">
        <f t="shared" si="113"/>
        <v>334.92732121767358</v>
      </c>
      <c r="AN172" s="59">
        <f ca="1">AVERAGE(OFFSET($AM$3,0,0,'Données projet'!$E$10+1,1))-AVERAGE(OFFSET($H$3,0,0,'Données projet'!$E$10+1,1))</f>
        <v>626.09203985591455</v>
      </c>
      <c r="AO172" s="59">
        <f t="shared" si="144"/>
        <v>327.65191296575199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146.30610851259348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146.30610851259348</v>
      </c>
      <c r="AY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404.00000000000017</v>
      </c>
      <c r="BE172" s="13">
        <f>BD172*VLOOKUP('Données projet'!$B$11,Paramètres!$A$1:$I$89,3,0)*VLOOKUP('Données projet'!$B$11,Paramètres!$A$1:$I$89,5,0)</f>
        <v>346.63200000000018</v>
      </c>
      <c r="BF172" s="13">
        <f t="shared" si="167"/>
        <v>80.868615263336864</v>
      </c>
      <c r="BG172" s="20">
        <f t="shared" si="168"/>
        <v>744.56357158364528</v>
      </c>
      <c r="BH172" s="59">
        <f t="shared" si="116"/>
        <v>1033.1349474846218</v>
      </c>
      <c r="BI172" s="59">
        <f ca="1">AVERAGE(OFFSET($BH$3,0,0,'Données projet'!$E$11+1,1))-AVERAGE(OFFSET($H$3,0,0,'Données projet'!$E$11+1,1))</f>
        <v>481.23392184981651</v>
      </c>
      <c r="BJ172" s="59">
        <f t="shared" si="146"/>
        <v>275.88160405468193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37.876133105258916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37.876133105258916</v>
      </c>
      <c r="BT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5.2499999999990337</v>
      </c>
      <c r="BZ172" s="13">
        <f>BY172*VLOOKUP('Données projet'!$B$12,Paramètres!$A$1:$I$89,3,0)*VLOOKUP('Données projet'!$B$12,Paramètres!$A$1:$I$89,5,0)</f>
        <v>2.4569999999995478</v>
      </c>
      <c r="CA172" s="13">
        <f t="shared" si="170"/>
        <v>1.0197977774625564</v>
      </c>
      <c r="CB172" s="20">
        <f t="shared" si="171"/>
        <v>6.0554227957464972</v>
      </c>
      <c r="CC172" s="59">
        <f t="shared" si="119"/>
        <v>294.62679869672291</v>
      </c>
      <c r="CD172" s="59">
        <f ca="1">AVERAGE(OFFSET($CC$3,0,0,'Données projet'!$E$12+1,1))-AVERAGE(OFFSET($H$3,0,0,'Données projet'!$E$12+1,1))</f>
        <v>331.86732359395467</v>
      </c>
      <c r="CE172" s="59">
        <f t="shared" si="148"/>
        <v>208.64489375183106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74.021290774673915</v>
      </c>
      <c r="CL172" s="21">
        <f>EXP(-LN(2)/25)*CL171+(1-EXP(-LN(2)/25))/(LN(2)/25)*Calculateur!CG172*Calculateur!CI172*VLOOKUP('Données projet'!$B$12,Paramètres!$A$1:$I$89,3,0)*0.475*44/12</f>
        <v>0</v>
      </c>
      <c r="CM172" s="21">
        <f>EXP(-LN(2)/2)*CM171+(1-EXP(-LN(2)/2))/(LN(2)/2)*CG172*CJ172*VLOOKUP('Données projet'!$B$12,Paramètres!$A$1:$I$89,3,0)*0.475*44/12</f>
        <v>0</v>
      </c>
      <c r="CN172" s="22">
        <f t="shared" si="172"/>
        <v>74.021290774673915</v>
      </c>
      <c r="CO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319</v>
      </c>
      <c r="CU172" s="17">
        <f>CT172*VLOOKUP('Données projet'!$B$13,Paramètres!$A$1:$I$89,3,0)*VLOOKUP('Données projet'!$B$13,Paramètres!$A$1:$I$89,5,0)</f>
        <v>233.89079999999998</v>
      </c>
      <c r="CV172" s="13">
        <f t="shared" si="173"/>
        <v>57.123140349023068</v>
      </c>
      <c r="CW172" s="20">
        <f t="shared" si="174"/>
        <v>506.84927944121517</v>
      </c>
      <c r="CX172" s="59">
        <f t="shared" si="122"/>
        <v>795.42065534219159</v>
      </c>
      <c r="CY172" s="59">
        <f ca="1">AVERAGE(OFFSET($CX$3,0,0,'Données projet'!$E$13+1,1))-AVERAGE(OFFSET($H$3,0,0,'Données projet'!$E$13+1,1))</f>
        <v>352.45777291109863</v>
      </c>
      <c r="CZ172" s="59">
        <f t="shared" si="150"/>
        <v>340.92165104349181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6.8217572045051567</v>
      </c>
      <c r="DG172" s="21">
        <f>EXP(-LN(2)/25)*DG171+(1-EXP(-LN(2)/25))/(LN(2)/25)*Calculateur!DB172*Calculateur!DD172*VLOOKUP('Données projet'!$B$13,Paramètres!$A$1:$I$89,3,0)*0.475*44/12</f>
        <v>0</v>
      </c>
      <c r="DH172" s="21">
        <f>EXP(-LN(2)/2)*DH171+(1-EXP(-LN(2)/2))/(LN(2)/2)*DB172*DE172*VLOOKUP('Données projet'!$B$13,Paramètres!$A$1:$I$89,3,0)*0.475*44/12</f>
        <v>0</v>
      </c>
      <c r="DI172" s="22">
        <f t="shared" si="175"/>
        <v>6.8217572045051567</v>
      </c>
      <c r="DJ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19.8100000000004</v>
      </c>
      <c r="DP172" s="17">
        <f>DO172*VLOOKUP('Données projet'!$B$14,Paramètres!$A$1:$I$89,3,0)*VLOOKUP('Données projet'!$B$14,Paramètres!$A$1:$I$89,5,0)</f>
        <v>13.288548000000269</v>
      </c>
      <c r="DQ172" s="13">
        <f t="shared" si="176"/>
        <v>4.531654695205642</v>
      </c>
      <c r="DR172" s="20">
        <f t="shared" si="177"/>
        <v>31.036853027483627</v>
      </c>
      <c r="DS172" s="59">
        <f t="shared" si="125"/>
        <v>319.60822892846005</v>
      </c>
      <c r="DT172" s="59">
        <f ca="1">AVERAGE(OFFSET($DS$3,0,0,'Données projet'!$E$14+1,1))-AVERAGE(OFFSET($H$3,0,0,'Données projet'!$E$14+1,1))</f>
        <v>441.20130048888439</v>
      </c>
      <c r="DU172" s="59">
        <f t="shared" si="152"/>
        <v>237.47732532183946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119.29575001796081</v>
      </c>
      <c r="EB172" s="21">
        <f>EXP(-LN(2)/25)*EB171+(1-EXP(-LN(2)/25))/(LN(2)/25)*Calculateur!DW172*Calculateur!DY172*VLOOKUP('Données projet'!$B$14,Paramètres!$A$1:$I$89,3,0)*0.475*44/12</f>
        <v>0</v>
      </c>
      <c r="EC172" s="21">
        <f>EXP(-LN(2)/2)*EC171+(1-EXP(-LN(2)/2))/(LN(2)/2)*DW172*DZ172*VLOOKUP('Données projet'!$B$14,Paramètres!$A$1:$I$89,3,0)*0.475*44/12</f>
        <v>0</v>
      </c>
      <c r="ED172" s="22">
        <f t="shared" si="178"/>
        <v>119.29575001796081</v>
      </c>
      <c r="EE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319</v>
      </c>
      <c r="EK172" s="17">
        <f>EJ172*VLOOKUP('Données projet'!$B$15,Paramètres!$A$1:$I$89,3,0)*VLOOKUP('Données projet'!$B$15,Paramètres!$A$1:$I$89,5,0)</f>
        <v>253.79640000000001</v>
      </c>
      <c r="EL172" s="13">
        <f t="shared" si="179"/>
        <v>61.39816832228076</v>
      </c>
      <c r="EM172" s="20">
        <f t="shared" si="180"/>
        <v>548.96387316130563</v>
      </c>
      <c r="EN172" s="59">
        <f t="shared" si="128"/>
        <v>837.53524906228199</v>
      </c>
      <c r="EO172" s="59">
        <f ca="1">AVERAGE(OFFSET($EN$3,0,0,'Données projet'!$E$15+1,1))-AVERAGE(OFFSET($H$3,0,0,'Données projet'!$E$15+1,1))</f>
        <v>377.27600411578322</v>
      </c>
      <c r="EP172" s="59">
        <f t="shared" si="154"/>
        <v>364.58250627635425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>
        <f>EXP(-LN(2)/35)*EV171+(1-EXP(-LN(2)/35))/(LN(2)/35)*ER172*ES172*VLOOKUP('Données projet'!$B$15,Paramètres!$A$1:$I$89,3,0)*0.475*44/12</f>
        <v>9.1238049103302483</v>
      </c>
      <c r="EW172" s="21">
        <f>EXP(-LN(2)/25)*EW171+(1-EXP(-LN(2)/25))/(LN(2)/25)*Calculateur!ER172*Calculateur!ET172*VLOOKUP('Données projet'!$B$15,Paramètres!$A$1:$I$89,3,0)*0.475*44/12</f>
        <v>0</v>
      </c>
      <c r="EX172" s="21">
        <f>EXP(-LN(2)/2)*EX171+(1-EXP(-LN(2)/2))/(LN(2)/2)*ER172*EU172*VLOOKUP('Données projet'!$B$15,Paramètres!$A$1:$I$89,3,0)*0.475*44/12</f>
        <v>0</v>
      </c>
      <c r="EY172" s="22">
        <f t="shared" si="181"/>
        <v>9.1238049103302483</v>
      </c>
      <c r="EZ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319</v>
      </c>
      <c r="FF172" s="17">
        <f>FE172*VLOOKUP('Données projet'!$B$16,Paramètres!$A$1:$I$89,3,0)*VLOOKUP('Données projet'!$B$16,Paramètres!$A$1:$I$89,5,0)</f>
        <v>258.77280000000002</v>
      </c>
      <c r="FG172" s="13">
        <f t="shared" si="182"/>
        <v>62.460716522234691</v>
      </c>
      <c r="FH172" s="20">
        <f t="shared" si="183"/>
        <v>559.48170794289206</v>
      </c>
      <c r="FI172" s="59">
        <f t="shared" si="131"/>
        <v>848.05308384386854</v>
      </c>
      <c r="FJ172" s="59">
        <f ca="1">AVERAGE(OFFSET($FI$3,0,0,'Données projet'!$E$16+1,1))-AVERAGE(OFFSET($H$3,0,0,'Données projet'!$E$16+1,1))</f>
        <v>383.47399633251354</v>
      </c>
      <c r="FK172" s="59">
        <f t="shared" si="156"/>
        <v>370.49129421395628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>
        <f>EXP(-LN(2)/35)*FQ171+(1-EXP(-LN(2)/35))/(LN(2)/35)*FM172*FN172*VLOOKUP('Données projet'!$B$16,Paramètres!$A$1:$I$89,3,0)*0.475*44/12</f>
        <v>9.3027030458269309</v>
      </c>
      <c r="FR172" s="21">
        <f>EXP(-LN(2)/25)*FR171+(1-EXP(-LN(2)/25))/(LN(2)/25)*Calculateur!FM172*Calculateur!FO172*VLOOKUP('Données projet'!$B$16,Paramètres!$A$1:$I$89,3,0)*0.475*44/12</f>
        <v>0</v>
      </c>
      <c r="FS172" s="21">
        <f>EXP(-LN(2)/2)*FS171+(1-EXP(-LN(2)/2))/(LN(2)/2)*FM172*FP172*VLOOKUP('Données projet'!$B$16,Paramètres!$A$1:$I$89,3,0)*0.475*44/12</f>
        <v>0</v>
      </c>
      <c r="FT172" s="22">
        <f t="shared" si="184"/>
        <v>9.3027030458269309</v>
      </c>
      <c r="FU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19.8100000000004</v>
      </c>
      <c r="GA172" s="17">
        <f>FZ172*VLOOKUP('Données projet'!$B$17,Paramètres!$A$1:$I$89,3,0)*VLOOKUP('Données projet'!$B$17,Paramètres!$A$1:$I$89,5,0)</f>
        <v>18.851196000000382</v>
      </c>
      <c r="GB172" s="13">
        <f t="shared" si="185"/>
        <v>6.172221809210666</v>
      </c>
      <c r="GC172" s="20">
        <f t="shared" si="186"/>
        <v>43.582452684375909</v>
      </c>
      <c r="GD172" s="59">
        <f t="shared" si="134"/>
        <v>332.15382858535236</v>
      </c>
      <c r="GE172" s="59">
        <f ca="1">AVERAGE(OFFSET($GD$3,0,0,'Données projet'!$E$17+1,1))-AVERAGE(OFFSET($H$3,0,0,'Données projet'!$E$17+1,1))</f>
        <v>592.58528889137358</v>
      </c>
      <c r="GF172" s="59">
        <f t="shared" si="158"/>
        <v>311.31528020403709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>
        <f>EXP(-LN(2)/35)*GL171+(1-EXP(-LN(2)/35))/(LN(2)/35)*GH172*GI172*VLOOKUP('Données projet'!$B$17,Paramètres!$A$1:$I$89,3,0)*0.475*44/12</f>
        <v>137.30265568104926</v>
      </c>
      <c r="GM172" s="21">
        <f>EXP(-LN(2)/25)*GM171+(1-EXP(-LN(2)/25))/(LN(2)/25)*Calculateur!GH172*Calculateur!GJ172*VLOOKUP('Données projet'!$B$17,Paramètres!$A$1:$I$89,3,0)*0.475*44/12</f>
        <v>0</v>
      </c>
      <c r="GN172" s="21">
        <f>EXP(-LN(2)/2)*GN171+(1-EXP(-LN(2)/2))/(LN(2)/2)*GH172*GK172*VLOOKUP('Données projet'!$B$17,Paramètres!$A$1:$I$89,3,0)*0.475*44/12</f>
        <v>0</v>
      </c>
      <c r="GO172" s="21">
        <f t="shared" si="187"/>
        <v>137.30265568104926</v>
      </c>
      <c r="GP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328.00000000000006</v>
      </c>
      <c r="GV172" s="17">
        <f>GU172*VLOOKUP('Données projet'!$B$18,Paramètres!$A$1:$I$89,3,0)*VLOOKUP('Données projet'!$B$18,Paramètres!$A$1:$I$89,5,0)</f>
        <v>255.84000000000006</v>
      </c>
      <c r="GW172" s="13">
        <f t="shared" si="188"/>
        <v>61.834803371075836</v>
      </c>
      <c r="GX172" s="20">
        <f t="shared" si="189"/>
        <v>553.28361587129041</v>
      </c>
      <c r="GY172" s="59">
        <f t="shared" si="137"/>
        <v>841.85499177226689</v>
      </c>
      <c r="GZ172" s="59">
        <f ca="1">AVERAGE(OFFSET($GY$3,0,0,'Données projet'!$E$18+1,1))-AVERAGE(OFFSET($H$3,0,0,'Données projet'!$E$18+1,1))</f>
        <v>308.85018589589453</v>
      </c>
      <c r="HA172" s="59">
        <f t="shared" si="160"/>
        <v>302.59481222418219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>
        <f>EXP(-LN(2)/35)*HG171+(1-EXP(-LN(2)/35))/(LN(2)/35)*HC172*HD172*VLOOKUP('Données projet'!$B$18,Paramètres!$A$1:$I$89,3,0)*0.475*44/12</f>
        <v>6.9530309585411461</v>
      </c>
      <c r="HH172" s="21">
        <f>EXP(-LN(2)/25)*HH171+(1-EXP(-LN(2)/25))/(LN(2)/25)*Calculateur!HC172*Calculateur!HE172*VLOOKUP('Données projet'!$B$18,Paramètres!$A$1:$I$89,3,0)*0.475*44/12</f>
        <v>0</v>
      </c>
      <c r="HI172" s="21">
        <f>EXP(-LN(2)/2)*HI171+(1-EXP(-LN(2)/2))/(LN(2)/2)*HC172*HF172*VLOOKUP('Données projet'!$B$18,Paramètres!$A$1:$I$89,3,0)*0.475*44/12</f>
        <v>0</v>
      </c>
      <c r="HJ172" s="22">
        <f t="shared" si="190"/>
        <v>6.9530309585411461</v>
      </c>
    </row>
    <row r="173" spans="1:218" x14ac:dyDescent="0.35">
      <c r="A173" s="10">
        <f t="shared" si="161"/>
        <v>170</v>
      </c>
      <c r="B173" s="72">
        <f>'Scénario référence'!$B$16*5+'Scénario référence'!$B$17*0+'Scénario référence'!$B$18*5</f>
        <v>5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66">
        <f t="shared" si="110"/>
        <v>183.33333333333334</v>
      </c>
      <c r="I173" s="6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19.8100000000004</v>
      </c>
      <c r="O173" s="13">
        <f>N173*VLOOKUP('Données projet'!$B$9,Paramètres!$A$1:$I$89,3,0)*VLOOKUP('Données projet'!$B$9,Paramètres!$A$1:$I$89,5,0)</f>
        <v>17.924088000000364</v>
      </c>
      <c r="P173" s="13">
        <f t="shared" si="141"/>
        <v>5.9032212091029486</v>
      </c>
      <c r="Q173" s="20">
        <f t="shared" si="162"/>
        <v>41.499230205854936</v>
      </c>
      <c r="R173" s="59">
        <f t="shared" si="109"/>
        <v>330.15321542214082</v>
      </c>
      <c r="S173" s="59">
        <f ca="1">AVERAGE(OFFSET($R$3,0,0,'Données projet'!$E$9+1,1))-AVERAGE(OFFSET($H$3,0,0,'Données projet'!$E$9+1,1))</f>
        <v>567.42635821507474</v>
      </c>
      <c r="T173" s="59">
        <f t="shared" si="142"/>
        <v>299.04735309930152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127.99005888968337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127.99005888968337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19.8100000000004</v>
      </c>
      <c r="AJ173" s="13">
        <f>AI173*VLOOKUP('Données projet'!$B$10,Paramètres!$A$1:$I$89,3,0)*VLOOKUP('Données projet'!$B$10,Paramètres!$A$1:$I$89,5,0)</f>
        <v>20.08734000000041</v>
      </c>
      <c r="AK173" s="13">
        <f t="shared" si="164"/>
        <v>6.5285137703520215</v>
      </c>
      <c r="AL173" s="20">
        <f t="shared" si="165"/>
        <v>46.355945316697152</v>
      </c>
      <c r="AM173" s="59">
        <f t="shared" si="113"/>
        <v>335.00993053298305</v>
      </c>
      <c r="AN173" s="59">
        <f ca="1">AVERAGE(OFFSET($AM$3,0,0,'Données projet'!$E$10+1,1))-AVERAGE(OFFSET($H$3,0,0,'Données projet'!$E$10+1,1))</f>
        <v>626.09203985591455</v>
      </c>
      <c r="AO173" s="59">
        <f t="shared" si="144"/>
        <v>327.65191296575199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143.43713496257621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143.43713496257621</v>
      </c>
      <c r="AY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404.00000000000017</v>
      </c>
      <c r="BE173" s="13">
        <f>BD173*VLOOKUP('Données projet'!$B$11,Paramètres!$A$1:$I$89,3,0)*VLOOKUP('Données projet'!$B$11,Paramètres!$A$1:$I$89,5,0)</f>
        <v>346.63200000000018</v>
      </c>
      <c r="BF173" s="13">
        <f t="shared" si="167"/>
        <v>80.868615263336864</v>
      </c>
      <c r="BG173" s="20">
        <f t="shared" si="168"/>
        <v>744.56357158364528</v>
      </c>
      <c r="BH173" s="59">
        <f t="shared" si="116"/>
        <v>1033.2175567999311</v>
      </c>
      <c r="BI173" s="59">
        <f ca="1">AVERAGE(OFFSET($BH$3,0,0,'Données projet'!$E$11+1,1))-AVERAGE(OFFSET($H$3,0,0,'Données projet'!$E$11+1,1))</f>
        <v>481.23392184981651</v>
      </c>
      <c r="BJ173" s="59">
        <f t="shared" si="146"/>
        <v>275.88160405468193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37.133405237224835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37.133405237224835</v>
      </c>
      <c r="BT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5.2499999999990337</v>
      </c>
      <c r="BZ173" s="13">
        <f>BY173*VLOOKUP('Données projet'!$B$12,Paramètres!$A$1:$I$89,3,0)*VLOOKUP('Données projet'!$B$12,Paramètres!$A$1:$I$89,5,0)</f>
        <v>2.4569999999995478</v>
      </c>
      <c r="CA173" s="13">
        <f t="shared" si="170"/>
        <v>1.0197977774625564</v>
      </c>
      <c r="CB173" s="20">
        <f t="shared" si="171"/>
        <v>6.0554227957464972</v>
      </c>
      <c r="CC173" s="59">
        <f t="shared" si="119"/>
        <v>294.70940801203238</v>
      </c>
      <c r="CD173" s="59">
        <f ca="1">AVERAGE(OFFSET($CC$3,0,0,'Données projet'!$E$12+1,1))-AVERAGE(OFFSET($H$3,0,0,'Données projet'!$E$12+1,1))</f>
        <v>331.86732359395467</v>
      </c>
      <c r="CE173" s="59">
        <f t="shared" si="148"/>
        <v>208.64489375183106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72.569778411111884</v>
      </c>
      <c r="CL173" s="21">
        <f>EXP(-LN(2)/25)*CL172+(1-EXP(-LN(2)/25))/(LN(2)/25)*Calculateur!CG173*Calculateur!CI173*VLOOKUP('Données projet'!$B$12,Paramètres!$A$1:$I$89,3,0)*0.475*44/12</f>
        <v>0</v>
      </c>
      <c r="CM173" s="21">
        <f>EXP(-LN(2)/2)*CM172+(1-EXP(-LN(2)/2))/(LN(2)/2)*CG173*CJ173*VLOOKUP('Données projet'!$B$12,Paramètres!$A$1:$I$89,3,0)*0.475*44/12</f>
        <v>0</v>
      </c>
      <c r="CN173" s="22">
        <f t="shared" si="172"/>
        <v>72.569778411111884</v>
      </c>
      <c r="CO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319</v>
      </c>
      <c r="CU173" s="17">
        <f>CT173*VLOOKUP('Données projet'!$B$13,Paramètres!$A$1:$I$89,3,0)*VLOOKUP('Données projet'!$B$13,Paramètres!$A$1:$I$89,5,0)</f>
        <v>233.89079999999998</v>
      </c>
      <c r="CV173" s="13">
        <f t="shared" si="173"/>
        <v>57.123140349023068</v>
      </c>
      <c r="CW173" s="20">
        <f t="shared" si="174"/>
        <v>506.84927944121517</v>
      </c>
      <c r="CX173" s="59">
        <f t="shared" si="122"/>
        <v>795.50326465750106</v>
      </c>
      <c r="CY173" s="59">
        <f ca="1">AVERAGE(OFFSET($CX$3,0,0,'Données projet'!$E$13+1,1))-AVERAGE(OFFSET($H$3,0,0,'Données projet'!$E$13+1,1))</f>
        <v>352.45777291109863</v>
      </c>
      <c r="CZ173" s="59">
        <f t="shared" si="150"/>
        <v>340.92165104349181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6.6879867065858543</v>
      </c>
      <c r="DG173" s="21">
        <f>EXP(-LN(2)/25)*DG172+(1-EXP(-LN(2)/25))/(LN(2)/25)*Calculateur!DB173*Calculateur!DD173*VLOOKUP('Données projet'!$B$13,Paramètres!$A$1:$I$89,3,0)*0.475*44/12</f>
        <v>0</v>
      </c>
      <c r="DH173" s="21">
        <f>EXP(-LN(2)/2)*DH172+(1-EXP(-LN(2)/2))/(LN(2)/2)*DB173*DE173*VLOOKUP('Données projet'!$B$13,Paramètres!$A$1:$I$89,3,0)*0.475*44/12</f>
        <v>0</v>
      </c>
      <c r="DI173" s="22">
        <f t="shared" si="175"/>
        <v>6.6879867065858543</v>
      </c>
      <c r="DJ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19.8100000000004</v>
      </c>
      <c r="DP173" s="17">
        <f>DO173*VLOOKUP('Données projet'!$B$14,Paramètres!$A$1:$I$89,3,0)*VLOOKUP('Données projet'!$B$14,Paramètres!$A$1:$I$89,5,0)</f>
        <v>13.288548000000269</v>
      </c>
      <c r="DQ173" s="13">
        <f t="shared" si="176"/>
        <v>4.531654695205642</v>
      </c>
      <c r="DR173" s="20">
        <f t="shared" si="177"/>
        <v>31.036853027483627</v>
      </c>
      <c r="DS173" s="59">
        <f t="shared" si="125"/>
        <v>319.69083824376952</v>
      </c>
      <c r="DT173" s="59">
        <f ca="1">AVERAGE(OFFSET($DS$3,0,0,'Données projet'!$E$14+1,1))-AVERAGE(OFFSET($H$3,0,0,'Données projet'!$E$14+1,1))</f>
        <v>441.20130048888439</v>
      </c>
      <c r="DU173" s="59">
        <f t="shared" si="152"/>
        <v>237.47732532183946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116.95643312333134</v>
      </c>
      <c r="EB173" s="21">
        <f>EXP(-LN(2)/25)*EB172+(1-EXP(-LN(2)/25))/(LN(2)/25)*Calculateur!DW173*Calculateur!DY173*VLOOKUP('Données projet'!$B$14,Paramètres!$A$1:$I$89,3,0)*0.475*44/12</f>
        <v>0</v>
      </c>
      <c r="EC173" s="21">
        <f>EXP(-LN(2)/2)*EC172+(1-EXP(-LN(2)/2))/(LN(2)/2)*DW173*DZ173*VLOOKUP('Données projet'!$B$14,Paramètres!$A$1:$I$89,3,0)*0.475*44/12</f>
        <v>0</v>
      </c>
      <c r="ED173" s="22">
        <f t="shared" si="178"/>
        <v>116.95643312333134</v>
      </c>
      <c r="EE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319</v>
      </c>
      <c r="EK173" s="17">
        <f>EJ173*VLOOKUP('Données projet'!$B$15,Paramètres!$A$1:$I$89,3,0)*VLOOKUP('Données projet'!$B$15,Paramètres!$A$1:$I$89,5,0)</f>
        <v>253.79640000000001</v>
      </c>
      <c r="EL173" s="13">
        <f t="shared" si="179"/>
        <v>61.39816832228076</v>
      </c>
      <c r="EM173" s="20">
        <f t="shared" si="180"/>
        <v>548.96387316130563</v>
      </c>
      <c r="EN173" s="59">
        <f t="shared" si="128"/>
        <v>837.61785837759157</v>
      </c>
      <c r="EO173" s="59">
        <f ca="1">AVERAGE(OFFSET($EN$3,0,0,'Données projet'!$E$15+1,1))-AVERAGE(OFFSET($H$3,0,0,'Données projet'!$E$15+1,1))</f>
        <v>377.27600411578322</v>
      </c>
      <c r="EP173" s="59">
        <f t="shared" si="154"/>
        <v>364.58250627635425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>
        <f>EXP(-LN(2)/35)*EV172+(1-EXP(-LN(2)/35))/(LN(2)/35)*ER173*ES173*VLOOKUP('Données projet'!$B$15,Paramètres!$A$1:$I$89,3,0)*0.475*44/12</f>
        <v>8.9448926610101722</v>
      </c>
      <c r="EW173" s="21">
        <f>EXP(-LN(2)/25)*EW172+(1-EXP(-LN(2)/25))/(LN(2)/25)*Calculateur!ER173*Calculateur!ET173*VLOOKUP('Données projet'!$B$15,Paramètres!$A$1:$I$89,3,0)*0.475*44/12</f>
        <v>0</v>
      </c>
      <c r="EX173" s="21">
        <f>EXP(-LN(2)/2)*EX172+(1-EXP(-LN(2)/2))/(LN(2)/2)*ER173*EU173*VLOOKUP('Données projet'!$B$15,Paramètres!$A$1:$I$89,3,0)*0.475*44/12</f>
        <v>0</v>
      </c>
      <c r="EY173" s="22">
        <f t="shared" si="181"/>
        <v>8.9448926610101722</v>
      </c>
      <c r="EZ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319</v>
      </c>
      <c r="FF173" s="17">
        <f>FE173*VLOOKUP('Données projet'!$B$16,Paramètres!$A$1:$I$89,3,0)*VLOOKUP('Données projet'!$B$16,Paramètres!$A$1:$I$89,5,0)</f>
        <v>258.77280000000002</v>
      </c>
      <c r="FG173" s="13">
        <f t="shared" si="182"/>
        <v>62.460716522234691</v>
      </c>
      <c r="FH173" s="20">
        <f t="shared" si="183"/>
        <v>559.48170794289206</v>
      </c>
      <c r="FI173" s="59">
        <f t="shared" si="131"/>
        <v>848.13569315917789</v>
      </c>
      <c r="FJ173" s="59">
        <f ca="1">AVERAGE(OFFSET($FI$3,0,0,'Données projet'!$E$16+1,1))-AVERAGE(OFFSET($H$3,0,0,'Données projet'!$E$16+1,1))</f>
        <v>383.47399633251354</v>
      </c>
      <c r="FK173" s="59">
        <f t="shared" si="156"/>
        <v>370.49129421395628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>
        <f>EXP(-LN(2)/35)*FQ172+(1-EXP(-LN(2)/35))/(LN(2)/35)*FM173*FN173*VLOOKUP('Données projet'!$B$16,Paramètres!$A$1:$I$89,3,0)*0.475*44/12</f>
        <v>9.1202827131868531</v>
      </c>
      <c r="FR173" s="21">
        <f>EXP(-LN(2)/25)*FR172+(1-EXP(-LN(2)/25))/(LN(2)/25)*Calculateur!FM173*Calculateur!FO173*VLOOKUP('Données projet'!$B$16,Paramètres!$A$1:$I$89,3,0)*0.475*44/12</f>
        <v>0</v>
      </c>
      <c r="FS173" s="21">
        <f>EXP(-LN(2)/2)*FS172+(1-EXP(-LN(2)/2))/(LN(2)/2)*FM173*FP173*VLOOKUP('Données projet'!$B$16,Paramètres!$A$1:$I$89,3,0)*0.475*44/12</f>
        <v>0</v>
      </c>
      <c r="FT173" s="22">
        <f t="shared" si="184"/>
        <v>9.1202827131868531</v>
      </c>
      <c r="FU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19.8100000000004</v>
      </c>
      <c r="GA173" s="17">
        <f>FZ173*VLOOKUP('Données projet'!$B$17,Paramètres!$A$1:$I$89,3,0)*VLOOKUP('Données projet'!$B$17,Paramètres!$A$1:$I$89,5,0)</f>
        <v>18.851196000000382</v>
      </c>
      <c r="GB173" s="13">
        <f t="shared" si="185"/>
        <v>6.172221809210666</v>
      </c>
      <c r="GC173" s="20">
        <f t="shared" si="186"/>
        <v>43.582452684375909</v>
      </c>
      <c r="GD173" s="59">
        <f t="shared" si="134"/>
        <v>332.23643790066183</v>
      </c>
      <c r="GE173" s="59">
        <f ca="1">AVERAGE(OFFSET($GD$3,0,0,'Données projet'!$E$17+1,1))-AVERAGE(OFFSET($H$3,0,0,'Données projet'!$E$17+1,1))</f>
        <v>592.58528889137358</v>
      </c>
      <c r="GF173" s="59">
        <f t="shared" si="158"/>
        <v>311.31528020403709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>
        <f>EXP(-LN(2)/35)*GL172+(1-EXP(-LN(2)/35))/(LN(2)/35)*GH173*GI173*VLOOKUP('Données projet'!$B$17,Paramètres!$A$1:$I$89,3,0)*0.475*44/12</f>
        <v>134.61023434949459</v>
      </c>
      <c r="GM173" s="21">
        <f>EXP(-LN(2)/25)*GM172+(1-EXP(-LN(2)/25))/(LN(2)/25)*Calculateur!GH173*Calculateur!GJ173*VLOOKUP('Données projet'!$B$17,Paramètres!$A$1:$I$89,3,0)*0.475*44/12</f>
        <v>0</v>
      </c>
      <c r="GN173" s="21">
        <f>EXP(-LN(2)/2)*GN172+(1-EXP(-LN(2)/2))/(LN(2)/2)*GH173*GK173*VLOOKUP('Données projet'!$B$17,Paramètres!$A$1:$I$89,3,0)*0.475*44/12</f>
        <v>0</v>
      </c>
      <c r="GO173" s="21">
        <f t="shared" si="187"/>
        <v>134.61023434949459</v>
      </c>
      <c r="GP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328.00000000000006</v>
      </c>
      <c r="GV173" s="17">
        <f>GU173*VLOOKUP('Données projet'!$B$18,Paramètres!$A$1:$I$89,3,0)*VLOOKUP('Données projet'!$B$18,Paramètres!$A$1:$I$89,5,0)</f>
        <v>255.84000000000006</v>
      </c>
      <c r="GW173" s="13">
        <f t="shared" si="188"/>
        <v>61.834803371075836</v>
      </c>
      <c r="GX173" s="20">
        <f t="shared" si="189"/>
        <v>553.28361587129041</v>
      </c>
      <c r="GY173" s="59">
        <f t="shared" si="137"/>
        <v>841.93760108757624</v>
      </c>
      <c r="GZ173" s="59">
        <f ca="1">AVERAGE(OFFSET($GY$3,0,0,'Données projet'!$E$18+1,1))-AVERAGE(OFFSET($H$3,0,0,'Données projet'!$E$18+1,1))</f>
        <v>308.85018589589453</v>
      </c>
      <c r="HA173" s="59">
        <f t="shared" si="160"/>
        <v>302.59481222418219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>
        <f>EXP(-LN(2)/35)*HG172+(1-EXP(-LN(2)/35))/(LN(2)/35)*HC173*HD173*VLOOKUP('Données projet'!$B$18,Paramètres!$A$1:$I$89,3,0)*0.475*44/12</f>
        <v>6.8166862623742821</v>
      </c>
      <c r="HH173" s="21">
        <f>EXP(-LN(2)/25)*HH172+(1-EXP(-LN(2)/25))/(LN(2)/25)*Calculateur!HC173*Calculateur!HE173*VLOOKUP('Données projet'!$B$18,Paramètres!$A$1:$I$89,3,0)*0.475*44/12</f>
        <v>0</v>
      </c>
      <c r="HI173" s="21">
        <f>EXP(-LN(2)/2)*HI172+(1-EXP(-LN(2)/2))/(LN(2)/2)*HC173*HF173*VLOOKUP('Données projet'!$B$18,Paramètres!$A$1:$I$89,3,0)*0.475*44/12</f>
        <v>0</v>
      </c>
      <c r="HJ173" s="22">
        <f t="shared" si="190"/>
        <v>6.8166862623742821</v>
      </c>
    </row>
    <row r="174" spans="1:218" x14ac:dyDescent="0.35">
      <c r="A174" s="10">
        <f t="shared" si="161"/>
        <v>171</v>
      </c>
      <c r="B174" s="72">
        <f>'Scénario référence'!$B$16*5+'Scénario référence'!$B$17*0+'Scénario référence'!$B$18*5</f>
        <v>5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66">
        <f t="shared" si="110"/>
        <v>183.33333333333334</v>
      </c>
      <c r="I174" s="6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19.8100000000004</v>
      </c>
      <c r="O174" s="13">
        <f>N174*VLOOKUP('Données projet'!$B$9,Paramètres!$A$1:$I$89,3,0)*VLOOKUP('Données projet'!$B$9,Paramètres!$A$1:$I$89,5,0)</f>
        <v>17.924088000000364</v>
      </c>
      <c r="P174" s="13">
        <f t="shared" si="141"/>
        <v>5.9032212091029486</v>
      </c>
      <c r="Q174" s="20">
        <f t="shared" si="162"/>
        <v>41.499230205854936</v>
      </c>
      <c r="R174" s="59">
        <f t="shared" si="109"/>
        <v>330.23439165051644</v>
      </c>
      <c r="S174" s="59">
        <f ca="1">AVERAGE(OFFSET($R$3,0,0,'Données projet'!$E$9+1,1))-AVERAGE(OFFSET($H$3,0,0,'Données projet'!$E$9+1,1))</f>
        <v>567.42635821507474</v>
      </c>
      <c r="T174" s="59">
        <f t="shared" si="142"/>
        <v>299.04735309930152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125.4802519010842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125.4802519010842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19.8100000000004</v>
      </c>
      <c r="AJ174" s="13">
        <f>AI174*VLOOKUP('Données projet'!$B$10,Paramètres!$A$1:$I$89,3,0)*VLOOKUP('Données projet'!$B$10,Paramètres!$A$1:$I$89,5,0)</f>
        <v>20.08734000000041</v>
      </c>
      <c r="AK174" s="13">
        <f t="shared" si="164"/>
        <v>6.5285137703520215</v>
      </c>
      <c r="AL174" s="20">
        <f t="shared" si="165"/>
        <v>46.355945316697152</v>
      </c>
      <c r="AM174" s="59">
        <f t="shared" si="113"/>
        <v>335.09110676135867</v>
      </c>
      <c r="AN174" s="59">
        <f ca="1">AVERAGE(OFFSET($AM$3,0,0,'Données projet'!$E$10+1,1))-AVERAGE(OFFSET($H$3,0,0,'Données projet'!$E$10+1,1))</f>
        <v>626.09203985591455</v>
      </c>
      <c r="AO174" s="59">
        <f t="shared" si="144"/>
        <v>327.65191296575199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140.62442023397369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140.62442023397369</v>
      </c>
      <c r="AY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404.00000000000017</v>
      </c>
      <c r="BE174" s="13">
        <f>BD174*VLOOKUP('Données projet'!$B$11,Paramètres!$A$1:$I$89,3,0)*VLOOKUP('Données projet'!$B$11,Paramètres!$A$1:$I$89,5,0)</f>
        <v>346.63200000000018</v>
      </c>
      <c r="BF174" s="13">
        <f t="shared" si="167"/>
        <v>80.868615263336864</v>
      </c>
      <c r="BG174" s="20">
        <f t="shared" si="168"/>
        <v>744.56357158364528</v>
      </c>
      <c r="BH174" s="59">
        <f t="shared" si="116"/>
        <v>1033.2987330283067</v>
      </c>
      <c r="BI174" s="59">
        <f ca="1">AVERAGE(OFFSET($BH$3,0,0,'Données projet'!$E$11+1,1))-AVERAGE(OFFSET($H$3,0,0,'Données projet'!$E$11+1,1))</f>
        <v>481.23392184981651</v>
      </c>
      <c r="BJ174" s="59">
        <f t="shared" si="146"/>
        <v>275.88160405468193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36.405241809663636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36.405241809663636</v>
      </c>
      <c r="BT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5.2499999999990337</v>
      </c>
      <c r="BZ174" s="13">
        <f>BY174*VLOOKUP('Données projet'!$B$12,Paramètres!$A$1:$I$89,3,0)*VLOOKUP('Données projet'!$B$12,Paramètres!$A$1:$I$89,5,0)</f>
        <v>2.4569999999995478</v>
      </c>
      <c r="CA174" s="13">
        <f t="shared" si="170"/>
        <v>1.0197977774625564</v>
      </c>
      <c r="CB174" s="20">
        <f t="shared" si="171"/>
        <v>6.0554227957464972</v>
      </c>
      <c r="CC174" s="59">
        <f t="shared" si="119"/>
        <v>294.79058424040801</v>
      </c>
      <c r="CD174" s="59">
        <f ca="1">AVERAGE(OFFSET($CC$3,0,0,'Données projet'!$E$12+1,1))-AVERAGE(OFFSET($H$3,0,0,'Données projet'!$E$12+1,1))</f>
        <v>331.86732359395467</v>
      </c>
      <c r="CE174" s="59">
        <f t="shared" si="148"/>
        <v>208.64489375183106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71.146729319664189</v>
      </c>
      <c r="CL174" s="21">
        <f>EXP(-LN(2)/25)*CL173+(1-EXP(-LN(2)/25))/(LN(2)/25)*Calculateur!CG174*Calculateur!CI174*VLOOKUP('Données projet'!$B$12,Paramètres!$A$1:$I$89,3,0)*0.475*44/12</f>
        <v>0</v>
      </c>
      <c r="CM174" s="21">
        <f>EXP(-LN(2)/2)*CM173+(1-EXP(-LN(2)/2))/(LN(2)/2)*CG174*CJ174*VLOOKUP('Données projet'!$B$12,Paramètres!$A$1:$I$89,3,0)*0.475*44/12</f>
        <v>0</v>
      </c>
      <c r="CN174" s="22">
        <f t="shared" si="172"/>
        <v>71.146729319664189</v>
      </c>
      <c r="CO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319</v>
      </c>
      <c r="CU174" s="17">
        <f>CT174*VLOOKUP('Données projet'!$B$13,Paramètres!$A$1:$I$89,3,0)*VLOOKUP('Données projet'!$B$13,Paramètres!$A$1:$I$89,5,0)</f>
        <v>233.89079999999998</v>
      </c>
      <c r="CV174" s="13">
        <f t="shared" si="173"/>
        <v>57.123140349023068</v>
      </c>
      <c r="CW174" s="20">
        <f t="shared" si="174"/>
        <v>506.84927944121517</v>
      </c>
      <c r="CX174" s="59">
        <f t="shared" si="122"/>
        <v>795.58444088587669</v>
      </c>
      <c r="CY174" s="59">
        <f ca="1">AVERAGE(OFFSET($CX$3,0,0,'Données projet'!$E$13+1,1))-AVERAGE(OFFSET($H$3,0,0,'Données projet'!$E$13+1,1))</f>
        <v>352.45777291109863</v>
      </c>
      <c r="CZ174" s="59">
        <f t="shared" si="150"/>
        <v>340.92165104349181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6.5568393665388021</v>
      </c>
      <c r="DG174" s="21">
        <f>EXP(-LN(2)/25)*DG173+(1-EXP(-LN(2)/25))/(LN(2)/25)*Calculateur!DB174*Calculateur!DD174*VLOOKUP('Données projet'!$B$13,Paramètres!$A$1:$I$89,3,0)*0.475*44/12</f>
        <v>0</v>
      </c>
      <c r="DH174" s="21">
        <f>EXP(-LN(2)/2)*DH173+(1-EXP(-LN(2)/2))/(LN(2)/2)*DB174*DE174*VLOOKUP('Données projet'!$B$13,Paramètres!$A$1:$I$89,3,0)*0.475*44/12</f>
        <v>0</v>
      </c>
      <c r="DI174" s="22">
        <f t="shared" si="175"/>
        <v>6.5568393665388021</v>
      </c>
      <c r="DJ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19.8100000000004</v>
      </c>
      <c r="DP174" s="17">
        <f>DO174*VLOOKUP('Données projet'!$B$14,Paramètres!$A$1:$I$89,3,0)*VLOOKUP('Données projet'!$B$14,Paramètres!$A$1:$I$89,5,0)</f>
        <v>13.288548000000269</v>
      </c>
      <c r="DQ174" s="13">
        <f t="shared" si="176"/>
        <v>4.531654695205642</v>
      </c>
      <c r="DR174" s="20">
        <f t="shared" si="177"/>
        <v>31.036853027483627</v>
      </c>
      <c r="DS174" s="59">
        <f t="shared" si="125"/>
        <v>319.77201447214514</v>
      </c>
      <c r="DT174" s="59">
        <f ca="1">AVERAGE(OFFSET($DS$3,0,0,'Données projet'!$E$14+1,1))-AVERAGE(OFFSET($H$3,0,0,'Données projet'!$E$14+1,1))</f>
        <v>441.20130048888439</v>
      </c>
      <c r="DU174" s="59">
        <f t="shared" si="152"/>
        <v>237.47732532183946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114.66298880616313</v>
      </c>
      <c r="EB174" s="21">
        <f>EXP(-LN(2)/25)*EB173+(1-EXP(-LN(2)/25))/(LN(2)/25)*Calculateur!DW174*Calculateur!DY174*VLOOKUP('Données projet'!$B$14,Paramètres!$A$1:$I$89,3,0)*0.475*44/12</f>
        <v>0</v>
      </c>
      <c r="EC174" s="21">
        <f>EXP(-LN(2)/2)*EC173+(1-EXP(-LN(2)/2))/(LN(2)/2)*DW174*DZ174*VLOOKUP('Données projet'!$B$14,Paramètres!$A$1:$I$89,3,0)*0.475*44/12</f>
        <v>0</v>
      </c>
      <c r="ED174" s="22">
        <f t="shared" si="178"/>
        <v>114.66298880616313</v>
      </c>
      <c r="EE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319</v>
      </c>
      <c r="EK174" s="17">
        <f>EJ174*VLOOKUP('Données projet'!$B$15,Paramètres!$A$1:$I$89,3,0)*VLOOKUP('Données projet'!$B$15,Paramètres!$A$1:$I$89,5,0)</f>
        <v>253.79640000000001</v>
      </c>
      <c r="EL174" s="13">
        <f t="shared" si="179"/>
        <v>61.39816832228076</v>
      </c>
      <c r="EM174" s="20">
        <f t="shared" si="180"/>
        <v>548.96387316130563</v>
      </c>
      <c r="EN174" s="59">
        <f t="shared" si="128"/>
        <v>837.6990346059672</v>
      </c>
      <c r="EO174" s="59">
        <f ca="1">AVERAGE(OFFSET($EN$3,0,0,'Données projet'!$E$15+1,1))-AVERAGE(OFFSET($H$3,0,0,'Données projet'!$E$15+1,1))</f>
        <v>377.27600411578322</v>
      </c>
      <c r="EP174" s="59">
        <f t="shared" si="154"/>
        <v>364.58250627635425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>
        <f>EXP(-LN(2)/35)*EV173+(1-EXP(-LN(2)/35))/(LN(2)/35)*ER174*ES174*VLOOKUP('Données projet'!$B$15,Paramètres!$A$1:$I$89,3,0)*0.475*44/12</f>
        <v>8.7694887717735668</v>
      </c>
      <c r="EW174" s="21">
        <f>EXP(-LN(2)/25)*EW173+(1-EXP(-LN(2)/25))/(LN(2)/25)*Calculateur!ER174*Calculateur!ET174*VLOOKUP('Données projet'!$B$15,Paramètres!$A$1:$I$89,3,0)*0.475*44/12</f>
        <v>0</v>
      </c>
      <c r="EX174" s="21">
        <f>EXP(-LN(2)/2)*EX173+(1-EXP(-LN(2)/2))/(LN(2)/2)*ER174*EU174*VLOOKUP('Données projet'!$B$15,Paramètres!$A$1:$I$89,3,0)*0.475*44/12</f>
        <v>0</v>
      </c>
      <c r="EY174" s="22">
        <f t="shared" si="181"/>
        <v>8.7694887717735668</v>
      </c>
      <c r="EZ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319</v>
      </c>
      <c r="FF174" s="17">
        <f>FE174*VLOOKUP('Données projet'!$B$16,Paramètres!$A$1:$I$89,3,0)*VLOOKUP('Données projet'!$B$16,Paramètres!$A$1:$I$89,5,0)</f>
        <v>258.77280000000002</v>
      </c>
      <c r="FG174" s="13">
        <f t="shared" si="182"/>
        <v>62.460716522234691</v>
      </c>
      <c r="FH174" s="20">
        <f t="shared" si="183"/>
        <v>559.48170794289206</v>
      </c>
      <c r="FI174" s="59">
        <f t="shared" si="131"/>
        <v>848.21686938755352</v>
      </c>
      <c r="FJ174" s="59">
        <f ca="1">AVERAGE(OFFSET($FI$3,0,0,'Données projet'!$E$16+1,1))-AVERAGE(OFFSET($H$3,0,0,'Données projet'!$E$16+1,1))</f>
        <v>383.47399633251354</v>
      </c>
      <c r="FK174" s="59">
        <f t="shared" si="156"/>
        <v>370.49129421395628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>
        <f>EXP(-LN(2)/35)*FQ173+(1-EXP(-LN(2)/35))/(LN(2)/35)*FM174*FN174*VLOOKUP('Données projet'!$B$16,Paramètres!$A$1:$I$89,3,0)*0.475*44/12</f>
        <v>8.9414395320044306</v>
      </c>
      <c r="FR174" s="21">
        <f>EXP(-LN(2)/25)*FR173+(1-EXP(-LN(2)/25))/(LN(2)/25)*Calculateur!FM174*Calculateur!FO174*VLOOKUP('Données projet'!$B$16,Paramètres!$A$1:$I$89,3,0)*0.475*44/12</f>
        <v>0</v>
      </c>
      <c r="FS174" s="21">
        <f>EXP(-LN(2)/2)*FS173+(1-EXP(-LN(2)/2))/(LN(2)/2)*FM174*FP174*VLOOKUP('Données projet'!$B$16,Paramètres!$A$1:$I$89,3,0)*0.475*44/12</f>
        <v>0</v>
      </c>
      <c r="FT174" s="22">
        <f t="shared" si="184"/>
        <v>8.9414395320044306</v>
      </c>
      <c r="FU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19.8100000000004</v>
      </c>
      <c r="GA174" s="17">
        <f>FZ174*VLOOKUP('Données projet'!$B$17,Paramètres!$A$1:$I$89,3,0)*VLOOKUP('Données projet'!$B$17,Paramètres!$A$1:$I$89,5,0)</f>
        <v>18.851196000000382</v>
      </c>
      <c r="GB174" s="13">
        <f t="shared" si="185"/>
        <v>6.172221809210666</v>
      </c>
      <c r="GC174" s="20">
        <f t="shared" si="186"/>
        <v>43.582452684375909</v>
      </c>
      <c r="GD174" s="59">
        <f t="shared" si="134"/>
        <v>332.31761412903745</v>
      </c>
      <c r="GE174" s="59">
        <f ca="1">AVERAGE(OFFSET($GD$3,0,0,'Données projet'!$E$17+1,1))-AVERAGE(OFFSET($H$3,0,0,'Données projet'!$E$17+1,1))</f>
        <v>592.58528889137358</v>
      </c>
      <c r="GF174" s="59">
        <f t="shared" si="158"/>
        <v>311.31528020403709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>
        <f>EXP(-LN(2)/35)*GL173+(1-EXP(-LN(2)/35))/(LN(2)/35)*GH174*GI174*VLOOKUP('Données projet'!$B$17,Paramètres!$A$1:$I$89,3,0)*0.475*44/12</f>
        <v>131.97060975803686</v>
      </c>
      <c r="GM174" s="21">
        <f>EXP(-LN(2)/25)*GM173+(1-EXP(-LN(2)/25))/(LN(2)/25)*Calculateur!GH174*Calculateur!GJ174*VLOOKUP('Données projet'!$B$17,Paramètres!$A$1:$I$89,3,0)*0.475*44/12</f>
        <v>0</v>
      </c>
      <c r="GN174" s="21">
        <f>EXP(-LN(2)/2)*GN173+(1-EXP(-LN(2)/2))/(LN(2)/2)*GH174*GK174*VLOOKUP('Données projet'!$B$17,Paramètres!$A$1:$I$89,3,0)*0.475*44/12</f>
        <v>0</v>
      </c>
      <c r="GO174" s="21">
        <f t="shared" si="187"/>
        <v>131.97060975803686</v>
      </c>
      <c r="GP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328.00000000000006</v>
      </c>
      <c r="GV174" s="17">
        <f>GU174*VLOOKUP('Données projet'!$B$18,Paramètres!$A$1:$I$89,3,0)*VLOOKUP('Données projet'!$B$18,Paramètres!$A$1:$I$89,5,0)</f>
        <v>255.84000000000006</v>
      </c>
      <c r="GW174" s="13">
        <f t="shared" si="188"/>
        <v>61.834803371075836</v>
      </c>
      <c r="GX174" s="20">
        <f t="shared" si="189"/>
        <v>553.28361587129041</v>
      </c>
      <c r="GY174" s="59">
        <f t="shared" si="137"/>
        <v>842.01877731595187</v>
      </c>
      <c r="GZ174" s="59">
        <f ca="1">AVERAGE(OFFSET($GY$3,0,0,'Données projet'!$E$18+1,1))-AVERAGE(OFFSET($H$3,0,0,'Données projet'!$E$18+1,1))</f>
        <v>308.85018589589453</v>
      </c>
      <c r="HA174" s="59">
        <f t="shared" si="160"/>
        <v>302.59481222418219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>
        <f>EXP(-LN(2)/35)*HG173+(1-EXP(-LN(2)/35))/(LN(2)/35)*HC174*HD174*VLOOKUP('Données projet'!$B$18,Paramètres!$A$1:$I$89,3,0)*0.475*44/12</f>
        <v>6.6830152025371969</v>
      </c>
      <c r="HH174" s="21">
        <f>EXP(-LN(2)/25)*HH173+(1-EXP(-LN(2)/25))/(LN(2)/25)*Calculateur!HC174*Calculateur!HE174*VLOOKUP('Données projet'!$B$18,Paramètres!$A$1:$I$89,3,0)*0.475*44/12</f>
        <v>0</v>
      </c>
      <c r="HI174" s="21">
        <f>EXP(-LN(2)/2)*HI173+(1-EXP(-LN(2)/2))/(LN(2)/2)*HC174*HF174*VLOOKUP('Données projet'!$B$18,Paramètres!$A$1:$I$89,3,0)*0.475*44/12</f>
        <v>0</v>
      </c>
      <c r="HJ174" s="22">
        <f t="shared" si="190"/>
        <v>6.6830152025371969</v>
      </c>
    </row>
    <row r="175" spans="1:218" x14ac:dyDescent="0.35">
      <c r="A175" s="10">
        <f t="shared" si="161"/>
        <v>172</v>
      </c>
      <c r="B175" s="72">
        <f>'Scénario référence'!$B$16*5+'Scénario référence'!$B$17*0+'Scénario référence'!$B$18*5</f>
        <v>5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66">
        <f t="shared" si="110"/>
        <v>183.33333333333334</v>
      </c>
      <c r="I175" s="6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19.8100000000004</v>
      </c>
      <c r="O175" s="13">
        <f>N175*VLOOKUP('Données projet'!$B$9,Paramètres!$A$1:$I$89,3,0)*VLOOKUP('Données projet'!$B$9,Paramètres!$A$1:$I$89,5,0)</f>
        <v>17.924088000000364</v>
      </c>
      <c r="P175" s="13">
        <f t="shared" si="141"/>
        <v>5.9032212091029486</v>
      </c>
      <c r="Q175" s="20">
        <f t="shared" si="162"/>
        <v>41.499230205854936</v>
      </c>
      <c r="R175" s="59">
        <f t="shared" si="109"/>
        <v>330.31415965281258</v>
      </c>
      <c r="S175" s="59">
        <f ca="1">AVERAGE(OFFSET($R$3,0,0,'Données projet'!$E$9+1,1))-AVERAGE(OFFSET($H$3,0,0,'Données projet'!$E$9+1,1))</f>
        <v>567.42635821507474</v>
      </c>
      <c r="T175" s="59">
        <f t="shared" si="142"/>
        <v>299.04735309930152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123.01966069670036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123.01966069670036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19.8100000000004</v>
      </c>
      <c r="AJ175" s="13">
        <f>AI175*VLOOKUP('Données projet'!$B$10,Paramètres!$A$1:$I$89,3,0)*VLOOKUP('Données projet'!$B$10,Paramètres!$A$1:$I$89,5,0)</f>
        <v>20.08734000000041</v>
      </c>
      <c r="AK175" s="13">
        <f t="shared" si="164"/>
        <v>6.5285137703520215</v>
      </c>
      <c r="AL175" s="20">
        <f t="shared" si="165"/>
        <v>46.355945316697152</v>
      </c>
      <c r="AM175" s="59">
        <f t="shared" si="113"/>
        <v>335.17087476365481</v>
      </c>
      <c r="AN175" s="59">
        <f ca="1">AVERAGE(OFFSET($AM$3,0,0,'Données projet'!$E$10+1,1))-AVERAGE(OFFSET($H$3,0,0,'Données projet'!$E$10+1,1))</f>
        <v>626.09203985591455</v>
      </c>
      <c r="AO175" s="59">
        <f t="shared" si="144"/>
        <v>327.65191296575199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137.8668611256125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137.8668611256125</v>
      </c>
      <c r="AY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404.00000000000017</v>
      </c>
      <c r="BE175" s="13">
        <f>BD175*VLOOKUP('Données projet'!$B$11,Paramètres!$A$1:$I$89,3,0)*VLOOKUP('Données projet'!$B$11,Paramètres!$A$1:$I$89,5,0)</f>
        <v>346.63200000000018</v>
      </c>
      <c r="BF175" s="13">
        <f t="shared" si="167"/>
        <v>80.868615263336864</v>
      </c>
      <c r="BG175" s="20">
        <f t="shared" si="168"/>
        <v>744.56357158364528</v>
      </c>
      <c r="BH175" s="59">
        <f t="shared" si="116"/>
        <v>1033.3785010306028</v>
      </c>
      <c r="BI175" s="59">
        <f ca="1">AVERAGE(OFFSET($BH$3,0,0,'Données projet'!$E$11+1,1))-AVERAGE(OFFSET($H$3,0,0,'Données projet'!$E$11+1,1))</f>
        <v>481.23392184981651</v>
      </c>
      <c r="BJ175" s="59">
        <f t="shared" si="146"/>
        <v>275.88160405468193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35.691357222781072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35.691357222781072</v>
      </c>
      <c r="BT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5.2499999999990337</v>
      </c>
      <c r="BZ175" s="13">
        <f>BY175*VLOOKUP('Données projet'!$B$12,Paramètres!$A$1:$I$89,3,0)*VLOOKUP('Données projet'!$B$12,Paramètres!$A$1:$I$89,5,0)</f>
        <v>2.4569999999995478</v>
      </c>
      <c r="CA175" s="13">
        <f t="shared" si="170"/>
        <v>1.0197977774625564</v>
      </c>
      <c r="CB175" s="20">
        <f t="shared" si="171"/>
        <v>6.0554227957464972</v>
      </c>
      <c r="CC175" s="59">
        <f t="shared" si="119"/>
        <v>294.87035224270414</v>
      </c>
      <c r="CD175" s="59">
        <f ca="1">AVERAGE(OFFSET($CC$3,0,0,'Données projet'!$E$12+1,1))-AVERAGE(OFFSET($H$3,0,0,'Données projet'!$E$12+1,1))</f>
        <v>331.86732359395467</v>
      </c>
      <c r="CE175" s="59">
        <f t="shared" si="148"/>
        <v>208.64489375183106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69.751585352925531</v>
      </c>
      <c r="CL175" s="21">
        <f>EXP(-LN(2)/25)*CL174+(1-EXP(-LN(2)/25))/(LN(2)/25)*Calculateur!CG175*Calculateur!CI175*VLOOKUP('Données projet'!$B$12,Paramètres!$A$1:$I$89,3,0)*0.475*44/12</f>
        <v>0</v>
      </c>
      <c r="CM175" s="21">
        <f>EXP(-LN(2)/2)*CM174+(1-EXP(-LN(2)/2))/(LN(2)/2)*CG175*CJ175*VLOOKUP('Données projet'!$B$12,Paramètres!$A$1:$I$89,3,0)*0.475*44/12</f>
        <v>0</v>
      </c>
      <c r="CN175" s="22">
        <f t="shared" si="172"/>
        <v>69.751585352925531</v>
      </c>
      <c r="CO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319</v>
      </c>
      <c r="CU175" s="17">
        <f>CT175*VLOOKUP('Données projet'!$B$13,Paramètres!$A$1:$I$89,3,0)*VLOOKUP('Données projet'!$B$13,Paramètres!$A$1:$I$89,5,0)</f>
        <v>233.89079999999998</v>
      </c>
      <c r="CV175" s="13">
        <f t="shared" si="173"/>
        <v>57.123140349023068</v>
      </c>
      <c r="CW175" s="20">
        <f t="shared" si="174"/>
        <v>506.84927944121517</v>
      </c>
      <c r="CX175" s="59">
        <f t="shared" si="122"/>
        <v>795.66420888817288</v>
      </c>
      <c r="CY175" s="59">
        <f ca="1">AVERAGE(OFFSET($CX$3,0,0,'Données projet'!$E$13+1,1))-AVERAGE(OFFSET($H$3,0,0,'Données projet'!$E$13+1,1))</f>
        <v>352.45777291109863</v>
      </c>
      <c r="CZ175" s="59">
        <f t="shared" si="150"/>
        <v>340.92165104349181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6.4282637458380938</v>
      </c>
      <c r="DG175" s="21">
        <f>EXP(-LN(2)/25)*DG174+(1-EXP(-LN(2)/25))/(LN(2)/25)*Calculateur!DB175*Calculateur!DD175*VLOOKUP('Données projet'!$B$13,Paramètres!$A$1:$I$89,3,0)*0.475*44/12</f>
        <v>0</v>
      </c>
      <c r="DH175" s="21">
        <f>EXP(-LN(2)/2)*DH174+(1-EXP(-LN(2)/2))/(LN(2)/2)*DB175*DE175*VLOOKUP('Données projet'!$B$13,Paramètres!$A$1:$I$89,3,0)*0.475*44/12</f>
        <v>0</v>
      </c>
      <c r="DI175" s="22">
        <f t="shared" si="175"/>
        <v>6.4282637458380938</v>
      </c>
      <c r="DJ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19.8100000000004</v>
      </c>
      <c r="DP175" s="17">
        <f>DO175*VLOOKUP('Données projet'!$B$14,Paramètres!$A$1:$I$89,3,0)*VLOOKUP('Données projet'!$B$14,Paramètres!$A$1:$I$89,5,0)</f>
        <v>13.288548000000269</v>
      </c>
      <c r="DQ175" s="13">
        <f t="shared" si="176"/>
        <v>4.531654695205642</v>
      </c>
      <c r="DR175" s="20">
        <f t="shared" si="177"/>
        <v>31.036853027483627</v>
      </c>
      <c r="DS175" s="59">
        <f t="shared" si="125"/>
        <v>319.85178247444128</v>
      </c>
      <c r="DT175" s="59">
        <f ca="1">AVERAGE(OFFSET($DS$3,0,0,'Données projet'!$E$14+1,1))-AVERAGE(OFFSET($H$3,0,0,'Données projet'!$E$14+1,1))</f>
        <v>441.20130048888439</v>
      </c>
      <c r="DU175" s="59">
        <f t="shared" si="152"/>
        <v>237.47732532183946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112.41451753319168</v>
      </c>
      <c r="EB175" s="21">
        <f>EXP(-LN(2)/25)*EB174+(1-EXP(-LN(2)/25))/(LN(2)/25)*Calculateur!DW175*Calculateur!DY175*VLOOKUP('Données projet'!$B$14,Paramètres!$A$1:$I$89,3,0)*0.475*44/12</f>
        <v>0</v>
      </c>
      <c r="EC175" s="21">
        <f>EXP(-LN(2)/2)*EC174+(1-EXP(-LN(2)/2))/(LN(2)/2)*DW175*DZ175*VLOOKUP('Données projet'!$B$14,Paramètres!$A$1:$I$89,3,0)*0.475*44/12</f>
        <v>0</v>
      </c>
      <c r="ED175" s="22">
        <f t="shared" si="178"/>
        <v>112.41451753319168</v>
      </c>
      <c r="EE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319</v>
      </c>
      <c r="EK175" s="17">
        <f>EJ175*VLOOKUP('Données projet'!$B$15,Paramètres!$A$1:$I$89,3,0)*VLOOKUP('Données projet'!$B$15,Paramètres!$A$1:$I$89,5,0)</f>
        <v>253.79640000000001</v>
      </c>
      <c r="EL175" s="13">
        <f t="shared" si="179"/>
        <v>61.39816832228076</v>
      </c>
      <c r="EM175" s="20">
        <f t="shared" si="180"/>
        <v>548.96387316130563</v>
      </c>
      <c r="EN175" s="59">
        <f t="shared" si="128"/>
        <v>837.77880260826328</v>
      </c>
      <c r="EO175" s="59">
        <f ca="1">AVERAGE(OFFSET($EN$3,0,0,'Données projet'!$E$15+1,1))-AVERAGE(OFFSET($H$3,0,0,'Données projet'!$E$15+1,1))</f>
        <v>377.27600411578322</v>
      </c>
      <c r="EP175" s="59">
        <f t="shared" si="154"/>
        <v>364.58250627635425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>
        <f>EXP(-LN(2)/35)*EV174+(1-EXP(-LN(2)/35))/(LN(2)/35)*ER175*ES175*VLOOKUP('Données projet'!$B$15,Paramètres!$A$1:$I$89,3,0)*0.475*44/12</f>
        <v>8.5975244458190812</v>
      </c>
      <c r="EW175" s="21">
        <f>EXP(-LN(2)/25)*EW174+(1-EXP(-LN(2)/25))/(LN(2)/25)*Calculateur!ER175*Calculateur!ET175*VLOOKUP('Données projet'!$B$15,Paramètres!$A$1:$I$89,3,0)*0.475*44/12</f>
        <v>0</v>
      </c>
      <c r="EX175" s="21">
        <f>EXP(-LN(2)/2)*EX174+(1-EXP(-LN(2)/2))/(LN(2)/2)*ER175*EU175*VLOOKUP('Données projet'!$B$15,Paramètres!$A$1:$I$89,3,0)*0.475*44/12</f>
        <v>0</v>
      </c>
      <c r="EY175" s="22">
        <f t="shared" si="181"/>
        <v>8.5975244458190812</v>
      </c>
      <c r="EZ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319</v>
      </c>
      <c r="FF175" s="17">
        <f>FE175*VLOOKUP('Données projet'!$B$16,Paramètres!$A$1:$I$89,3,0)*VLOOKUP('Données projet'!$B$16,Paramètres!$A$1:$I$89,5,0)</f>
        <v>258.77280000000002</v>
      </c>
      <c r="FG175" s="13">
        <f t="shared" si="182"/>
        <v>62.460716522234691</v>
      </c>
      <c r="FH175" s="20">
        <f t="shared" si="183"/>
        <v>559.48170794289206</v>
      </c>
      <c r="FI175" s="59">
        <f t="shared" si="131"/>
        <v>848.29663738984971</v>
      </c>
      <c r="FJ175" s="59">
        <f ca="1">AVERAGE(OFFSET($FI$3,0,0,'Données projet'!$E$16+1,1))-AVERAGE(OFFSET($H$3,0,0,'Données projet'!$E$16+1,1))</f>
        <v>383.47399633251354</v>
      </c>
      <c r="FK175" s="59">
        <f t="shared" si="156"/>
        <v>370.49129421395628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>
        <f>EXP(-LN(2)/35)*FQ174+(1-EXP(-LN(2)/35))/(LN(2)/35)*FM175*FN175*VLOOKUP('Données projet'!$B$16,Paramètres!$A$1:$I$89,3,0)*0.475*44/12</f>
        <v>8.7661033565214268</v>
      </c>
      <c r="FR175" s="21">
        <f>EXP(-LN(2)/25)*FR174+(1-EXP(-LN(2)/25))/(LN(2)/25)*Calculateur!FM175*Calculateur!FO175*VLOOKUP('Données projet'!$B$16,Paramètres!$A$1:$I$89,3,0)*0.475*44/12</f>
        <v>0</v>
      </c>
      <c r="FS175" s="21">
        <f>EXP(-LN(2)/2)*FS174+(1-EXP(-LN(2)/2))/(LN(2)/2)*FM175*FP175*VLOOKUP('Données projet'!$B$16,Paramètres!$A$1:$I$89,3,0)*0.475*44/12</f>
        <v>0</v>
      </c>
      <c r="FT175" s="22">
        <f t="shared" si="184"/>
        <v>8.7661033565214268</v>
      </c>
      <c r="FU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19.8100000000004</v>
      </c>
      <c r="GA175" s="17">
        <f>FZ175*VLOOKUP('Données projet'!$B$17,Paramètres!$A$1:$I$89,3,0)*VLOOKUP('Données projet'!$B$17,Paramètres!$A$1:$I$89,5,0)</f>
        <v>18.851196000000382</v>
      </c>
      <c r="GB175" s="13">
        <f t="shared" si="185"/>
        <v>6.172221809210666</v>
      </c>
      <c r="GC175" s="20">
        <f t="shared" si="186"/>
        <v>43.582452684375909</v>
      </c>
      <c r="GD175" s="59">
        <f t="shared" si="134"/>
        <v>332.39738213133353</v>
      </c>
      <c r="GE175" s="59">
        <f ca="1">AVERAGE(OFFSET($GD$3,0,0,'Données projet'!$E$17+1,1))-AVERAGE(OFFSET($H$3,0,0,'Données projet'!$E$17+1,1))</f>
        <v>592.58528889137358</v>
      </c>
      <c r="GF175" s="59">
        <f t="shared" si="158"/>
        <v>311.31528020403709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>
        <f>EXP(-LN(2)/35)*GL174+(1-EXP(-LN(2)/35))/(LN(2)/35)*GH175*GI175*VLOOKUP('Données projet'!$B$17,Paramètres!$A$1:$I$89,3,0)*0.475*44/12</f>
        <v>129.38274659480558</v>
      </c>
      <c r="GM175" s="21">
        <f>EXP(-LN(2)/25)*GM174+(1-EXP(-LN(2)/25))/(LN(2)/25)*Calculateur!GH175*Calculateur!GJ175*VLOOKUP('Données projet'!$B$17,Paramètres!$A$1:$I$89,3,0)*0.475*44/12</f>
        <v>0</v>
      </c>
      <c r="GN175" s="21">
        <f>EXP(-LN(2)/2)*GN174+(1-EXP(-LN(2)/2))/(LN(2)/2)*GH175*GK175*VLOOKUP('Données projet'!$B$17,Paramètres!$A$1:$I$89,3,0)*0.475*44/12</f>
        <v>0</v>
      </c>
      <c r="GO175" s="21">
        <f t="shared" si="187"/>
        <v>129.38274659480558</v>
      </c>
      <c r="GP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328.00000000000006</v>
      </c>
      <c r="GV175" s="17">
        <f>GU175*VLOOKUP('Données projet'!$B$18,Paramètres!$A$1:$I$89,3,0)*VLOOKUP('Données projet'!$B$18,Paramètres!$A$1:$I$89,5,0)</f>
        <v>255.84000000000006</v>
      </c>
      <c r="GW175" s="13">
        <f t="shared" si="188"/>
        <v>61.834803371075836</v>
      </c>
      <c r="GX175" s="20">
        <f t="shared" si="189"/>
        <v>553.28361587129041</v>
      </c>
      <c r="GY175" s="59">
        <f t="shared" si="137"/>
        <v>842.09854531824806</v>
      </c>
      <c r="GZ175" s="59">
        <f ca="1">AVERAGE(OFFSET($GY$3,0,0,'Données projet'!$E$18+1,1))-AVERAGE(OFFSET($H$3,0,0,'Données projet'!$E$18+1,1))</f>
        <v>308.85018589589453</v>
      </c>
      <c r="HA175" s="59">
        <f t="shared" si="160"/>
        <v>302.59481222418219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>
        <f>EXP(-LN(2)/35)*HG174+(1-EXP(-LN(2)/35))/(LN(2)/35)*HC175*HD175*VLOOKUP('Données projet'!$B$18,Paramètres!$A$1:$I$89,3,0)*0.475*44/12</f>
        <v>6.5519653506522211</v>
      </c>
      <c r="HH175" s="21">
        <f>EXP(-LN(2)/25)*HH174+(1-EXP(-LN(2)/25))/(LN(2)/25)*Calculateur!HC175*Calculateur!HE175*VLOOKUP('Données projet'!$B$18,Paramètres!$A$1:$I$89,3,0)*0.475*44/12</f>
        <v>0</v>
      </c>
      <c r="HI175" s="21">
        <f>EXP(-LN(2)/2)*HI174+(1-EXP(-LN(2)/2))/(LN(2)/2)*HC175*HF175*VLOOKUP('Données projet'!$B$18,Paramètres!$A$1:$I$89,3,0)*0.475*44/12</f>
        <v>0</v>
      </c>
      <c r="HJ175" s="22">
        <f t="shared" si="190"/>
        <v>6.5519653506522211</v>
      </c>
    </row>
    <row r="176" spans="1:218" x14ac:dyDescent="0.35">
      <c r="A176" s="10">
        <f t="shared" si="161"/>
        <v>173</v>
      </c>
      <c r="B176" s="72">
        <f>'Scénario référence'!$B$16*5+'Scénario référence'!$B$17*0+'Scénario référence'!$B$18*5</f>
        <v>5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66">
        <f t="shared" si="110"/>
        <v>183.33333333333334</v>
      </c>
      <c r="I176" s="6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19.8100000000004</v>
      </c>
      <c r="O176" s="13">
        <f>N176*VLOOKUP('Données projet'!$B$9,Paramètres!$A$1:$I$89,3,0)*VLOOKUP('Données projet'!$B$9,Paramètres!$A$1:$I$89,5,0)</f>
        <v>17.924088000000364</v>
      </c>
      <c r="P176" s="13">
        <f t="shared" si="141"/>
        <v>5.9032212091029486</v>
      </c>
      <c r="Q176" s="20">
        <f t="shared" si="162"/>
        <v>41.499230205854936</v>
      </c>
      <c r="R176" s="59">
        <f t="shared" si="109"/>
        <v>330.3925438586034</v>
      </c>
      <c r="S176" s="59">
        <f ca="1">AVERAGE(OFFSET($R$3,0,0,'Données projet'!$E$9+1,1))-AVERAGE(OFFSET($H$3,0,0,'Données projet'!$E$9+1,1))</f>
        <v>567.42635821507474</v>
      </c>
      <c r="T176" s="59">
        <f t="shared" si="142"/>
        <v>299.04735309930152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120.60732018502203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120.60732018502203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19.8100000000004</v>
      </c>
      <c r="AJ176" s="13">
        <f>AI176*VLOOKUP('Données projet'!$B$10,Paramètres!$A$1:$I$89,3,0)*VLOOKUP('Données projet'!$B$10,Paramètres!$A$1:$I$89,5,0)</f>
        <v>20.08734000000041</v>
      </c>
      <c r="AK176" s="13">
        <f t="shared" si="164"/>
        <v>6.5285137703520215</v>
      </c>
      <c r="AL176" s="20">
        <f t="shared" si="165"/>
        <v>46.355945316697152</v>
      </c>
      <c r="AM176" s="59">
        <f t="shared" si="113"/>
        <v>335.24925896944563</v>
      </c>
      <c r="AN176" s="59">
        <f ca="1">AVERAGE(OFFSET($AM$3,0,0,'Données projet'!$E$10+1,1))-AVERAGE(OFFSET($H$3,0,0,'Données projet'!$E$10+1,1))</f>
        <v>626.09203985591455</v>
      </c>
      <c r="AO176" s="59">
        <f t="shared" si="144"/>
        <v>327.65191296575199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135.16337606942128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135.16337606942128</v>
      </c>
      <c r="AY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404.00000000000017</v>
      </c>
      <c r="BE176" s="13">
        <f>BD176*VLOOKUP('Données projet'!$B$11,Paramètres!$A$1:$I$89,3,0)*VLOOKUP('Données projet'!$B$11,Paramètres!$A$1:$I$89,5,0)</f>
        <v>346.63200000000018</v>
      </c>
      <c r="BF176" s="13">
        <f t="shared" si="167"/>
        <v>80.868615263336864</v>
      </c>
      <c r="BG176" s="20">
        <f t="shared" si="168"/>
        <v>744.56357158364528</v>
      </c>
      <c r="BH176" s="59">
        <f t="shared" si="116"/>
        <v>1033.4568852363936</v>
      </c>
      <c r="BI176" s="59">
        <f ca="1">AVERAGE(OFFSET($BH$3,0,0,'Données projet'!$E$11+1,1))-AVERAGE(OFFSET($H$3,0,0,'Données projet'!$E$11+1,1))</f>
        <v>481.23392184981651</v>
      </c>
      <c r="BJ176" s="59">
        <f t="shared" si="146"/>
        <v>275.88160405468193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34.991471477220671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34.991471477220671</v>
      </c>
      <c r="BT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5.2499999999990337</v>
      </c>
      <c r="BZ176" s="13">
        <f>BY176*VLOOKUP('Données projet'!$B$12,Paramètres!$A$1:$I$89,3,0)*VLOOKUP('Données projet'!$B$12,Paramètres!$A$1:$I$89,5,0)</f>
        <v>2.4569999999995478</v>
      </c>
      <c r="CA176" s="13">
        <f t="shared" si="170"/>
        <v>1.0197977774625564</v>
      </c>
      <c r="CB176" s="20">
        <f t="shared" si="171"/>
        <v>6.0554227957464972</v>
      </c>
      <c r="CC176" s="59">
        <f t="shared" si="119"/>
        <v>294.94873644849497</v>
      </c>
      <c r="CD176" s="59">
        <f ca="1">AVERAGE(OFFSET($CC$3,0,0,'Données projet'!$E$12+1,1))-AVERAGE(OFFSET($H$3,0,0,'Données projet'!$E$12+1,1))</f>
        <v>331.86732359395467</v>
      </c>
      <c r="CE176" s="59">
        <f t="shared" si="148"/>
        <v>208.64489375183106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68.383799308420834</v>
      </c>
      <c r="CL176" s="21">
        <f>EXP(-LN(2)/25)*CL175+(1-EXP(-LN(2)/25))/(LN(2)/25)*Calculateur!CG176*Calculateur!CI176*VLOOKUP('Données projet'!$B$12,Paramètres!$A$1:$I$89,3,0)*0.475*44/12</f>
        <v>0</v>
      </c>
      <c r="CM176" s="21">
        <f>EXP(-LN(2)/2)*CM175+(1-EXP(-LN(2)/2))/(LN(2)/2)*CG176*CJ176*VLOOKUP('Données projet'!$B$12,Paramètres!$A$1:$I$89,3,0)*0.475*44/12</f>
        <v>0</v>
      </c>
      <c r="CN176" s="22">
        <f t="shared" si="172"/>
        <v>68.383799308420834</v>
      </c>
      <c r="CO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319</v>
      </c>
      <c r="CU176" s="17">
        <f>CT176*VLOOKUP('Données projet'!$B$13,Paramètres!$A$1:$I$89,3,0)*VLOOKUP('Données projet'!$B$13,Paramètres!$A$1:$I$89,5,0)</f>
        <v>233.89079999999998</v>
      </c>
      <c r="CV176" s="13">
        <f t="shared" si="173"/>
        <v>57.123140349023068</v>
      </c>
      <c r="CW176" s="20">
        <f t="shared" si="174"/>
        <v>506.84927944121517</v>
      </c>
      <c r="CX176" s="59">
        <f t="shared" si="122"/>
        <v>795.74259309396371</v>
      </c>
      <c r="CY176" s="59">
        <f ca="1">AVERAGE(OFFSET($CX$3,0,0,'Données projet'!$E$13+1,1))-AVERAGE(OFFSET($H$3,0,0,'Données projet'!$E$13+1,1))</f>
        <v>352.45777291109863</v>
      </c>
      <c r="CZ176" s="59">
        <f t="shared" si="150"/>
        <v>340.92165104349181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6.302209414635942</v>
      </c>
      <c r="DG176" s="21">
        <f>EXP(-LN(2)/25)*DG175+(1-EXP(-LN(2)/25))/(LN(2)/25)*Calculateur!DB176*Calculateur!DD176*VLOOKUP('Données projet'!$B$13,Paramètres!$A$1:$I$89,3,0)*0.475*44/12</f>
        <v>0</v>
      </c>
      <c r="DH176" s="21">
        <f>EXP(-LN(2)/2)*DH175+(1-EXP(-LN(2)/2))/(LN(2)/2)*DB176*DE176*VLOOKUP('Données projet'!$B$13,Paramètres!$A$1:$I$89,3,0)*0.475*44/12</f>
        <v>0</v>
      </c>
      <c r="DI176" s="22">
        <f t="shared" si="175"/>
        <v>6.302209414635942</v>
      </c>
      <c r="DJ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19.8100000000004</v>
      </c>
      <c r="DP176" s="17">
        <f>DO176*VLOOKUP('Données projet'!$B$14,Paramètres!$A$1:$I$89,3,0)*VLOOKUP('Données projet'!$B$14,Paramètres!$A$1:$I$89,5,0)</f>
        <v>13.288548000000269</v>
      </c>
      <c r="DQ176" s="13">
        <f t="shared" si="176"/>
        <v>4.531654695205642</v>
      </c>
      <c r="DR176" s="20">
        <f t="shared" si="177"/>
        <v>31.036853027483627</v>
      </c>
      <c r="DS176" s="59">
        <f t="shared" si="125"/>
        <v>319.93016668023211</v>
      </c>
      <c r="DT176" s="59">
        <f ca="1">AVERAGE(OFFSET($DS$3,0,0,'Données projet'!$E$14+1,1))-AVERAGE(OFFSET($H$3,0,0,'Données projet'!$E$14+1,1))</f>
        <v>441.20130048888439</v>
      </c>
      <c r="DU176" s="59">
        <f t="shared" si="152"/>
        <v>237.47732532183946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110.21013741045115</v>
      </c>
      <c r="EB176" s="21">
        <f>EXP(-LN(2)/25)*EB175+(1-EXP(-LN(2)/25))/(LN(2)/25)*Calculateur!DW176*Calculateur!DY176*VLOOKUP('Données projet'!$B$14,Paramètres!$A$1:$I$89,3,0)*0.475*44/12</f>
        <v>0</v>
      </c>
      <c r="EC176" s="21">
        <f>EXP(-LN(2)/2)*EC175+(1-EXP(-LN(2)/2))/(LN(2)/2)*DW176*DZ176*VLOOKUP('Données projet'!$B$14,Paramètres!$A$1:$I$89,3,0)*0.475*44/12</f>
        <v>0</v>
      </c>
      <c r="ED176" s="22">
        <f t="shared" si="178"/>
        <v>110.21013741045115</v>
      </c>
      <c r="EE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319</v>
      </c>
      <c r="EK176" s="17">
        <f>EJ176*VLOOKUP('Données projet'!$B$15,Paramètres!$A$1:$I$89,3,0)*VLOOKUP('Données projet'!$B$15,Paramètres!$A$1:$I$89,5,0)</f>
        <v>253.79640000000001</v>
      </c>
      <c r="EL176" s="13">
        <f t="shared" si="179"/>
        <v>61.39816832228076</v>
      </c>
      <c r="EM176" s="20">
        <f t="shared" si="180"/>
        <v>548.96387316130563</v>
      </c>
      <c r="EN176" s="59">
        <f t="shared" si="128"/>
        <v>837.8571868140541</v>
      </c>
      <c r="EO176" s="59">
        <f ca="1">AVERAGE(OFFSET($EN$3,0,0,'Données projet'!$E$15+1,1))-AVERAGE(OFFSET($H$3,0,0,'Données projet'!$E$15+1,1))</f>
        <v>377.27600411578322</v>
      </c>
      <c r="EP176" s="59">
        <f t="shared" si="154"/>
        <v>364.58250627635425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>
        <f>EXP(-LN(2)/35)*EV175+(1-EXP(-LN(2)/35))/(LN(2)/35)*ER176*ES176*VLOOKUP('Données projet'!$B$15,Paramètres!$A$1:$I$89,3,0)*0.475*44/12</f>
        <v>8.4289322354086824</v>
      </c>
      <c r="EW176" s="21">
        <f>EXP(-LN(2)/25)*EW175+(1-EXP(-LN(2)/25))/(LN(2)/25)*Calculateur!ER176*Calculateur!ET176*VLOOKUP('Données projet'!$B$15,Paramètres!$A$1:$I$89,3,0)*0.475*44/12</f>
        <v>0</v>
      </c>
      <c r="EX176" s="21">
        <f>EXP(-LN(2)/2)*EX175+(1-EXP(-LN(2)/2))/(LN(2)/2)*ER176*EU176*VLOOKUP('Données projet'!$B$15,Paramètres!$A$1:$I$89,3,0)*0.475*44/12</f>
        <v>0</v>
      </c>
      <c r="EY176" s="22">
        <f t="shared" si="181"/>
        <v>8.4289322354086824</v>
      </c>
      <c r="EZ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319</v>
      </c>
      <c r="FF176" s="17">
        <f>FE176*VLOOKUP('Données projet'!$B$16,Paramètres!$A$1:$I$89,3,0)*VLOOKUP('Données projet'!$B$16,Paramètres!$A$1:$I$89,5,0)</f>
        <v>258.77280000000002</v>
      </c>
      <c r="FG176" s="13">
        <f t="shared" si="182"/>
        <v>62.460716522234691</v>
      </c>
      <c r="FH176" s="20">
        <f t="shared" si="183"/>
        <v>559.48170794289206</v>
      </c>
      <c r="FI176" s="59">
        <f t="shared" si="131"/>
        <v>848.37502159564053</v>
      </c>
      <c r="FJ176" s="59">
        <f ca="1">AVERAGE(OFFSET($FI$3,0,0,'Données projet'!$E$16+1,1))-AVERAGE(OFFSET($H$3,0,0,'Données projet'!$E$16+1,1))</f>
        <v>383.47399633251354</v>
      </c>
      <c r="FK176" s="59">
        <f t="shared" si="156"/>
        <v>370.49129421395628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>
        <f>EXP(-LN(2)/35)*FQ175+(1-EXP(-LN(2)/35))/(LN(2)/35)*FM176*FN176*VLOOKUP('Données projet'!$B$16,Paramètres!$A$1:$I$89,3,0)*0.475*44/12</f>
        <v>8.5942054164951376</v>
      </c>
      <c r="FR176" s="21">
        <f>EXP(-LN(2)/25)*FR175+(1-EXP(-LN(2)/25))/(LN(2)/25)*Calculateur!FM176*Calculateur!FO176*VLOOKUP('Données projet'!$B$16,Paramètres!$A$1:$I$89,3,0)*0.475*44/12</f>
        <v>0</v>
      </c>
      <c r="FS176" s="21">
        <f>EXP(-LN(2)/2)*FS175+(1-EXP(-LN(2)/2))/(LN(2)/2)*FM176*FP176*VLOOKUP('Données projet'!$B$16,Paramètres!$A$1:$I$89,3,0)*0.475*44/12</f>
        <v>0</v>
      </c>
      <c r="FT176" s="22">
        <f t="shared" si="184"/>
        <v>8.5942054164951376</v>
      </c>
      <c r="FU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19.8100000000004</v>
      </c>
      <c r="GA176" s="17">
        <f>FZ176*VLOOKUP('Données projet'!$B$17,Paramètres!$A$1:$I$89,3,0)*VLOOKUP('Données projet'!$B$17,Paramètres!$A$1:$I$89,5,0)</f>
        <v>18.851196000000382</v>
      </c>
      <c r="GB176" s="13">
        <f t="shared" si="185"/>
        <v>6.172221809210666</v>
      </c>
      <c r="GC176" s="20">
        <f t="shared" si="186"/>
        <v>43.582452684375909</v>
      </c>
      <c r="GD176" s="59">
        <f t="shared" si="134"/>
        <v>332.47576633712436</v>
      </c>
      <c r="GE176" s="59">
        <f ca="1">AVERAGE(OFFSET($GD$3,0,0,'Données projet'!$E$17+1,1))-AVERAGE(OFFSET($H$3,0,0,'Données projet'!$E$17+1,1))</f>
        <v>592.58528889137358</v>
      </c>
      <c r="GF176" s="59">
        <f t="shared" si="158"/>
        <v>311.31528020403709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>
        <f>EXP(-LN(2)/35)*GL175+(1-EXP(-LN(2)/35))/(LN(2)/35)*GH176*GI176*VLOOKUP('Données projet'!$B$17,Paramètres!$A$1:$I$89,3,0)*0.475*44/12</f>
        <v>126.84562984976459</v>
      </c>
      <c r="GM176" s="21">
        <f>EXP(-LN(2)/25)*GM175+(1-EXP(-LN(2)/25))/(LN(2)/25)*Calculateur!GH176*Calculateur!GJ176*VLOOKUP('Données projet'!$B$17,Paramètres!$A$1:$I$89,3,0)*0.475*44/12</f>
        <v>0</v>
      </c>
      <c r="GN176" s="21">
        <f>EXP(-LN(2)/2)*GN175+(1-EXP(-LN(2)/2))/(LN(2)/2)*GH176*GK176*VLOOKUP('Données projet'!$B$17,Paramètres!$A$1:$I$89,3,0)*0.475*44/12</f>
        <v>0</v>
      </c>
      <c r="GO176" s="21">
        <f t="shared" si="187"/>
        <v>126.84562984976459</v>
      </c>
      <c r="GP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328.00000000000006</v>
      </c>
      <c r="GV176" s="17">
        <f>GU176*VLOOKUP('Données projet'!$B$18,Paramètres!$A$1:$I$89,3,0)*VLOOKUP('Données projet'!$B$18,Paramètres!$A$1:$I$89,5,0)</f>
        <v>255.84000000000006</v>
      </c>
      <c r="GW176" s="13">
        <f t="shared" si="188"/>
        <v>61.834803371075836</v>
      </c>
      <c r="GX176" s="20">
        <f t="shared" si="189"/>
        <v>553.28361587129041</v>
      </c>
      <c r="GY176" s="59">
        <f t="shared" si="137"/>
        <v>842.17692952403888</v>
      </c>
      <c r="GZ176" s="59">
        <f ca="1">AVERAGE(OFFSET($GY$3,0,0,'Données projet'!$E$18+1,1))-AVERAGE(OFFSET($H$3,0,0,'Données projet'!$E$18+1,1))</f>
        <v>308.85018589589453</v>
      </c>
      <c r="HA176" s="59">
        <f t="shared" si="160"/>
        <v>302.59481222418219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>
        <f>EXP(-LN(2)/35)*HG175+(1-EXP(-LN(2)/35))/(LN(2)/35)*HC176*HD176*VLOOKUP('Données projet'!$B$18,Paramètres!$A$1:$I$89,3,0)*0.475*44/12</f>
        <v>6.4234853064301927</v>
      </c>
      <c r="HH176" s="21">
        <f>EXP(-LN(2)/25)*HH175+(1-EXP(-LN(2)/25))/(LN(2)/25)*Calculateur!HC176*Calculateur!HE176*VLOOKUP('Données projet'!$B$18,Paramètres!$A$1:$I$89,3,0)*0.475*44/12</f>
        <v>0</v>
      </c>
      <c r="HI176" s="21">
        <f>EXP(-LN(2)/2)*HI175+(1-EXP(-LN(2)/2))/(LN(2)/2)*HC176*HF176*VLOOKUP('Données projet'!$B$18,Paramètres!$A$1:$I$89,3,0)*0.475*44/12</f>
        <v>0</v>
      </c>
      <c r="HJ176" s="22">
        <f t="shared" si="190"/>
        <v>6.4234853064301927</v>
      </c>
    </row>
    <row r="177" spans="1:218" x14ac:dyDescent="0.35">
      <c r="A177" s="10">
        <f t="shared" si="161"/>
        <v>174</v>
      </c>
      <c r="B177" s="72">
        <f>'Scénario référence'!$B$16*5+'Scénario référence'!$B$17*0+'Scénario référence'!$B$18*5</f>
        <v>5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66">
        <f t="shared" si="110"/>
        <v>183.33333333333334</v>
      </c>
      <c r="I177" s="6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19.8100000000004</v>
      </c>
      <c r="O177" s="13">
        <f>N177*VLOOKUP('Données projet'!$B$9,Paramètres!$A$1:$I$89,3,0)*VLOOKUP('Données projet'!$B$9,Paramètres!$A$1:$I$89,5,0)</f>
        <v>17.924088000000364</v>
      </c>
      <c r="P177" s="13">
        <f t="shared" si="141"/>
        <v>5.9032212091029486</v>
      </c>
      <c r="Q177" s="20">
        <f t="shared" si="162"/>
        <v>41.499230205854936</v>
      </c>
      <c r="R177" s="59">
        <f t="shared" si="109"/>
        <v>330.46956827366466</v>
      </c>
      <c r="S177" s="59">
        <f ca="1">AVERAGE(OFFSET($R$3,0,0,'Données projet'!$E$9+1,1))-AVERAGE(OFFSET($H$3,0,0,'Données projet'!$E$9+1,1))</f>
        <v>567.42635821507474</v>
      </c>
      <c r="T177" s="59">
        <f t="shared" si="142"/>
        <v>299.04735309930152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118.2422841993953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118.2422841993953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19.8100000000004</v>
      </c>
      <c r="AJ177" s="13">
        <f>AI177*VLOOKUP('Données projet'!$B$10,Paramètres!$A$1:$I$89,3,0)*VLOOKUP('Données projet'!$B$10,Paramètres!$A$1:$I$89,5,0)</f>
        <v>20.08734000000041</v>
      </c>
      <c r="AK177" s="13">
        <f t="shared" si="164"/>
        <v>6.5285137703520215</v>
      </c>
      <c r="AL177" s="20">
        <f t="shared" si="165"/>
        <v>46.355945316697152</v>
      </c>
      <c r="AM177" s="59">
        <f t="shared" si="113"/>
        <v>335.32628338450689</v>
      </c>
      <c r="AN177" s="59">
        <f ca="1">AVERAGE(OFFSET($AM$3,0,0,'Données projet'!$E$10+1,1))-AVERAGE(OFFSET($H$3,0,0,'Données projet'!$E$10+1,1))</f>
        <v>626.09203985591455</v>
      </c>
      <c r="AO177" s="59">
        <f t="shared" si="144"/>
        <v>327.65191296575199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132.5129047062189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132.5129047062189</v>
      </c>
      <c r="AY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404.00000000000017</v>
      </c>
      <c r="BE177" s="13">
        <f>BD177*VLOOKUP('Données projet'!$B$11,Paramètres!$A$1:$I$89,3,0)*VLOOKUP('Données projet'!$B$11,Paramètres!$A$1:$I$89,5,0)</f>
        <v>346.63200000000018</v>
      </c>
      <c r="BF177" s="13">
        <f t="shared" si="167"/>
        <v>80.868615263336864</v>
      </c>
      <c r="BG177" s="20">
        <f t="shared" si="168"/>
        <v>744.56357158364528</v>
      </c>
      <c r="BH177" s="59">
        <f t="shared" si="116"/>
        <v>1033.5339096514549</v>
      </c>
      <c r="BI177" s="59">
        <f ca="1">AVERAGE(OFFSET($BH$3,0,0,'Données projet'!$E$11+1,1))-AVERAGE(OFFSET($H$3,0,0,'Données projet'!$E$11+1,1))</f>
        <v>481.23392184981651</v>
      </c>
      <c r="BJ177" s="59">
        <f t="shared" si="146"/>
        <v>275.88160405468193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34.305310064242562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34.305310064242562</v>
      </c>
      <c r="BT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5.2499999999990337</v>
      </c>
      <c r="BZ177" s="13">
        <f>BY177*VLOOKUP('Données projet'!$B$12,Paramètres!$A$1:$I$89,3,0)*VLOOKUP('Données projet'!$B$12,Paramètres!$A$1:$I$89,5,0)</f>
        <v>2.4569999999995478</v>
      </c>
      <c r="CA177" s="13">
        <f t="shared" si="170"/>
        <v>1.0197977774625564</v>
      </c>
      <c r="CB177" s="20">
        <f t="shared" si="171"/>
        <v>6.0554227957464972</v>
      </c>
      <c r="CC177" s="59">
        <f t="shared" si="119"/>
        <v>295.02576086355623</v>
      </c>
      <c r="CD177" s="59">
        <f ca="1">AVERAGE(OFFSET($CC$3,0,0,'Données projet'!$E$12+1,1))-AVERAGE(OFFSET($H$3,0,0,'Données projet'!$E$12+1,1))</f>
        <v>331.86732359395467</v>
      </c>
      <c r="CE177" s="59">
        <f t="shared" si="148"/>
        <v>208.64489375183106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67.042834713981762</v>
      </c>
      <c r="CL177" s="21">
        <f>EXP(-LN(2)/25)*CL176+(1-EXP(-LN(2)/25))/(LN(2)/25)*Calculateur!CG177*Calculateur!CI177*VLOOKUP('Données projet'!$B$12,Paramètres!$A$1:$I$89,3,0)*0.475*44/12</f>
        <v>0</v>
      </c>
      <c r="CM177" s="21">
        <f>EXP(-LN(2)/2)*CM176+(1-EXP(-LN(2)/2))/(LN(2)/2)*CG177*CJ177*VLOOKUP('Données projet'!$B$12,Paramètres!$A$1:$I$89,3,0)*0.475*44/12</f>
        <v>0</v>
      </c>
      <c r="CN177" s="22">
        <f t="shared" si="172"/>
        <v>67.042834713981762</v>
      </c>
      <c r="CO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319</v>
      </c>
      <c r="CU177" s="17">
        <f>CT177*VLOOKUP('Données projet'!$B$13,Paramètres!$A$1:$I$89,3,0)*VLOOKUP('Données projet'!$B$13,Paramètres!$A$1:$I$89,5,0)</f>
        <v>233.89079999999998</v>
      </c>
      <c r="CV177" s="13">
        <f t="shared" si="173"/>
        <v>57.123140349023068</v>
      </c>
      <c r="CW177" s="20">
        <f t="shared" si="174"/>
        <v>506.84927944121517</v>
      </c>
      <c r="CX177" s="59">
        <f t="shared" si="122"/>
        <v>795.81961750902497</v>
      </c>
      <c r="CY177" s="59">
        <f ca="1">AVERAGE(OFFSET($CX$3,0,0,'Données projet'!$E$13+1,1))-AVERAGE(OFFSET($H$3,0,0,'Données projet'!$E$13+1,1))</f>
        <v>352.45777291109863</v>
      </c>
      <c r="CZ177" s="59">
        <f t="shared" si="150"/>
        <v>340.92165104349181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6.1786269319831142</v>
      </c>
      <c r="DG177" s="21">
        <f>EXP(-LN(2)/25)*DG176+(1-EXP(-LN(2)/25))/(LN(2)/25)*Calculateur!DB177*Calculateur!DD177*VLOOKUP('Données projet'!$B$13,Paramètres!$A$1:$I$89,3,0)*0.475*44/12</f>
        <v>0</v>
      </c>
      <c r="DH177" s="21">
        <f>EXP(-LN(2)/2)*DH176+(1-EXP(-LN(2)/2))/(LN(2)/2)*DB177*DE177*VLOOKUP('Données projet'!$B$13,Paramètres!$A$1:$I$89,3,0)*0.475*44/12</f>
        <v>0</v>
      </c>
      <c r="DI177" s="22">
        <f t="shared" si="175"/>
        <v>6.1786269319831142</v>
      </c>
      <c r="DJ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19.8100000000004</v>
      </c>
      <c r="DP177" s="17">
        <f>DO177*VLOOKUP('Données projet'!$B$14,Paramètres!$A$1:$I$89,3,0)*VLOOKUP('Données projet'!$B$14,Paramètres!$A$1:$I$89,5,0)</f>
        <v>13.288548000000269</v>
      </c>
      <c r="DQ177" s="13">
        <f t="shared" si="176"/>
        <v>4.531654695205642</v>
      </c>
      <c r="DR177" s="20">
        <f t="shared" si="177"/>
        <v>31.036853027483627</v>
      </c>
      <c r="DS177" s="59">
        <f t="shared" si="125"/>
        <v>320.00719109529336</v>
      </c>
      <c r="DT177" s="59">
        <f ca="1">AVERAGE(OFFSET($DS$3,0,0,'Données projet'!$E$14+1,1))-AVERAGE(OFFSET($H$3,0,0,'Données projet'!$E$14+1,1))</f>
        <v>441.20130048888439</v>
      </c>
      <c r="DU177" s="59">
        <f t="shared" si="152"/>
        <v>237.47732532183946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108.04898383737844</v>
      </c>
      <c r="EB177" s="21">
        <f>EXP(-LN(2)/25)*EB176+(1-EXP(-LN(2)/25))/(LN(2)/25)*Calculateur!DW177*Calculateur!DY177*VLOOKUP('Données projet'!$B$14,Paramètres!$A$1:$I$89,3,0)*0.475*44/12</f>
        <v>0</v>
      </c>
      <c r="EC177" s="21">
        <f>EXP(-LN(2)/2)*EC176+(1-EXP(-LN(2)/2))/(LN(2)/2)*DW177*DZ177*VLOOKUP('Données projet'!$B$14,Paramètres!$A$1:$I$89,3,0)*0.475*44/12</f>
        <v>0</v>
      </c>
      <c r="ED177" s="22">
        <f t="shared" si="178"/>
        <v>108.04898383737844</v>
      </c>
      <c r="EE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319</v>
      </c>
      <c r="EK177" s="17">
        <f>EJ177*VLOOKUP('Données projet'!$B$15,Paramètres!$A$1:$I$89,3,0)*VLOOKUP('Données projet'!$B$15,Paramètres!$A$1:$I$89,5,0)</f>
        <v>253.79640000000001</v>
      </c>
      <c r="EL177" s="13">
        <f t="shared" si="179"/>
        <v>61.39816832228076</v>
      </c>
      <c r="EM177" s="20">
        <f t="shared" si="180"/>
        <v>548.96387316130563</v>
      </c>
      <c r="EN177" s="59">
        <f t="shared" si="128"/>
        <v>837.93421122911536</v>
      </c>
      <c r="EO177" s="59">
        <f ca="1">AVERAGE(OFFSET($EN$3,0,0,'Données projet'!$E$15+1,1))-AVERAGE(OFFSET($H$3,0,0,'Données projet'!$E$15+1,1))</f>
        <v>377.27600411578322</v>
      </c>
      <c r="EP177" s="59">
        <f t="shared" si="154"/>
        <v>364.58250627635425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>
        <f>EXP(-LN(2)/35)*EV176+(1-EXP(-LN(2)/35))/(LN(2)/35)*ER177*ES177*VLOOKUP('Données projet'!$B$15,Paramètres!$A$1:$I$89,3,0)*0.475*44/12</f>
        <v>8.263646015413336</v>
      </c>
      <c r="EW177" s="21">
        <f>EXP(-LN(2)/25)*EW176+(1-EXP(-LN(2)/25))/(LN(2)/25)*Calculateur!ER177*Calculateur!ET177*VLOOKUP('Données projet'!$B$15,Paramètres!$A$1:$I$89,3,0)*0.475*44/12</f>
        <v>0</v>
      </c>
      <c r="EX177" s="21">
        <f>EXP(-LN(2)/2)*EX176+(1-EXP(-LN(2)/2))/(LN(2)/2)*ER177*EU177*VLOOKUP('Données projet'!$B$15,Paramètres!$A$1:$I$89,3,0)*0.475*44/12</f>
        <v>0</v>
      </c>
      <c r="EY177" s="22">
        <f t="shared" si="181"/>
        <v>8.263646015413336</v>
      </c>
      <c r="EZ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319</v>
      </c>
      <c r="FF177" s="17">
        <f>FE177*VLOOKUP('Données projet'!$B$16,Paramètres!$A$1:$I$89,3,0)*VLOOKUP('Données projet'!$B$16,Paramètres!$A$1:$I$89,5,0)</f>
        <v>258.77280000000002</v>
      </c>
      <c r="FG177" s="13">
        <f t="shared" si="182"/>
        <v>62.460716522234691</v>
      </c>
      <c r="FH177" s="20">
        <f t="shared" si="183"/>
        <v>559.48170794289206</v>
      </c>
      <c r="FI177" s="59">
        <f t="shared" si="131"/>
        <v>848.45204601070179</v>
      </c>
      <c r="FJ177" s="59">
        <f ca="1">AVERAGE(OFFSET($FI$3,0,0,'Données projet'!$E$16+1,1))-AVERAGE(OFFSET($H$3,0,0,'Données projet'!$E$16+1,1))</f>
        <v>383.47399633251354</v>
      </c>
      <c r="FK177" s="59">
        <f t="shared" si="156"/>
        <v>370.49129421395628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>
        <f>EXP(-LN(2)/35)*FQ176+(1-EXP(-LN(2)/35))/(LN(2)/35)*FM177*FN177*VLOOKUP('Données projet'!$B$16,Paramètres!$A$1:$I$89,3,0)*0.475*44/12</f>
        <v>8.4256782902253722</v>
      </c>
      <c r="FR177" s="21">
        <f>EXP(-LN(2)/25)*FR176+(1-EXP(-LN(2)/25))/(LN(2)/25)*Calculateur!FM177*Calculateur!FO177*VLOOKUP('Données projet'!$B$16,Paramètres!$A$1:$I$89,3,0)*0.475*44/12</f>
        <v>0</v>
      </c>
      <c r="FS177" s="21">
        <f>EXP(-LN(2)/2)*FS176+(1-EXP(-LN(2)/2))/(LN(2)/2)*FM177*FP177*VLOOKUP('Données projet'!$B$16,Paramètres!$A$1:$I$89,3,0)*0.475*44/12</f>
        <v>0</v>
      </c>
      <c r="FT177" s="22">
        <f t="shared" si="184"/>
        <v>8.4256782902253722</v>
      </c>
      <c r="FU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19.8100000000004</v>
      </c>
      <c r="GA177" s="17">
        <f>FZ177*VLOOKUP('Données projet'!$B$17,Paramètres!$A$1:$I$89,3,0)*VLOOKUP('Données projet'!$B$17,Paramètres!$A$1:$I$89,5,0)</f>
        <v>18.851196000000382</v>
      </c>
      <c r="GB177" s="13">
        <f t="shared" si="185"/>
        <v>6.172221809210666</v>
      </c>
      <c r="GC177" s="20">
        <f t="shared" si="186"/>
        <v>43.582452684375909</v>
      </c>
      <c r="GD177" s="59">
        <f t="shared" si="134"/>
        <v>332.55279075218562</v>
      </c>
      <c r="GE177" s="59">
        <f ca="1">AVERAGE(OFFSET($GD$3,0,0,'Données projet'!$E$17+1,1))-AVERAGE(OFFSET($H$3,0,0,'Données projet'!$E$17+1,1))</f>
        <v>592.58528889137358</v>
      </c>
      <c r="GF177" s="59">
        <f t="shared" si="158"/>
        <v>311.31528020403709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>
        <f>EXP(-LN(2)/35)*GL176+(1-EXP(-LN(2)/35))/(LN(2)/35)*GH177*GI177*VLOOKUP('Données projet'!$B$17,Paramètres!$A$1:$I$89,3,0)*0.475*44/12</f>
        <v>124.35826441660544</v>
      </c>
      <c r="GM177" s="21">
        <f>EXP(-LN(2)/25)*GM176+(1-EXP(-LN(2)/25))/(LN(2)/25)*Calculateur!GH177*Calculateur!GJ177*VLOOKUP('Données projet'!$B$17,Paramètres!$A$1:$I$89,3,0)*0.475*44/12</f>
        <v>0</v>
      </c>
      <c r="GN177" s="21">
        <f>EXP(-LN(2)/2)*GN176+(1-EXP(-LN(2)/2))/(LN(2)/2)*GH177*GK177*VLOOKUP('Données projet'!$B$17,Paramètres!$A$1:$I$89,3,0)*0.475*44/12</f>
        <v>0</v>
      </c>
      <c r="GO177" s="21">
        <f t="shared" si="187"/>
        <v>124.35826441660544</v>
      </c>
      <c r="GP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328.00000000000006</v>
      </c>
      <c r="GV177" s="17">
        <f>GU177*VLOOKUP('Données projet'!$B$18,Paramètres!$A$1:$I$89,3,0)*VLOOKUP('Données projet'!$B$18,Paramètres!$A$1:$I$89,5,0)</f>
        <v>255.84000000000006</v>
      </c>
      <c r="GW177" s="13">
        <f t="shared" si="188"/>
        <v>61.834803371075836</v>
      </c>
      <c r="GX177" s="20">
        <f t="shared" si="189"/>
        <v>553.28361587129041</v>
      </c>
      <c r="GY177" s="59">
        <f t="shared" si="137"/>
        <v>842.25395393910014</v>
      </c>
      <c r="GZ177" s="59">
        <f ca="1">AVERAGE(OFFSET($GY$3,0,0,'Données projet'!$E$18+1,1))-AVERAGE(OFFSET($H$3,0,0,'Données projet'!$E$18+1,1))</f>
        <v>308.85018589589453</v>
      </c>
      <c r="HA177" s="59">
        <f t="shared" si="160"/>
        <v>302.59481222418219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>
        <f>EXP(-LN(2)/35)*HG176+(1-EXP(-LN(2)/35))/(LN(2)/35)*HC177*HD177*VLOOKUP('Données projet'!$B$18,Paramètres!$A$1:$I$89,3,0)*0.475*44/12</f>
        <v>6.2975246775102693</v>
      </c>
      <c r="HH177" s="21">
        <f>EXP(-LN(2)/25)*HH176+(1-EXP(-LN(2)/25))/(LN(2)/25)*Calculateur!HC177*Calculateur!HE177*VLOOKUP('Données projet'!$B$18,Paramètres!$A$1:$I$89,3,0)*0.475*44/12</f>
        <v>0</v>
      </c>
      <c r="HI177" s="21">
        <f>EXP(-LN(2)/2)*HI176+(1-EXP(-LN(2)/2))/(LN(2)/2)*HC177*HF177*VLOOKUP('Données projet'!$B$18,Paramètres!$A$1:$I$89,3,0)*0.475*44/12</f>
        <v>0</v>
      </c>
      <c r="HJ177" s="22">
        <f t="shared" si="190"/>
        <v>6.2975246775102693</v>
      </c>
    </row>
    <row r="178" spans="1:218" x14ac:dyDescent="0.35">
      <c r="A178" s="10">
        <f t="shared" si="161"/>
        <v>175</v>
      </c>
      <c r="B178" s="72">
        <f>'Scénario référence'!$B$16*5+'Scénario référence'!$B$17*0+'Scénario référence'!$B$18*5</f>
        <v>5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66">
        <f t="shared" si="110"/>
        <v>183.33333333333334</v>
      </c>
      <c r="I178" s="6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19.8100000000004</v>
      </c>
      <c r="O178" s="13">
        <f>N178*VLOOKUP('Données projet'!$B$9,Paramètres!$A$1:$I$89,3,0)*VLOOKUP('Données projet'!$B$9,Paramètres!$A$1:$I$89,5,0)</f>
        <v>17.924088000000364</v>
      </c>
      <c r="P178" s="13">
        <f t="shared" si="141"/>
        <v>5.9032212091029486</v>
      </c>
      <c r="Q178" s="20">
        <f t="shared" si="162"/>
        <v>41.499230205854936</v>
      </c>
      <c r="R178" s="59">
        <f t="shared" si="109"/>
        <v>330.54525648732533</v>
      </c>
      <c r="S178" s="59">
        <f ca="1">AVERAGE(OFFSET($R$3,0,0,'Données projet'!$E$9+1,1))-AVERAGE(OFFSET($H$3,0,0,'Données projet'!$E$9+1,1))</f>
        <v>567.42635821507474</v>
      </c>
      <c r="T178" s="59">
        <f t="shared" si="142"/>
        <v>299.04735309930152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115.9236251269172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115.9236251269172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19.8100000000004</v>
      </c>
      <c r="AJ178" s="13">
        <f>AI178*VLOOKUP('Données projet'!$B$10,Paramètres!$A$1:$I$89,3,0)*VLOOKUP('Données projet'!$B$10,Paramètres!$A$1:$I$89,5,0)</f>
        <v>20.08734000000041</v>
      </c>
      <c r="AK178" s="13">
        <f t="shared" si="164"/>
        <v>6.5285137703520215</v>
      </c>
      <c r="AL178" s="20">
        <f t="shared" si="165"/>
        <v>46.355945316697152</v>
      </c>
      <c r="AM178" s="59">
        <f t="shared" si="113"/>
        <v>335.40197159816756</v>
      </c>
      <c r="AN178" s="59">
        <f ca="1">AVERAGE(OFFSET($AM$3,0,0,'Données projet'!$E$10+1,1))-AVERAGE(OFFSET($H$3,0,0,'Données projet'!$E$10+1,1))</f>
        <v>626.09203985591455</v>
      </c>
      <c r="AO178" s="59">
        <f t="shared" si="144"/>
        <v>327.65191296575199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129.91440746982101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129.91440746982101</v>
      </c>
      <c r="AY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404.00000000000017</v>
      </c>
      <c r="BE178" s="13">
        <f>BD178*VLOOKUP('Données projet'!$B$11,Paramètres!$A$1:$I$89,3,0)*VLOOKUP('Données projet'!$B$11,Paramètres!$A$1:$I$89,5,0)</f>
        <v>346.63200000000018</v>
      </c>
      <c r="BF178" s="13">
        <f t="shared" si="167"/>
        <v>80.868615263336864</v>
      </c>
      <c r="BG178" s="20">
        <f t="shared" si="168"/>
        <v>744.56357158364528</v>
      </c>
      <c r="BH178" s="59">
        <f t="shared" si="116"/>
        <v>1033.6095978651156</v>
      </c>
      <c r="BI178" s="59">
        <f ca="1">AVERAGE(OFFSET($BH$3,0,0,'Données projet'!$E$11+1,1))-AVERAGE(OFFSET($H$3,0,0,'Données projet'!$E$11+1,1))</f>
        <v>481.23392184981651</v>
      </c>
      <c r="BJ178" s="59">
        <f t="shared" si="146"/>
        <v>275.88160405468193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33.632603858055816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33.632603858055816</v>
      </c>
      <c r="BT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5.2499999999990337</v>
      </c>
      <c r="BZ178" s="13">
        <f>BY178*VLOOKUP('Données projet'!$B$12,Paramètres!$A$1:$I$89,3,0)*VLOOKUP('Données projet'!$B$12,Paramètres!$A$1:$I$89,5,0)</f>
        <v>2.4569999999995478</v>
      </c>
      <c r="CA178" s="13">
        <f t="shared" si="170"/>
        <v>1.0197977774625564</v>
      </c>
      <c r="CB178" s="20">
        <f t="shared" si="171"/>
        <v>6.0554227957464972</v>
      </c>
      <c r="CC178" s="59">
        <f t="shared" si="119"/>
        <v>295.1014490772169</v>
      </c>
      <c r="CD178" s="59">
        <f ca="1">AVERAGE(OFFSET($CC$3,0,0,'Données projet'!$E$12+1,1))-AVERAGE(OFFSET($H$3,0,0,'Données projet'!$E$12+1,1))</f>
        <v>331.86732359395467</v>
      </c>
      <c r="CE178" s="59">
        <f t="shared" si="148"/>
        <v>208.64489375183106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65.728165617331996</v>
      </c>
      <c r="CL178" s="21">
        <f>EXP(-LN(2)/25)*CL177+(1-EXP(-LN(2)/25))/(LN(2)/25)*Calculateur!CG178*Calculateur!CI178*VLOOKUP('Données projet'!$B$12,Paramètres!$A$1:$I$89,3,0)*0.475*44/12</f>
        <v>0</v>
      </c>
      <c r="CM178" s="21">
        <f>EXP(-LN(2)/2)*CM177+(1-EXP(-LN(2)/2))/(LN(2)/2)*CG178*CJ178*VLOOKUP('Données projet'!$B$12,Paramètres!$A$1:$I$89,3,0)*0.475*44/12</f>
        <v>0</v>
      </c>
      <c r="CN178" s="22">
        <f t="shared" si="172"/>
        <v>65.728165617331996</v>
      </c>
      <c r="CO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319</v>
      </c>
      <c r="CU178" s="17">
        <f>CT178*VLOOKUP('Données projet'!$B$13,Paramètres!$A$1:$I$89,3,0)*VLOOKUP('Données projet'!$B$13,Paramètres!$A$1:$I$89,5,0)</f>
        <v>233.89079999999998</v>
      </c>
      <c r="CV178" s="13">
        <f t="shared" si="173"/>
        <v>57.123140349023068</v>
      </c>
      <c r="CW178" s="20">
        <f t="shared" si="174"/>
        <v>506.84927944121517</v>
      </c>
      <c r="CX178" s="59">
        <f t="shared" si="122"/>
        <v>795.89530572268563</v>
      </c>
      <c r="CY178" s="59">
        <f ca="1">AVERAGE(OFFSET($CX$3,0,0,'Données projet'!$E$13+1,1))-AVERAGE(OFFSET($H$3,0,0,'Données projet'!$E$13+1,1))</f>
        <v>352.45777291109863</v>
      </c>
      <c r="CZ178" s="59">
        <f t="shared" si="150"/>
        <v>340.92165104349181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6.0574678264372368</v>
      </c>
      <c r="DG178" s="21">
        <f>EXP(-LN(2)/25)*DG177+(1-EXP(-LN(2)/25))/(LN(2)/25)*Calculateur!DB178*Calculateur!DD178*VLOOKUP('Données projet'!$B$13,Paramètres!$A$1:$I$89,3,0)*0.475*44/12</f>
        <v>0</v>
      </c>
      <c r="DH178" s="21">
        <f>EXP(-LN(2)/2)*DH177+(1-EXP(-LN(2)/2))/(LN(2)/2)*DB178*DE178*VLOOKUP('Données projet'!$B$13,Paramètres!$A$1:$I$89,3,0)*0.475*44/12</f>
        <v>0</v>
      </c>
      <c r="DI178" s="22">
        <f t="shared" si="175"/>
        <v>6.0574678264372368</v>
      </c>
      <c r="DJ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19.8100000000004</v>
      </c>
      <c r="DP178" s="17">
        <f>DO178*VLOOKUP('Données projet'!$B$14,Paramètres!$A$1:$I$89,3,0)*VLOOKUP('Données projet'!$B$14,Paramètres!$A$1:$I$89,5,0)</f>
        <v>13.288548000000269</v>
      </c>
      <c r="DQ178" s="13">
        <f t="shared" si="176"/>
        <v>4.531654695205642</v>
      </c>
      <c r="DR178" s="20">
        <f t="shared" si="177"/>
        <v>31.036853027483627</v>
      </c>
      <c r="DS178" s="59">
        <f t="shared" si="125"/>
        <v>320.08287930895403</v>
      </c>
      <c r="DT178" s="59">
        <f ca="1">AVERAGE(OFFSET($DS$3,0,0,'Données projet'!$E$14+1,1))-AVERAGE(OFFSET($H$3,0,0,'Données projet'!$E$14+1,1))</f>
        <v>441.20130048888439</v>
      </c>
      <c r="DU178" s="59">
        <f t="shared" si="152"/>
        <v>237.47732532183946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105.93020916770017</v>
      </c>
      <c r="EB178" s="21">
        <f>EXP(-LN(2)/25)*EB177+(1-EXP(-LN(2)/25))/(LN(2)/25)*Calculateur!DW178*Calculateur!DY178*VLOOKUP('Données projet'!$B$14,Paramètres!$A$1:$I$89,3,0)*0.475*44/12</f>
        <v>0</v>
      </c>
      <c r="EC178" s="21">
        <f>EXP(-LN(2)/2)*EC177+(1-EXP(-LN(2)/2))/(LN(2)/2)*DW178*DZ178*VLOOKUP('Données projet'!$B$14,Paramètres!$A$1:$I$89,3,0)*0.475*44/12</f>
        <v>0</v>
      </c>
      <c r="ED178" s="22">
        <f t="shared" si="178"/>
        <v>105.93020916770017</v>
      </c>
      <c r="EE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319</v>
      </c>
      <c r="EK178" s="17">
        <f>EJ178*VLOOKUP('Données projet'!$B$15,Paramètres!$A$1:$I$89,3,0)*VLOOKUP('Données projet'!$B$15,Paramètres!$A$1:$I$89,5,0)</f>
        <v>253.79640000000001</v>
      </c>
      <c r="EL178" s="13">
        <f t="shared" si="179"/>
        <v>61.39816832228076</v>
      </c>
      <c r="EM178" s="20">
        <f t="shared" si="180"/>
        <v>548.96387316130563</v>
      </c>
      <c r="EN178" s="59">
        <f t="shared" si="128"/>
        <v>838.00989944277603</v>
      </c>
      <c r="EO178" s="59">
        <f ca="1">AVERAGE(OFFSET($EN$3,0,0,'Données projet'!$E$15+1,1))-AVERAGE(OFFSET($H$3,0,0,'Données projet'!$E$15+1,1))</f>
        <v>377.27600411578322</v>
      </c>
      <c r="EP178" s="59">
        <f t="shared" si="154"/>
        <v>364.58250627635425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>
        <f>EXP(-LN(2)/35)*EV177+(1-EXP(-LN(2)/35))/(LN(2)/35)*ER178*ES178*VLOOKUP('Données projet'!$B$15,Paramètres!$A$1:$I$89,3,0)*0.475*44/12</f>
        <v>8.1016009573774586</v>
      </c>
      <c r="EW178" s="21">
        <f>EXP(-LN(2)/25)*EW177+(1-EXP(-LN(2)/25))/(LN(2)/25)*Calculateur!ER178*Calculateur!ET178*VLOOKUP('Données projet'!$B$15,Paramètres!$A$1:$I$89,3,0)*0.475*44/12</f>
        <v>0</v>
      </c>
      <c r="EX178" s="21">
        <f>EXP(-LN(2)/2)*EX177+(1-EXP(-LN(2)/2))/(LN(2)/2)*ER178*EU178*VLOOKUP('Données projet'!$B$15,Paramètres!$A$1:$I$89,3,0)*0.475*44/12</f>
        <v>0</v>
      </c>
      <c r="EY178" s="22">
        <f t="shared" si="181"/>
        <v>8.1016009573774586</v>
      </c>
      <c r="EZ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319</v>
      </c>
      <c r="FF178" s="17">
        <f>FE178*VLOOKUP('Données projet'!$B$16,Paramètres!$A$1:$I$89,3,0)*VLOOKUP('Données projet'!$B$16,Paramètres!$A$1:$I$89,5,0)</f>
        <v>258.77280000000002</v>
      </c>
      <c r="FG178" s="13">
        <f t="shared" si="182"/>
        <v>62.460716522234691</v>
      </c>
      <c r="FH178" s="20">
        <f t="shared" si="183"/>
        <v>559.48170794289206</v>
      </c>
      <c r="FI178" s="59">
        <f t="shared" si="131"/>
        <v>848.52773422436246</v>
      </c>
      <c r="FJ178" s="59">
        <f ca="1">AVERAGE(OFFSET($FI$3,0,0,'Données projet'!$E$16+1,1))-AVERAGE(OFFSET($H$3,0,0,'Données projet'!$E$16+1,1))</f>
        <v>383.47399633251354</v>
      </c>
      <c r="FK178" s="59">
        <f t="shared" si="156"/>
        <v>370.49129421395628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>
        <f>EXP(-LN(2)/35)*FQ177+(1-EXP(-LN(2)/35))/(LN(2)/35)*FM178*FN178*VLOOKUP('Données projet'!$B$16,Paramètres!$A$1:$I$89,3,0)*0.475*44/12</f>
        <v>8.2604558781103599</v>
      </c>
      <c r="FR178" s="21">
        <f>EXP(-LN(2)/25)*FR177+(1-EXP(-LN(2)/25))/(LN(2)/25)*Calculateur!FM178*Calculateur!FO178*VLOOKUP('Données projet'!$B$16,Paramètres!$A$1:$I$89,3,0)*0.475*44/12</f>
        <v>0</v>
      </c>
      <c r="FS178" s="21">
        <f>EXP(-LN(2)/2)*FS177+(1-EXP(-LN(2)/2))/(LN(2)/2)*FM178*FP178*VLOOKUP('Données projet'!$B$16,Paramètres!$A$1:$I$89,3,0)*0.475*44/12</f>
        <v>0</v>
      </c>
      <c r="FT178" s="22">
        <f t="shared" si="184"/>
        <v>8.2604558781103599</v>
      </c>
      <c r="FU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19.8100000000004</v>
      </c>
      <c r="GA178" s="17">
        <f>FZ178*VLOOKUP('Données projet'!$B$17,Paramètres!$A$1:$I$89,3,0)*VLOOKUP('Données projet'!$B$17,Paramètres!$A$1:$I$89,5,0)</f>
        <v>18.851196000000382</v>
      </c>
      <c r="GB178" s="13">
        <f t="shared" si="185"/>
        <v>6.172221809210666</v>
      </c>
      <c r="GC178" s="20">
        <f t="shared" si="186"/>
        <v>43.582452684375909</v>
      </c>
      <c r="GD178" s="59">
        <f t="shared" si="134"/>
        <v>332.62847896584628</v>
      </c>
      <c r="GE178" s="59">
        <f ca="1">AVERAGE(OFFSET($GD$3,0,0,'Données projet'!$E$17+1,1))-AVERAGE(OFFSET($H$3,0,0,'Données projet'!$E$17+1,1))</f>
        <v>592.58528889137358</v>
      </c>
      <c r="GF178" s="59">
        <f t="shared" si="158"/>
        <v>311.31528020403709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>
        <f>EXP(-LN(2)/35)*GL177+(1-EXP(-LN(2)/35))/(LN(2)/35)*GH178*GI178*VLOOKUP('Données projet'!$B$17,Paramètres!$A$1:$I$89,3,0)*0.475*44/12</f>
        <v>121.91967470244742</v>
      </c>
      <c r="GM178" s="21">
        <f>EXP(-LN(2)/25)*GM177+(1-EXP(-LN(2)/25))/(LN(2)/25)*Calculateur!GH178*Calculateur!GJ178*VLOOKUP('Données projet'!$B$17,Paramètres!$A$1:$I$89,3,0)*0.475*44/12</f>
        <v>0</v>
      </c>
      <c r="GN178" s="21">
        <f>EXP(-LN(2)/2)*GN177+(1-EXP(-LN(2)/2))/(LN(2)/2)*GH178*GK178*VLOOKUP('Données projet'!$B$17,Paramètres!$A$1:$I$89,3,0)*0.475*44/12</f>
        <v>0</v>
      </c>
      <c r="GO178" s="21">
        <f t="shared" si="187"/>
        <v>121.91967470244742</v>
      </c>
      <c r="GP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328.00000000000006</v>
      </c>
      <c r="GV178" s="17">
        <f>GU178*VLOOKUP('Données projet'!$B$18,Paramètres!$A$1:$I$89,3,0)*VLOOKUP('Données projet'!$B$18,Paramètres!$A$1:$I$89,5,0)</f>
        <v>255.84000000000006</v>
      </c>
      <c r="GW178" s="13">
        <f t="shared" si="188"/>
        <v>61.834803371075836</v>
      </c>
      <c r="GX178" s="20">
        <f t="shared" si="189"/>
        <v>553.28361587129041</v>
      </c>
      <c r="GY178" s="59">
        <f t="shared" si="137"/>
        <v>842.32964215276081</v>
      </c>
      <c r="GZ178" s="59">
        <f ca="1">AVERAGE(OFFSET($GY$3,0,0,'Données projet'!$E$18+1,1))-AVERAGE(OFFSET($H$3,0,0,'Données projet'!$E$18+1,1))</f>
        <v>308.85018589589453</v>
      </c>
      <c r="HA178" s="59">
        <f t="shared" si="160"/>
        <v>302.59481222418219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>
        <f>EXP(-LN(2)/35)*HG177+(1-EXP(-LN(2)/35))/(LN(2)/35)*HC178*HD178*VLOOKUP('Données projet'!$B$18,Paramètres!$A$1:$I$89,3,0)*0.475*44/12</f>
        <v>6.1740340596950682</v>
      </c>
      <c r="HH178" s="21">
        <f>EXP(-LN(2)/25)*HH177+(1-EXP(-LN(2)/25))/(LN(2)/25)*Calculateur!HC178*Calculateur!HE178*VLOOKUP('Données projet'!$B$18,Paramètres!$A$1:$I$89,3,0)*0.475*44/12</f>
        <v>0</v>
      </c>
      <c r="HI178" s="21">
        <f>EXP(-LN(2)/2)*HI177+(1-EXP(-LN(2)/2))/(LN(2)/2)*HC178*HF178*VLOOKUP('Données projet'!$B$18,Paramètres!$A$1:$I$89,3,0)*0.475*44/12</f>
        <v>0</v>
      </c>
      <c r="HJ178" s="22">
        <f t="shared" si="190"/>
        <v>6.1740340596950682</v>
      </c>
    </row>
    <row r="179" spans="1:218" x14ac:dyDescent="0.35">
      <c r="A179" s="10">
        <f t="shared" si="161"/>
        <v>176</v>
      </c>
      <c r="B179" s="72">
        <f>'Scénario référence'!$B$16*5+'Scénario référence'!$B$17*0+'Scénario référence'!$B$18*5</f>
        <v>5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66">
        <f t="shared" si="110"/>
        <v>183.33333333333334</v>
      </c>
      <c r="I179" s="6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19.8100000000004</v>
      </c>
      <c r="O179" s="13">
        <f>N179*VLOOKUP('Données projet'!$B$9,Paramètres!$A$1:$I$89,3,0)*VLOOKUP('Données projet'!$B$9,Paramètres!$A$1:$I$89,5,0)</f>
        <v>17.924088000000364</v>
      </c>
      <c r="P179" s="13">
        <f t="shared" si="141"/>
        <v>5.9032212091029486</v>
      </c>
      <c r="Q179" s="20">
        <f t="shared" si="162"/>
        <v>41.499230205854936</v>
      </c>
      <c r="R179" s="59">
        <f t="shared" si="109"/>
        <v>330.61963167969253</v>
      </c>
      <c r="S179" s="59">
        <f ca="1">AVERAGE(OFFSET($R$3,0,0,'Données projet'!$E$9+1,1))-AVERAGE(OFFSET($H$3,0,0,'Données projet'!$E$9+1,1))</f>
        <v>567.42635821507474</v>
      </c>
      <c r="T179" s="59">
        <f t="shared" si="142"/>
        <v>299.04735309930152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113.65043354460801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113.65043354460801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19.8100000000004</v>
      </c>
      <c r="AJ179" s="13">
        <f>AI179*VLOOKUP('Données projet'!$B$10,Paramètres!$A$1:$I$89,3,0)*VLOOKUP('Données projet'!$B$10,Paramètres!$A$1:$I$89,5,0)</f>
        <v>20.08734000000041</v>
      </c>
      <c r="AK179" s="13">
        <f t="shared" si="164"/>
        <v>6.5285137703520215</v>
      </c>
      <c r="AL179" s="20">
        <f t="shared" si="165"/>
        <v>46.355945316697152</v>
      </c>
      <c r="AM179" s="59">
        <f t="shared" si="113"/>
        <v>335.47634679053476</v>
      </c>
      <c r="AN179" s="59">
        <f ca="1">AVERAGE(OFFSET($AM$3,0,0,'Données projet'!$E$10+1,1))-AVERAGE(OFFSET($H$3,0,0,'Données projet'!$E$10+1,1))</f>
        <v>626.09203985591455</v>
      </c>
      <c r="AO179" s="59">
        <f t="shared" si="144"/>
        <v>327.65191296575199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127.36686517930208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127.36686517930208</v>
      </c>
      <c r="AY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404.00000000000017</v>
      </c>
      <c r="BE179" s="13">
        <f>BD179*VLOOKUP('Données projet'!$B$11,Paramètres!$A$1:$I$89,3,0)*VLOOKUP('Données projet'!$B$11,Paramètres!$A$1:$I$89,5,0)</f>
        <v>346.63200000000018</v>
      </c>
      <c r="BF179" s="13">
        <f t="shared" si="167"/>
        <v>80.868615263336864</v>
      </c>
      <c r="BG179" s="20">
        <f t="shared" si="168"/>
        <v>744.56357158364528</v>
      </c>
      <c r="BH179" s="59">
        <f t="shared" si="116"/>
        <v>1033.6839730574829</v>
      </c>
      <c r="BI179" s="59">
        <f ca="1">AVERAGE(OFFSET($BH$3,0,0,'Données projet'!$E$11+1,1))-AVERAGE(OFFSET($H$3,0,0,'Données projet'!$E$11+1,1))</f>
        <v>481.23392184981651</v>
      </c>
      <c r="BJ179" s="59">
        <f t="shared" si="146"/>
        <v>275.88160405468193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32.973089010262122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32.973089010262122</v>
      </c>
      <c r="BT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5.2499999999990337</v>
      </c>
      <c r="BZ179" s="13">
        <f>BY179*VLOOKUP('Données projet'!$B$12,Paramètres!$A$1:$I$89,3,0)*VLOOKUP('Données projet'!$B$12,Paramètres!$A$1:$I$89,5,0)</f>
        <v>2.4569999999995478</v>
      </c>
      <c r="CA179" s="13">
        <f t="shared" si="170"/>
        <v>1.0197977774625564</v>
      </c>
      <c r="CB179" s="20">
        <f t="shared" si="171"/>
        <v>6.0554227957464972</v>
      </c>
      <c r="CC179" s="59">
        <f t="shared" si="119"/>
        <v>295.1758242695841</v>
      </c>
      <c r="CD179" s="59">
        <f ca="1">AVERAGE(OFFSET($CC$3,0,0,'Données projet'!$E$12+1,1))-AVERAGE(OFFSET($H$3,0,0,'Données projet'!$E$12+1,1))</f>
        <v>331.86732359395467</v>
      </c>
      <c r="CE179" s="59">
        <f t="shared" si="148"/>
        <v>208.64489375183106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64.439276379798557</v>
      </c>
      <c r="CL179" s="21">
        <f>EXP(-LN(2)/25)*CL178+(1-EXP(-LN(2)/25))/(LN(2)/25)*Calculateur!CG179*Calculateur!CI179*VLOOKUP('Données projet'!$B$12,Paramètres!$A$1:$I$89,3,0)*0.475*44/12</f>
        <v>0</v>
      </c>
      <c r="CM179" s="21">
        <f>EXP(-LN(2)/2)*CM178+(1-EXP(-LN(2)/2))/(LN(2)/2)*CG179*CJ179*VLOOKUP('Données projet'!$B$12,Paramètres!$A$1:$I$89,3,0)*0.475*44/12</f>
        <v>0</v>
      </c>
      <c r="CN179" s="22">
        <f t="shared" si="172"/>
        <v>64.439276379798557</v>
      </c>
      <c r="CO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319</v>
      </c>
      <c r="CU179" s="17">
        <f>CT179*VLOOKUP('Données projet'!$B$13,Paramètres!$A$1:$I$89,3,0)*VLOOKUP('Données projet'!$B$13,Paramètres!$A$1:$I$89,5,0)</f>
        <v>233.89079999999998</v>
      </c>
      <c r="CV179" s="13">
        <f t="shared" si="173"/>
        <v>57.123140349023068</v>
      </c>
      <c r="CW179" s="20">
        <f t="shared" si="174"/>
        <v>506.84927944121517</v>
      </c>
      <c r="CX179" s="59">
        <f t="shared" si="122"/>
        <v>795.96968091505278</v>
      </c>
      <c r="CY179" s="59">
        <f ca="1">AVERAGE(OFFSET($CX$3,0,0,'Données projet'!$E$13+1,1))-AVERAGE(OFFSET($H$3,0,0,'Données projet'!$E$13+1,1))</f>
        <v>352.45777291109863</v>
      </c>
      <c r="CZ179" s="59">
        <f t="shared" si="150"/>
        <v>340.92165104349181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5.9386845770513563</v>
      </c>
      <c r="DG179" s="21">
        <f>EXP(-LN(2)/25)*DG178+(1-EXP(-LN(2)/25))/(LN(2)/25)*Calculateur!DB179*Calculateur!DD179*VLOOKUP('Données projet'!$B$13,Paramètres!$A$1:$I$89,3,0)*0.475*44/12</f>
        <v>0</v>
      </c>
      <c r="DH179" s="21">
        <f>EXP(-LN(2)/2)*DH178+(1-EXP(-LN(2)/2))/(LN(2)/2)*DB179*DE179*VLOOKUP('Données projet'!$B$13,Paramètres!$A$1:$I$89,3,0)*0.475*44/12</f>
        <v>0</v>
      </c>
      <c r="DI179" s="22">
        <f t="shared" si="175"/>
        <v>5.9386845770513563</v>
      </c>
      <c r="DJ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19.8100000000004</v>
      </c>
      <c r="DP179" s="17">
        <f>DO179*VLOOKUP('Données projet'!$B$14,Paramètres!$A$1:$I$89,3,0)*VLOOKUP('Données projet'!$B$14,Paramètres!$A$1:$I$89,5,0)</f>
        <v>13.288548000000269</v>
      </c>
      <c r="DQ179" s="13">
        <f t="shared" si="176"/>
        <v>4.531654695205642</v>
      </c>
      <c r="DR179" s="20">
        <f t="shared" si="177"/>
        <v>31.036853027483627</v>
      </c>
      <c r="DS179" s="59">
        <f t="shared" si="125"/>
        <v>320.15725450132123</v>
      </c>
      <c r="DT179" s="59">
        <f ca="1">AVERAGE(OFFSET($DS$3,0,0,'Données projet'!$E$14+1,1))-AVERAGE(OFFSET($H$3,0,0,'Données projet'!$E$14+1,1))</f>
        <v>441.20130048888439</v>
      </c>
      <c r="DU179" s="59">
        <f t="shared" si="152"/>
        <v>237.47732532183946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103.85298237696935</v>
      </c>
      <c r="EB179" s="21">
        <f>EXP(-LN(2)/25)*EB178+(1-EXP(-LN(2)/25))/(LN(2)/25)*Calculateur!DW179*Calculateur!DY179*VLOOKUP('Données projet'!$B$14,Paramètres!$A$1:$I$89,3,0)*0.475*44/12</f>
        <v>0</v>
      </c>
      <c r="EC179" s="21">
        <f>EXP(-LN(2)/2)*EC178+(1-EXP(-LN(2)/2))/(LN(2)/2)*DW179*DZ179*VLOOKUP('Données projet'!$B$14,Paramètres!$A$1:$I$89,3,0)*0.475*44/12</f>
        <v>0</v>
      </c>
      <c r="ED179" s="22">
        <f t="shared" si="178"/>
        <v>103.85298237696935</v>
      </c>
      <c r="EE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319</v>
      </c>
      <c r="EK179" s="17">
        <f>EJ179*VLOOKUP('Données projet'!$B$15,Paramètres!$A$1:$I$89,3,0)*VLOOKUP('Données projet'!$B$15,Paramètres!$A$1:$I$89,5,0)</f>
        <v>253.79640000000001</v>
      </c>
      <c r="EL179" s="13">
        <f t="shared" si="179"/>
        <v>61.39816832228076</v>
      </c>
      <c r="EM179" s="20">
        <f t="shared" si="180"/>
        <v>548.96387316130563</v>
      </c>
      <c r="EN179" s="59">
        <f t="shared" si="128"/>
        <v>838.08427463514317</v>
      </c>
      <c r="EO179" s="59">
        <f ca="1">AVERAGE(OFFSET($EN$3,0,0,'Données projet'!$E$15+1,1))-AVERAGE(OFFSET($H$3,0,0,'Données projet'!$E$15+1,1))</f>
        <v>377.27600411578322</v>
      </c>
      <c r="EP179" s="59">
        <f t="shared" si="154"/>
        <v>364.58250627635425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>
        <f>EXP(-LN(2)/35)*EV178+(1-EXP(-LN(2)/35))/(LN(2)/35)*ER179*ES179*VLOOKUP('Données projet'!$B$15,Paramètres!$A$1:$I$89,3,0)*0.475*44/12</f>
        <v>7.9427335040919393</v>
      </c>
      <c r="EW179" s="21">
        <f>EXP(-LN(2)/25)*EW178+(1-EXP(-LN(2)/25))/(LN(2)/25)*Calculateur!ER179*Calculateur!ET179*VLOOKUP('Données projet'!$B$15,Paramètres!$A$1:$I$89,3,0)*0.475*44/12</f>
        <v>0</v>
      </c>
      <c r="EX179" s="21">
        <f>EXP(-LN(2)/2)*EX178+(1-EXP(-LN(2)/2))/(LN(2)/2)*ER179*EU179*VLOOKUP('Données projet'!$B$15,Paramètres!$A$1:$I$89,3,0)*0.475*44/12</f>
        <v>0</v>
      </c>
      <c r="EY179" s="22">
        <f t="shared" si="181"/>
        <v>7.9427335040919393</v>
      </c>
      <c r="EZ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319</v>
      </c>
      <c r="FF179" s="17">
        <f>FE179*VLOOKUP('Données projet'!$B$16,Paramètres!$A$1:$I$89,3,0)*VLOOKUP('Données projet'!$B$16,Paramètres!$A$1:$I$89,5,0)</f>
        <v>258.77280000000002</v>
      </c>
      <c r="FG179" s="13">
        <f t="shared" si="182"/>
        <v>62.460716522234691</v>
      </c>
      <c r="FH179" s="20">
        <f t="shared" si="183"/>
        <v>559.48170794289206</v>
      </c>
      <c r="FI179" s="59">
        <f t="shared" si="131"/>
        <v>848.60210941672972</v>
      </c>
      <c r="FJ179" s="59">
        <f ca="1">AVERAGE(OFFSET($FI$3,0,0,'Données projet'!$E$16+1,1))-AVERAGE(OFFSET($H$3,0,0,'Données projet'!$E$16+1,1))</f>
        <v>383.47399633251354</v>
      </c>
      <c r="FK179" s="59">
        <f t="shared" si="156"/>
        <v>370.49129421395628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>
        <f>EXP(-LN(2)/35)*FQ178+(1-EXP(-LN(2)/35))/(LN(2)/35)*FM179*FN179*VLOOKUP('Données projet'!$B$16,Paramètres!$A$1:$I$89,3,0)*0.475*44/12</f>
        <v>8.098473376721202</v>
      </c>
      <c r="FR179" s="21">
        <f>EXP(-LN(2)/25)*FR178+(1-EXP(-LN(2)/25))/(LN(2)/25)*Calculateur!FM179*Calculateur!FO179*VLOOKUP('Données projet'!$B$16,Paramètres!$A$1:$I$89,3,0)*0.475*44/12</f>
        <v>0</v>
      </c>
      <c r="FS179" s="21">
        <f>EXP(-LN(2)/2)*FS178+(1-EXP(-LN(2)/2))/(LN(2)/2)*FM179*FP179*VLOOKUP('Données projet'!$B$16,Paramètres!$A$1:$I$89,3,0)*0.475*44/12</f>
        <v>0</v>
      </c>
      <c r="FT179" s="22">
        <f t="shared" si="184"/>
        <v>8.098473376721202</v>
      </c>
      <c r="FU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19.8100000000004</v>
      </c>
      <c r="GA179" s="17">
        <f>FZ179*VLOOKUP('Données projet'!$B$17,Paramètres!$A$1:$I$89,3,0)*VLOOKUP('Données projet'!$B$17,Paramètres!$A$1:$I$89,5,0)</f>
        <v>18.851196000000382</v>
      </c>
      <c r="GB179" s="13">
        <f t="shared" si="185"/>
        <v>6.172221809210666</v>
      </c>
      <c r="GC179" s="20">
        <f t="shared" si="186"/>
        <v>43.582452684375909</v>
      </c>
      <c r="GD179" s="59">
        <f t="shared" si="134"/>
        <v>332.70285415821354</v>
      </c>
      <c r="GE179" s="59">
        <f ca="1">AVERAGE(OFFSET($GD$3,0,0,'Données projet'!$E$17+1,1))-AVERAGE(OFFSET($H$3,0,0,'Données projet'!$E$17+1,1))</f>
        <v>592.58528889137358</v>
      </c>
      <c r="GF179" s="59">
        <f t="shared" si="158"/>
        <v>311.31528020403709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>
        <f>EXP(-LN(2)/35)*GL178+(1-EXP(-LN(2)/35))/(LN(2)/35)*GH179*GI179*VLOOKUP('Données projet'!$B$17,Paramètres!$A$1:$I$89,3,0)*0.475*44/12</f>
        <v>119.5289042451912</v>
      </c>
      <c r="GM179" s="21">
        <f>EXP(-LN(2)/25)*GM178+(1-EXP(-LN(2)/25))/(LN(2)/25)*Calculateur!GH179*Calculateur!GJ179*VLOOKUP('Données projet'!$B$17,Paramètres!$A$1:$I$89,3,0)*0.475*44/12</f>
        <v>0</v>
      </c>
      <c r="GN179" s="21">
        <f>EXP(-LN(2)/2)*GN178+(1-EXP(-LN(2)/2))/(LN(2)/2)*GH179*GK179*VLOOKUP('Données projet'!$B$17,Paramètres!$A$1:$I$89,3,0)*0.475*44/12</f>
        <v>0</v>
      </c>
      <c r="GO179" s="21">
        <f t="shared" si="187"/>
        <v>119.5289042451912</v>
      </c>
      <c r="GP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328.00000000000006</v>
      </c>
      <c r="GV179" s="17">
        <f>GU179*VLOOKUP('Données projet'!$B$18,Paramètres!$A$1:$I$89,3,0)*VLOOKUP('Données projet'!$B$18,Paramètres!$A$1:$I$89,5,0)</f>
        <v>255.84000000000006</v>
      </c>
      <c r="GW179" s="13">
        <f t="shared" si="188"/>
        <v>61.834803371075836</v>
      </c>
      <c r="GX179" s="20">
        <f t="shared" si="189"/>
        <v>553.28361587129041</v>
      </c>
      <c r="GY179" s="59">
        <f t="shared" si="137"/>
        <v>842.40401734512807</v>
      </c>
      <c r="GZ179" s="59">
        <f ca="1">AVERAGE(OFFSET($GY$3,0,0,'Données projet'!$E$18+1,1))-AVERAGE(OFFSET($H$3,0,0,'Données projet'!$E$18+1,1))</f>
        <v>308.85018589589453</v>
      </c>
      <c r="HA179" s="59">
        <f t="shared" si="160"/>
        <v>302.59481222418219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>
        <f>EXP(-LN(2)/35)*HG178+(1-EXP(-LN(2)/35))/(LN(2)/35)*HC179*HD179*VLOOKUP('Données projet'!$B$18,Paramètres!$A$1:$I$89,3,0)*0.475*44/12</f>
        <v>6.052965017573384</v>
      </c>
      <c r="HH179" s="21">
        <f>EXP(-LN(2)/25)*HH178+(1-EXP(-LN(2)/25))/(LN(2)/25)*Calculateur!HC179*Calculateur!HE179*VLOOKUP('Données projet'!$B$18,Paramètres!$A$1:$I$89,3,0)*0.475*44/12</f>
        <v>0</v>
      </c>
      <c r="HI179" s="21">
        <f>EXP(-LN(2)/2)*HI178+(1-EXP(-LN(2)/2))/(LN(2)/2)*HC179*HF179*VLOOKUP('Données projet'!$B$18,Paramètres!$A$1:$I$89,3,0)*0.475*44/12</f>
        <v>0</v>
      </c>
      <c r="HJ179" s="22">
        <f t="shared" si="190"/>
        <v>6.052965017573384</v>
      </c>
    </row>
    <row r="180" spans="1:218" x14ac:dyDescent="0.35">
      <c r="A180" s="10">
        <f t="shared" si="161"/>
        <v>177</v>
      </c>
      <c r="B180" s="72">
        <f>'Scénario référence'!$B$16*5+'Scénario référence'!$B$17*0+'Scénario référence'!$B$18*5</f>
        <v>5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66">
        <f t="shared" si="110"/>
        <v>183.33333333333334</v>
      </c>
      <c r="I180" s="6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19.8100000000004</v>
      </c>
      <c r="O180" s="13">
        <f>N180*VLOOKUP('Données projet'!$B$9,Paramètres!$A$1:$I$89,3,0)*VLOOKUP('Données projet'!$B$9,Paramètres!$A$1:$I$89,5,0)</f>
        <v>17.924088000000364</v>
      </c>
      <c r="P180" s="13">
        <f t="shared" si="141"/>
        <v>5.9032212091029486</v>
      </c>
      <c r="Q180" s="20">
        <f t="shared" si="162"/>
        <v>41.499230205854936</v>
      </c>
      <c r="R180" s="59">
        <f t="shared" si="109"/>
        <v>330.69271662875019</v>
      </c>
      <c r="S180" s="59">
        <f ca="1">AVERAGE(OFFSET($R$3,0,0,'Données projet'!$E$9+1,1))-AVERAGE(OFFSET($H$3,0,0,'Données projet'!$E$9+1,1))</f>
        <v>567.42635821507474</v>
      </c>
      <c r="T180" s="59">
        <f t="shared" si="142"/>
        <v>299.04735309930152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111.42181786271793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111.42181786271793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19.8100000000004</v>
      </c>
      <c r="AJ180" s="13">
        <f>AI180*VLOOKUP('Données projet'!$B$10,Paramètres!$A$1:$I$89,3,0)*VLOOKUP('Données projet'!$B$10,Paramètres!$A$1:$I$89,5,0)</f>
        <v>20.08734000000041</v>
      </c>
      <c r="AK180" s="13">
        <f t="shared" si="164"/>
        <v>6.5285137703520215</v>
      </c>
      <c r="AL180" s="20">
        <f t="shared" si="165"/>
        <v>46.355945316697152</v>
      </c>
      <c r="AM180" s="59">
        <f t="shared" si="113"/>
        <v>335.54943173959242</v>
      </c>
      <c r="AN180" s="59">
        <f ca="1">AVERAGE(OFFSET($AM$3,0,0,'Données projet'!$E$10+1,1))-AVERAGE(OFFSET($H$3,0,0,'Données projet'!$E$10+1,1))</f>
        <v>626.09203985591455</v>
      </c>
      <c r="AO180" s="59">
        <f t="shared" si="144"/>
        <v>327.65191296575199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124.86927863925285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124.86927863925285</v>
      </c>
      <c r="AY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404.00000000000017</v>
      </c>
      <c r="BE180" s="13">
        <f>BD180*VLOOKUP('Données projet'!$B$11,Paramètres!$A$1:$I$89,3,0)*VLOOKUP('Données projet'!$B$11,Paramètres!$A$1:$I$89,5,0)</f>
        <v>346.63200000000018</v>
      </c>
      <c r="BF180" s="13">
        <f t="shared" si="167"/>
        <v>80.868615263336864</v>
      </c>
      <c r="BG180" s="20">
        <f t="shared" si="168"/>
        <v>744.56357158364528</v>
      </c>
      <c r="BH180" s="59">
        <f t="shared" si="116"/>
        <v>1033.7570580065405</v>
      </c>
      <c r="BI180" s="59">
        <f ca="1">AVERAGE(OFFSET($BH$3,0,0,'Données projet'!$E$11+1,1))-AVERAGE(OFFSET($H$3,0,0,'Données projet'!$E$11+1,1))</f>
        <v>481.23392184981651</v>
      </c>
      <c r="BJ180" s="59">
        <f t="shared" si="146"/>
        <v>275.88160405468193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32.32650684636932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32.32650684636932</v>
      </c>
      <c r="BT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5.2499999999990337</v>
      </c>
      <c r="BZ180" s="13">
        <f>BY180*VLOOKUP('Données projet'!$B$12,Paramètres!$A$1:$I$89,3,0)*VLOOKUP('Données projet'!$B$12,Paramètres!$A$1:$I$89,5,0)</f>
        <v>2.4569999999995478</v>
      </c>
      <c r="CA180" s="13">
        <f t="shared" si="170"/>
        <v>1.0197977774625564</v>
      </c>
      <c r="CB180" s="20">
        <f t="shared" si="171"/>
        <v>6.0554227957464972</v>
      </c>
      <c r="CC180" s="59">
        <f t="shared" si="119"/>
        <v>295.24890921864176</v>
      </c>
      <c r="CD180" s="59">
        <f ca="1">AVERAGE(OFFSET($CC$3,0,0,'Données projet'!$E$12+1,1))-AVERAGE(OFFSET($H$3,0,0,'Données projet'!$E$12+1,1))</f>
        <v>331.86732359395467</v>
      </c>
      <c r="CE180" s="59">
        <f t="shared" si="148"/>
        <v>208.64489375183106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63.175661474068342</v>
      </c>
      <c r="CL180" s="21">
        <f>EXP(-LN(2)/25)*CL179+(1-EXP(-LN(2)/25))/(LN(2)/25)*Calculateur!CG180*Calculateur!CI180*VLOOKUP('Données projet'!$B$12,Paramètres!$A$1:$I$89,3,0)*0.475*44/12</f>
        <v>0</v>
      </c>
      <c r="CM180" s="21">
        <f>EXP(-LN(2)/2)*CM179+(1-EXP(-LN(2)/2))/(LN(2)/2)*CG180*CJ180*VLOOKUP('Données projet'!$B$12,Paramètres!$A$1:$I$89,3,0)*0.475*44/12</f>
        <v>0</v>
      </c>
      <c r="CN180" s="22">
        <f t="shared" si="172"/>
        <v>63.175661474068342</v>
      </c>
      <c r="CO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319</v>
      </c>
      <c r="CU180" s="17">
        <f>CT180*VLOOKUP('Données projet'!$B$13,Paramètres!$A$1:$I$89,3,0)*VLOOKUP('Données projet'!$B$13,Paramètres!$A$1:$I$89,5,0)</f>
        <v>233.89079999999998</v>
      </c>
      <c r="CV180" s="13">
        <f t="shared" si="173"/>
        <v>57.123140349023068</v>
      </c>
      <c r="CW180" s="20">
        <f t="shared" si="174"/>
        <v>506.84927944121517</v>
      </c>
      <c r="CX180" s="59">
        <f t="shared" si="122"/>
        <v>796.04276586411038</v>
      </c>
      <c r="CY180" s="59">
        <f ca="1">AVERAGE(OFFSET($CX$3,0,0,'Données projet'!$E$13+1,1))-AVERAGE(OFFSET($H$3,0,0,'Données projet'!$E$13+1,1))</f>
        <v>352.45777291109863</v>
      </c>
      <c r="CZ180" s="59">
        <f t="shared" si="150"/>
        <v>340.92165104349181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5.8222305947353048</v>
      </c>
      <c r="DG180" s="21">
        <f>EXP(-LN(2)/25)*DG179+(1-EXP(-LN(2)/25))/(LN(2)/25)*Calculateur!DB180*Calculateur!DD180*VLOOKUP('Données projet'!$B$13,Paramètres!$A$1:$I$89,3,0)*0.475*44/12</f>
        <v>0</v>
      </c>
      <c r="DH180" s="21">
        <f>EXP(-LN(2)/2)*DH179+(1-EXP(-LN(2)/2))/(LN(2)/2)*DB180*DE180*VLOOKUP('Données projet'!$B$13,Paramètres!$A$1:$I$89,3,0)*0.475*44/12</f>
        <v>0</v>
      </c>
      <c r="DI180" s="22">
        <f t="shared" si="175"/>
        <v>5.8222305947353048</v>
      </c>
      <c r="DJ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19.8100000000004</v>
      </c>
      <c r="DP180" s="17">
        <f>DO180*VLOOKUP('Données projet'!$B$14,Paramètres!$A$1:$I$89,3,0)*VLOOKUP('Données projet'!$B$14,Paramètres!$A$1:$I$89,5,0)</f>
        <v>13.288548000000269</v>
      </c>
      <c r="DQ180" s="13">
        <f t="shared" si="176"/>
        <v>4.531654695205642</v>
      </c>
      <c r="DR180" s="20">
        <f t="shared" si="177"/>
        <v>31.036853027483627</v>
      </c>
      <c r="DS180" s="59">
        <f t="shared" si="125"/>
        <v>320.23033945037889</v>
      </c>
      <c r="DT180" s="59">
        <f ca="1">AVERAGE(OFFSET($DS$3,0,0,'Données projet'!$E$14+1,1))-AVERAGE(OFFSET($H$3,0,0,'Données projet'!$E$14+1,1))</f>
        <v>441.20130048888439</v>
      </c>
      <c r="DU180" s="59">
        <f t="shared" si="152"/>
        <v>237.47732532183946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101.81648873662152</v>
      </c>
      <c r="EB180" s="21">
        <f>EXP(-LN(2)/25)*EB179+(1-EXP(-LN(2)/25))/(LN(2)/25)*Calculateur!DW180*Calculateur!DY180*VLOOKUP('Données projet'!$B$14,Paramètres!$A$1:$I$89,3,0)*0.475*44/12</f>
        <v>0</v>
      </c>
      <c r="EC180" s="21">
        <f>EXP(-LN(2)/2)*EC179+(1-EXP(-LN(2)/2))/(LN(2)/2)*DW180*DZ180*VLOOKUP('Données projet'!$B$14,Paramètres!$A$1:$I$89,3,0)*0.475*44/12</f>
        <v>0</v>
      </c>
      <c r="ED180" s="22">
        <f t="shared" si="178"/>
        <v>101.81648873662152</v>
      </c>
      <c r="EE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319</v>
      </c>
      <c r="EK180" s="17">
        <f>EJ180*VLOOKUP('Données projet'!$B$15,Paramètres!$A$1:$I$89,3,0)*VLOOKUP('Données projet'!$B$15,Paramètres!$A$1:$I$89,5,0)</f>
        <v>253.79640000000001</v>
      </c>
      <c r="EL180" s="13">
        <f t="shared" si="179"/>
        <v>61.39816832228076</v>
      </c>
      <c r="EM180" s="20">
        <f t="shared" si="180"/>
        <v>548.96387316130563</v>
      </c>
      <c r="EN180" s="59">
        <f t="shared" si="128"/>
        <v>838.15735958420089</v>
      </c>
      <c r="EO180" s="59">
        <f ca="1">AVERAGE(OFFSET($EN$3,0,0,'Données projet'!$E$15+1,1))-AVERAGE(OFFSET($H$3,0,0,'Données projet'!$E$15+1,1))</f>
        <v>377.27600411578322</v>
      </c>
      <c r="EP180" s="59">
        <f t="shared" si="154"/>
        <v>364.58250627635425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>
        <f>EXP(-LN(2)/35)*EV179+(1-EXP(-LN(2)/35))/(LN(2)/35)*ER180*ES180*VLOOKUP('Données projet'!$B$15,Paramètres!$A$1:$I$89,3,0)*0.475*44/12</f>
        <v>7.7869813446657705</v>
      </c>
      <c r="EW180" s="21">
        <f>EXP(-LN(2)/25)*EW179+(1-EXP(-LN(2)/25))/(LN(2)/25)*Calculateur!ER180*Calculateur!ET180*VLOOKUP('Données projet'!$B$15,Paramètres!$A$1:$I$89,3,0)*0.475*44/12</f>
        <v>0</v>
      </c>
      <c r="EX180" s="21">
        <f>EXP(-LN(2)/2)*EX179+(1-EXP(-LN(2)/2))/(LN(2)/2)*ER180*EU180*VLOOKUP('Données projet'!$B$15,Paramètres!$A$1:$I$89,3,0)*0.475*44/12</f>
        <v>0</v>
      </c>
      <c r="EY180" s="22">
        <f t="shared" si="181"/>
        <v>7.7869813446657705</v>
      </c>
      <c r="EZ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319</v>
      </c>
      <c r="FF180" s="17">
        <f>FE180*VLOOKUP('Données projet'!$B$16,Paramètres!$A$1:$I$89,3,0)*VLOOKUP('Données projet'!$B$16,Paramètres!$A$1:$I$89,5,0)</f>
        <v>258.77280000000002</v>
      </c>
      <c r="FG180" s="13">
        <f t="shared" si="182"/>
        <v>62.460716522234691</v>
      </c>
      <c r="FH180" s="20">
        <f t="shared" si="183"/>
        <v>559.48170794289206</v>
      </c>
      <c r="FI180" s="59">
        <f t="shared" si="131"/>
        <v>848.67519436578732</v>
      </c>
      <c r="FJ180" s="59">
        <f ca="1">AVERAGE(OFFSET($FI$3,0,0,'Données projet'!$E$16+1,1))-AVERAGE(OFFSET($H$3,0,0,'Données projet'!$E$16+1,1))</f>
        <v>383.47399633251354</v>
      </c>
      <c r="FK180" s="59">
        <f t="shared" si="156"/>
        <v>370.49129421395628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>
        <f>EXP(-LN(2)/35)*FQ179+(1-EXP(-LN(2)/35))/(LN(2)/35)*FM180*FN180*VLOOKUP('Données projet'!$B$16,Paramètres!$A$1:$I$89,3,0)*0.475*44/12</f>
        <v>7.9396672533847159</v>
      </c>
      <c r="FR180" s="21">
        <f>EXP(-LN(2)/25)*FR179+(1-EXP(-LN(2)/25))/(LN(2)/25)*Calculateur!FM180*Calculateur!FO180*VLOOKUP('Données projet'!$B$16,Paramètres!$A$1:$I$89,3,0)*0.475*44/12</f>
        <v>0</v>
      </c>
      <c r="FS180" s="21">
        <f>EXP(-LN(2)/2)*FS179+(1-EXP(-LN(2)/2))/(LN(2)/2)*FM180*FP180*VLOOKUP('Données projet'!$B$16,Paramètres!$A$1:$I$89,3,0)*0.475*44/12</f>
        <v>0</v>
      </c>
      <c r="FT180" s="22">
        <f t="shared" si="184"/>
        <v>7.9396672533847159</v>
      </c>
      <c r="FU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19.8100000000004</v>
      </c>
      <c r="GA180" s="17">
        <f>FZ180*VLOOKUP('Données projet'!$B$17,Paramètres!$A$1:$I$89,3,0)*VLOOKUP('Données projet'!$B$17,Paramètres!$A$1:$I$89,5,0)</f>
        <v>18.851196000000382</v>
      </c>
      <c r="GB180" s="13">
        <f t="shared" si="185"/>
        <v>6.172221809210666</v>
      </c>
      <c r="GC180" s="20">
        <f t="shared" si="186"/>
        <v>43.582452684375909</v>
      </c>
      <c r="GD180" s="59">
        <f t="shared" si="134"/>
        <v>332.77593910727114</v>
      </c>
      <c r="GE180" s="59">
        <f ca="1">AVERAGE(OFFSET($GD$3,0,0,'Données projet'!$E$17+1,1))-AVERAGE(OFFSET($H$3,0,0,'Données projet'!$E$17+1,1))</f>
        <v>592.58528889137358</v>
      </c>
      <c r="GF180" s="59">
        <f t="shared" si="158"/>
        <v>311.31528020403709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>
        <f>EXP(-LN(2)/35)*GL179+(1-EXP(-LN(2)/35))/(LN(2)/35)*GH180*GI180*VLOOKUP('Données projet'!$B$17,Paramètres!$A$1:$I$89,3,0)*0.475*44/12</f>
        <v>117.18501533837578</v>
      </c>
      <c r="GM180" s="21">
        <f>EXP(-LN(2)/25)*GM179+(1-EXP(-LN(2)/25))/(LN(2)/25)*Calculateur!GH180*Calculateur!GJ180*VLOOKUP('Données projet'!$B$17,Paramètres!$A$1:$I$89,3,0)*0.475*44/12</f>
        <v>0</v>
      </c>
      <c r="GN180" s="21">
        <f>EXP(-LN(2)/2)*GN179+(1-EXP(-LN(2)/2))/(LN(2)/2)*GH180*GK180*VLOOKUP('Données projet'!$B$17,Paramètres!$A$1:$I$89,3,0)*0.475*44/12</f>
        <v>0</v>
      </c>
      <c r="GO180" s="21">
        <f t="shared" si="187"/>
        <v>117.18501533837578</v>
      </c>
      <c r="GP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328.00000000000006</v>
      </c>
      <c r="GV180" s="17">
        <f>GU180*VLOOKUP('Données projet'!$B$18,Paramètres!$A$1:$I$89,3,0)*VLOOKUP('Données projet'!$B$18,Paramètres!$A$1:$I$89,5,0)</f>
        <v>255.84000000000006</v>
      </c>
      <c r="GW180" s="13">
        <f t="shared" si="188"/>
        <v>61.834803371075836</v>
      </c>
      <c r="GX180" s="20">
        <f t="shared" si="189"/>
        <v>553.28361587129041</v>
      </c>
      <c r="GY180" s="59">
        <f t="shared" si="137"/>
        <v>842.47710229418567</v>
      </c>
      <c r="GZ180" s="59">
        <f ca="1">AVERAGE(OFFSET($GY$3,0,0,'Données projet'!$E$18+1,1))-AVERAGE(OFFSET($H$3,0,0,'Données projet'!$E$18+1,1))</f>
        <v>308.85018589589453</v>
      </c>
      <c r="HA180" s="59">
        <f t="shared" si="160"/>
        <v>302.59481222418219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>
        <f>EXP(-LN(2)/35)*HG179+(1-EXP(-LN(2)/35))/(LN(2)/35)*HC180*HD180*VLOOKUP('Données projet'!$B$18,Paramètres!$A$1:$I$89,3,0)*0.475*44/12</f>
        <v>5.9342700655228811</v>
      </c>
      <c r="HH180" s="21">
        <f>EXP(-LN(2)/25)*HH179+(1-EXP(-LN(2)/25))/(LN(2)/25)*Calculateur!HC180*Calculateur!HE180*VLOOKUP('Données projet'!$B$18,Paramètres!$A$1:$I$89,3,0)*0.475*44/12</f>
        <v>0</v>
      </c>
      <c r="HI180" s="21">
        <f>EXP(-LN(2)/2)*HI179+(1-EXP(-LN(2)/2))/(LN(2)/2)*HC180*HF180*VLOOKUP('Données projet'!$B$18,Paramètres!$A$1:$I$89,3,0)*0.475*44/12</f>
        <v>0</v>
      </c>
      <c r="HJ180" s="22">
        <f t="shared" si="190"/>
        <v>5.9342700655228811</v>
      </c>
    </row>
    <row r="181" spans="1:218" x14ac:dyDescent="0.35">
      <c r="A181" s="10">
        <f t="shared" si="161"/>
        <v>178</v>
      </c>
      <c r="B181" s="72">
        <f>'Scénario référence'!$B$16*5+'Scénario référence'!$B$17*0+'Scénario référence'!$B$18*5</f>
        <v>5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66">
        <f t="shared" si="110"/>
        <v>183.33333333333334</v>
      </c>
      <c r="I181" s="6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19.8100000000004</v>
      </c>
      <c r="O181" s="13">
        <f>N181*VLOOKUP('Données projet'!$B$9,Paramètres!$A$1:$I$89,3,0)*VLOOKUP('Données projet'!$B$9,Paramètres!$A$1:$I$89,5,0)</f>
        <v>17.924088000000364</v>
      </c>
      <c r="P181" s="13">
        <f t="shared" si="141"/>
        <v>5.9032212091029486</v>
      </c>
      <c r="Q181" s="20">
        <f t="shared" si="162"/>
        <v>41.499230205854936</v>
      </c>
      <c r="R181" s="59">
        <f t="shared" si="109"/>
        <v>330.7645337173351</v>
      </c>
      <c r="S181" s="59">
        <f ca="1">AVERAGE(OFFSET($R$3,0,0,'Données projet'!$E$9+1,1))-AVERAGE(OFFSET($H$3,0,0,'Données projet'!$E$9+1,1))</f>
        <v>567.42635821507474</v>
      </c>
      <c r="T181" s="59">
        <f t="shared" si="142"/>
        <v>299.04735309930152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109.23690397502837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109.23690397502837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19.8100000000004</v>
      </c>
      <c r="AJ181" s="13">
        <f>AI181*VLOOKUP('Données projet'!$B$10,Paramètres!$A$1:$I$89,3,0)*VLOOKUP('Données projet'!$B$10,Paramètres!$A$1:$I$89,5,0)</f>
        <v>20.08734000000041</v>
      </c>
      <c r="AK181" s="13">
        <f t="shared" si="164"/>
        <v>6.5285137703520215</v>
      </c>
      <c r="AL181" s="20">
        <f t="shared" si="165"/>
        <v>46.355945316697152</v>
      </c>
      <c r="AM181" s="59">
        <f t="shared" si="113"/>
        <v>335.62124882817733</v>
      </c>
      <c r="AN181" s="59">
        <f ca="1">AVERAGE(OFFSET($AM$3,0,0,'Données projet'!$E$10+1,1))-AVERAGE(OFFSET($H$3,0,0,'Données projet'!$E$10+1,1))</f>
        <v>626.09203985591455</v>
      </c>
      <c r="AO181" s="59">
        <f t="shared" si="144"/>
        <v>327.65191296575199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122.42066824787663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122.42066824787663</v>
      </c>
      <c r="AY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404.00000000000017</v>
      </c>
      <c r="BE181" s="13">
        <f>BD181*VLOOKUP('Données projet'!$B$11,Paramètres!$A$1:$I$89,3,0)*VLOOKUP('Données projet'!$B$11,Paramètres!$A$1:$I$89,5,0)</f>
        <v>346.63200000000018</v>
      </c>
      <c r="BF181" s="13">
        <f t="shared" si="167"/>
        <v>80.868615263336864</v>
      </c>
      <c r="BG181" s="20">
        <f t="shared" si="168"/>
        <v>744.56357158364528</v>
      </c>
      <c r="BH181" s="59">
        <f t="shared" si="116"/>
        <v>1033.8288750951256</v>
      </c>
      <c r="BI181" s="59">
        <f ca="1">AVERAGE(OFFSET($BH$3,0,0,'Données projet'!$E$11+1,1))-AVERAGE(OFFSET($H$3,0,0,'Données projet'!$E$11+1,1))</f>
        <v>481.23392184981651</v>
      </c>
      <c r="BJ181" s="59">
        <f t="shared" si="146"/>
        <v>275.88160405468193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31.69260376433428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31.69260376433428</v>
      </c>
      <c r="BT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5.2499999999990337</v>
      </c>
      <c r="BZ181" s="13">
        <f>BY181*VLOOKUP('Données projet'!$B$12,Paramètres!$A$1:$I$89,3,0)*VLOOKUP('Données projet'!$B$12,Paramètres!$A$1:$I$89,5,0)</f>
        <v>2.4569999999995478</v>
      </c>
      <c r="CA181" s="13">
        <f t="shared" si="170"/>
        <v>1.0197977774625564</v>
      </c>
      <c r="CB181" s="20">
        <f t="shared" si="171"/>
        <v>6.0554227957464972</v>
      </c>
      <c r="CC181" s="59">
        <f t="shared" si="119"/>
        <v>295.32072630722666</v>
      </c>
      <c r="CD181" s="59">
        <f ca="1">AVERAGE(OFFSET($CC$3,0,0,'Données projet'!$E$12+1,1))-AVERAGE(OFFSET($H$3,0,0,'Données projet'!$E$12+1,1))</f>
        <v>331.86732359395467</v>
      </c>
      <c r="CE181" s="59">
        <f t="shared" si="148"/>
        <v>208.64489375183106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61.936825285910508</v>
      </c>
      <c r="CL181" s="21">
        <f>EXP(-LN(2)/25)*CL180+(1-EXP(-LN(2)/25))/(LN(2)/25)*Calculateur!CG181*Calculateur!CI181*VLOOKUP('Données projet'!$B$12,Paramètres!$A$1:$I$89,3,0)*0.475*44/12</f>
        <v>0</v>
      </c>
      <c r="CM181" s="21">
        <f>EXP(-LN(2)/2)*CM180+(1-EXP(-LN(2)/2))/(LN(2)/2)*CG181*CJ181*VLOOKUP('Données projet'!$B$12,Paramètres!$A$1:$I$89,3,0)*0.475*44/12</f>
        <v>0</v>
      </c>
      <c r="CN181" s="22">
        <f t="shared" si="172"/>
        <v>61.936825285910508</v>
      </c>
      <c r="CO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319</v>
      </c>
      <c r="CU181" s="17">
        <f>CT181*VLOOKUP('Données projet'!$B$13,Paramètres!$A$1:$I$89,3,0)*VLOOKUP('Données projet'!$B$13,Paramètres!$A$1:$I$89,5,0)</f>
        <v>233.89079999999998</v>
      </c>
      <c r="CV181" s="13">
        <f t="shared" si="173"/>
        <v>57.123140349023068</v>
      </c>
      <c r="CW181" s="20">
        <f t="shared" si="174"/>
        <v>506.84927944121517</v>
      </c>
      <c r="CX181" s="59">
        <f t="shared" si="122"/>
        <v>796.1145829526954</v>
      </c>
      <c r="CY181" s="59">
        <f ca="1">AVERAGE(OFFSET($CX$3,0,0,'Données projet'!$E$13+1,1))-AVERAGE(OFFSET($H$3,0,0,'Données projet'!$E$13+1,1))</f>
        <v>352.45777291109863</v>
      </c>
      <c r="CZ181" s="59">
        <f t="shared" si="150"/>
        <v>340.92165104349181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5.708060203982555</v>
      </c>
      <c r="DG181" s="21">
        <f>EXP(-LN(2)/25)*DG180+(1-EXP(-LN(2)/25))/(LN(2)/25)*Calculateur!DB181*Calculateur!DD181*VLOOKUP('Données projet'!$B$13,Paramètres!$A$1:$I$89,3,0)*0.475*44/12</f>
        <v>0</v>
      </c>
      <c r="DH181" s="21">
        <f>EXP(-LN(2)/2)*DH180+(1-EXP(-LN(2)/2))/(LN(2)/2)*DB181*DE181*VLOOKUP('Données projet'!$B$13,Paramètres!$A$1:$I$89,3,0)*0.475*44/12</f>
        <v>0</v>
      </c>
      <c r="DI181" s="22">
        <f t="shared" si="175"/>
        <v>5.708060203982555</v>
      </c>
      <c r="DJ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19.8100000000004</v>
      </c>
      <c r="DP181" s="17">
        <f>DO181*VLOOKUP('Données projet'!$B$14,Paramètres!$A$1:$I$89,3,0)*VLOOKUP('Données projet'!$B$14,Paramètres!$A$1:$I$89,5,0)</f>
        <v>13.288548000000269</v>
      </c>
      <c r="DQ181" s="13">
        <f t="shared" si="176"/>
        <v>4.531654695205642</v>
      </c>
      <c r="DR181" s="20">
        <f t="shared" si="177"/>
        <v>31.036853027483627</v>
      </c>
      <c r="DS181" s="59">
        <f t="shared" si="125"/>
        <v>320.3021565389638</v>
      </c>
      <c r="DT181" s="59">
        <f ca="1">AVERAGE(OFFSET($DS$3,0,0,'Données projet'!$E$14+1,1))-AVERAGE(OFFSET($H$3,0,0,'Données projet'!$E$14+1,1))</f>
        <v>441.20130048888439</v>
      </c>
      <c r="DU181" s="59">
        <f t="shared" si="152"/>
        <v>237.47732532183946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99.819929494422453</v>
      </c>
      <c r="EB181" s="21">
        <f>EXP(-LN(2)/25)*EB180+(1-EXP(-LN(2)/25))/(LN(2)/25)*Calculateur!DW181*Calculateur!DY181*VLOOKUP('Données projet'!$B$14,Paramètres!$A$1:$I$89,3,0)*0.475*44/12</f>
        <v>0</v>
      </c>
      <c r="EC181" s="21">
        <f>EXP(-LN(2)/2)*EC180+(1-EXP(-LN(2)/2))/(LN(2)/2)*DW181*DZ181*VLOOKUP('Données projet'!$B$14,Paramètres!$A$1:$I$89,3,0)*0.475*44/12</f>
        <v>0</v>
      </c>
      <c r="ED181" s="22">
        <f t="shared" si="178"/>
        <v>99.819929494422453</v>
      </c>
      <c r="EE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319</v>
      </c>
      <c r="EK181" s="17">
        <f>EJ181*VLOOKUP('Données projet'!$B$15,Paramètres!$A$1:$I$89,3,0)*VLOOKUP('Données projet'!$B$15,Paramètres!$A$1:$I$89,5,0)</f>
        <v>253.79640000000001</v>
      </c>
      <c r="EL181" s="13">
        <f t="shared" si="179"/>
        <v>61.39816832228076</v>
      </c>
      <c r="EM181" s="20">
        <f t="shared" si="180"/>
        <v>548.96387316130563</v>
      </c>
      <c r="EN181" s="59">
        <f t="shared" si="128"/>
        <v>838.2291766727858</v>
      </c>
      <c r="EO181" s="59">
        <f ca="1">AVERAGE(OFFSET($EN$3,0,0,'Données projet'!$E$15+1,1))-AVERAGE(OFFSET($H$3,0,0,'Données projet'!$E$15+1,1))</f>
        <v>377.27600411578322</v>
      </c>
      <c r="EP181" s="59">
        <f t="shared" si="154"/>
        <v>364.58250627635425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>
        <f>EXP(-LN(2)/35)*EV180+(1-EXP(-LN(2)/35))/(LN(2)/35)*ER181*ES181*VLOOKUP('Données projet'!$B$15,Paramètres!$A$1:$I$89,3,0)*0.475*44/12</f>
        <v>7.6342833900865124</v>
      </c>
      <c r="EW181" s="21">
        <f>EXP(-LN(2)/25)*EW180+(1-EXP(-LN(2)/25))/(LN(2)/25)*Calculateur!ER181*Calculateur!ET181*VLOOKUP('Données projet'!$B$15,Paramètres!$A$1:$I$89,3,0)*0.475*44/12</f>
        <v>0</v>
      </c>
      <c r="EX181" s="21">
        <f>EXP(-LN(2)/2)*EX180+(1-EXP(-LN(2)/2))/(LN(2)/2)*ER181*EU181*VLOOKUP('Données projet'!$B$15,Paramètres!$A$1:$I$89,3,0)*0.475*44/12</f>
        <v>0</v>
      </c>
      <c r="EY181" s="22">
        <f t="shared" si="181"/>
        <v>7.6342833900865124</v>
      </c>
      <c r="EZ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319</v>
      </c>
      <c r="FF181" s="17">
        <f>FE181*VLOOKUP('Données projet'!$B$16,Paramètres!$A$1:$I$89,3,0)*VLOOKUP('Données projet'!$B$16,Paramètres!$A$1:$I$89,5,0)</f>
        <v>258.77280000000002</v>
      </c>
      <c r="FG181" s="13">
        <f t="shared" si="182"/>
        <v>62.460716522234691</v>
      </c>
      <c r="FH181" s="20">
        <f t="shared" si="183"/>
        <v>559.48170794289206</v>
      </c>
      <c r="FI181" s="59">
        <f t="shared" si="131"/>
        <v>848.74701145437223</v>
      </c>
      <c r="FJ181" s="59">
        <f ca="1">AVERAGE(OFFSET($FI$3,0,0,'Données projet'!$E$16+1,1))-AVERAGE(OFFSET($H$3,0,0,'Données projet'!$E$16+1,1))</f>
        <v>383.47399633251354</v>
      </c>
      <c r="FK181" s="59">
        <f t="shared" si="156"/>
        <v>370.49129421395628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>
        <f>EXP(-LN(2)/35)*FQ180+(1-EXP(-LN(2)/35))/(LN(2)/35)*FM181*FN181*VLOOKUP('Données projet'!$B$16,Paramètres!$A$1:$I$89,3,0)*0.475*44/12</f>
        <v>7.7839752212646873</v>
      </c>
      <c r="FR181" s="21">
        <f>EXP(-LN(2)/25)*FR180+(1-EXP(-LN(2)/25))/(LN(2)/25)*Calculateur!FM181*Calculateur!FO181*VLOOKUP('Données projet'!$B$16,Paramètres!$A$1:$I$89,3,0)*0.475*44/12</f>
        <v>0</v>
      </c>
      <c r="FS181" s="21">
        <f>EXP(-LN(2)/2)*FS180+(1-EXP(-LN(2)/2))/(LN(2)/2)*FM181*FP181*VLOOKUP('Données projet'!$B$16,Paramètres!$A$1:$I$89,3,0)*0.475*44/12</f>
        <v>0</v>
      </c>
      <c r="FT181" s="22">
        <f t="shared" si="184"/>
        <v>7.7839752212646873</v>
      </c>
      <c r="FU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19.8100000000004</v>
      </c>
      <c r="GA181" s="17">
        <f>FZ181*VLOOKUP('Données projet'!$B$17,Paramètres!$A$1:$I$89,3,0)*VLOOKUP('Données projet'!$B$17,Paramètres!$A$1:$I$89,5,0)</f>
        <v>18.851196000000382</v>
      </c>
      <c r="GB181" s="13">
        <f t="shared" si="185"/>
        <v>6.172221809210666</v>
      </c>
      <c r="GC181" s="20">
        <f t="shared" si="186"/>
        <v>43.582452684375909</v>
      </c>
      <c r="GD181" s="59">
        <f t="shared" si="134"/>
        <v>332.84775619585605</v>
      </c>
      <c r="GE181" s="59">
        <f ca="1">AVERAGE(OFFSET($GD$3,0,0,'Données projet'!$E$17+1,1))-AVERAGE(OFFSET($H$3,0,0,'Données projet'!$E$17+1,1))</f>
        <v>592.58528889137358</v>
      </c>
      <c r="GF181" s="59">
        <f t="shared" si="158"/>
        <v>311.31528020403709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>
        <f>EXP(-LN(2)/35)*GL180+(1-EXP(-LN(2)/35))/(LN(2)/35)*GH181*GI181*VLOOKUP('Données projet'!$B$17,Paramètres!$A$1:$I$89,3,0)*0.475*44/12</f>
        <v>114.88708866339194</v>
      </c>
      <c r="GM181" s="21">
        <f>EXP(-LN(2)/25)*GM180+(1-EXP(-LN(2)/25))/(LN(2)/25)*Calculateur!GH181*Calculateur!GJ181*VLOOKUP('Données projet'!$B$17,Paramètres!$A$1:$I$89,3,0)*0.475*44/12</f>
        <v>0</v>
      </c>
      <c r="GN181" s="21">
        <f>EXP(-LN(2)/2)*GN180+(1-EXP(-LN(2)/2))/(LN(2)/2)*GH181*GK181*VLOOKUP('Données projet'!$B$17,Paramètres!$A$1:$I$89,3,0)*0.475*44/12</f>
        <v>0</v>
      </c>
      <c r="GO181" s="21">
        <f t="shared" si="187"/>
        <v>114.88708866339194</v>
      </c>
      <c r="GP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328.00000000000006</v>
      </c>
      <c r="GV181" s="17">
        <f>GU181*VLOOKUP('Données projet'!$B$18,Paramètres!$A$1:$I$89,3,0)*VLOOKUP('Données projet'!$B$18,Paramètres!$A$1:$I$89,5,0)</f>
        <v>255.84000000000006</v>
      </c>
      <c r="GW181" s="13">
        <f t="shared" si="188"/>
        <v>61.834803371075836</v>
      </c>
      <c r="GX181" s="20">
        <f t="shared" si="189"/>
        <v>553.28361587129041</v>
      </c>
      <c r="GY181" s="59">
        <f t="shared" si="137"/>
        <v>842.54891938277058</v>
      </c>
      <c r="GZ181" s="59">
        <f ca="1">AVERAGE(OFFSET($GY$3,0,0,'Données projet'!$E$18+1,1))-AVERAGE(OFFSET($H$3,0,0,'Données projet'!$E$18+1,1))</f>
        <v>308.85018589589453</v>
      </c>
      <c r="HA181" s="59">
        <f t="shared" si="160"/>
        <v>302.59481222418219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>
        <f>EXP(-LN(2)/35)*HG180+(1-EXP(-LN(2)/35))/(LN(2)/35)*HC181*HD181*VLOOKUP('Données projet'!$B$18,Paramètres!$A$1:$I$89,3,0)*0.475*44/12</f>
        <v>5.8179026490853163</v>
      </c>
      <c r="HH181" s="21">
        <f>EXP(-LN(2)/25)*HH180+(1-EXP(-LN(2)/25))/(LN(2)/25)*Calculateur!HC181*Calculateur!HE181*VLOOKUP('Données projet'!$B$18,Paramètres!$A$1:$I$89,3,0)*0.475*44/12</f>
        <v>0</v>
      </c>
      <c r="HI181" s="21">
        <f>EXP(-LN(2)/2)*HI180+(1-EXP(-LN(2)/2))/(LN(2)/2)*HC181*HF181*VLOOKUP('Données projet'!$B$18,Paramètres!$A$1:$I$89,3,0)*0.475*44/12</f>
        <v>0</v>
      </c>
      <c r="HJ181" s="22">
        <f t="shared" si="190"/>
        <v>5.8179026490853163</v>
      </c>
    </row>
    <row r="182" spans="1:218" x14ac:dyDescent="0.35">
      <c r="A182" s="10">
        <f t="shared" si="161"/>
        <v>179</v>
      </c>
      <c r="B182" s="72">
        <f>'Scénario référence'!$B$16*5+'Scénario référence'!$B$17*0+'Scénario référence'!$B$18*5</f>
        <v>5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66">
        <f t="shared" si="110"/>
        <v>183.33333333333334</v>
      </c>
      <c r="I182" s="6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19.8100000000004</v>
      </c>
      <c r="O182" s="13">
        <f>N182*VLOOKUP('Données projet'!$B$9,Paramètres!$A$1:$I$89,3,0)*VLOOKUP('Données projet'!$B$9,Paramètres!$A$1:$I$89,5,0)</f>
        <v>17.924088000000364</v>
      </c>
      <c r="P182" s="13">
        <f t="shared" si="141"/>
        <v>5.9032212091029486</v>
      </c>
      <c r="Q182" s="20">
        <f t="shared" si="162"/>
        <v>41.499230205854936</v>
      </c>
      <c r="R182" s="59">
        <f t="shared" si="109"/>
        <v>330.83510493999205</v>
      </c>
      <c r="S182" s="59">
        <f ca="1">AVERAGE(OFFSET($R$3,0,0,'Données projet'!$E$9+1,1))-AVERAGE(OFFSET($H$3,0,0,'Données projet'!$E$9+1,1))</f>
        <v>567.42635821507474</v>
      </c>
      <c r="T182" s="59">
        <f t="shared" si="142"/>
        <v>299.04735309930152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107.09483491601053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107.09483491601053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19.8100000000004</v>
      </c>
      <c r="AJ182" s="13">
        <f>AI182*VLOOKUP('Données projet'!$B$10,Paramètres!$A$1:$I$89,3,0)*VLOOKUP('Données projet'!$B$10,Paramètres!$A$1:$I$89,5,0)</f>
        <v>20.08734000000041</v>
      </c>
      <c r="AK182" s="13">
        <f t="shared" si="164"/>
        <v>6.5285137703520215</v>
      </c>
      <c r="AL182" s="20">
        <f t="shared" si="165"/>
        <v>46.355945316697152</v>
      </c>
      <c r="AM182" s="59">
        <f t="shared" si="113"/>
        <v>335.69182005083428</v>
      </c>
      <c r="AN182" s="59">
        <f ca="1">AVERAGE(OFFSET($AM$3,0,0,'Données projet'!$E$10+1,1))-AVERAGE(OFFSET($H$3,0,0,'Données projet'!$E$10+1,1))</f>
        <v>626.09203985591455</v>
      </c>
      <c r="AO182" s="59">
        <f t="shared" si="144"/>
        <v>327.65191296575199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120.02007361277043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120.02007361277043</v>
      </c>
      <c r="AY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404.00000000000017</v>
      </c>
      <c r="BE182" s="13">
        <f>BD182*VLOOKUP('Données projet'!$B$11,Paramètres!$A$1:$I$89,3,0)*VLOOKUP('Données projet'!$B$11,Paramètres!$A$1:$I$89,5,0)</f>
        <v>346.63200000000018</v>
      </c>
      <c r="BF182" s="13">
        <f t="shared" si="167"/>
        <v>80.868615263336864</v>
      </c>
      <c r="BG182" s="20">
        <f t="shared" si="168"/>
        <v>744.56357158364528</v>
      </c>
      <c r="BH182" s="59">
        <f t="shared" si="116"/>
        <v>1033.8994463177823</v>
      </c>
      <c r="BI182" s="59">
        <f ca="1">AVERAGE(OFFSET($BH$3,0,0,'Données projet'!$E$11+1,1))-AVERAGE(OFFSET($H$3,0,0,'Données projet'!$E$11+1,1))</f>
        <v>481.23392184981651</v>
      </c>
      <c r="BJ182" s="59">
        <f t="shared" si="146"/>
        <v>275.88160405468193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31.071131135095243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31.071131135095243</v>
      </c>
      <c r="BT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5.2499999999990337</v>
      </c>
      <c r="BZ182" s="13">
        <f>BY182*VLOOKUP('Données projet'!$B$12,Paramètres!$A$1:$I$89,3,0)*VLOOKUP('Données projet'!$B$12,Paramètres!$A$1:$I$89,5,0)</f>
        <v>2.4569999999995478</v>
      </c>
      <c r="CA182" s="13">
        <f t="shared" si="170"/>
        <v>1.0197977774625564</v>
      </c>
      <c r="CB182" s="20">
        <f t="shared" si="171"/>
        <v>6.0554227957464972</v>
      </c>
      <c r="CC182" s="59">
        <f t="shared" si="119"/>
        <v>295.39129752988362</v>
      </c>
      <c r="CD182" s="59">
        <f ca="1">AVERAGE(OFFSET($CC$3,0,0,'Données projet'!$E$12+1,1))-AVERAGE(OFFSET($H$3,0,0,'Données projet'!$E$12+1,1))</f>
        <v>331.86732359395467</v>
      </c>
      <c r="CE182" s="59">
        <f t="shared" si="148"/>
        <v>208.64489375183106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60.722281919786987</v>
      </c>
      <c r="CL182" s="21">
        <f>EXP(-LN(2)/25)*CL181+(1-EXP(-LN(2)/25))/(LN(2)/25)*Calculateur!CG182*Calculateur!CI182*VLOOKUP('Données projet'!$B$12,Paramètres!$A$1:$I$89,3,0)*0.475*44/12</f>
        <v>0</v>
      </c>
      <c r="CM182" s="21">
        <f>EXP(-LN(2)/2)*CM181+(1-EXP(-LN(2)/2))/(LN(2)/2)*CG182*CJ182*VLOOKUP('Données projet'!$B$12,Paramètres!$A$1:$I$89,3,0)*0.475*44/12</f>
        <v>0</v>
      </c>
      <c r="CN182" s="22">
        <f t="shared" si="172"/>
        <v>60.722281919786987</v>
      </c>
      <c r="CO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319</v>
      </c>
      <c r="CU182" s="17">
        <f>CT182*VLOOKUP('Données projet'!$B$13,Paramètres!$A$1:$I$89,3,0)*VLOOKUP('Données projet'!$B$13,Paramètres!$A$1:$I$89,5,0)</f>
        <v>233.89079999999998</v>
      </c>
      <c r="CV182" s="13">
        <f t="shared" si="173"/>
        <v>57.123140349023068</v>
      </c>
      <c r="CW182" s="20">
        <f t="shared" si="174"/>
        <v>506.84927944121517</v>
      </c>
      <c r="CX182" s="59">
        <f t="shared" si="122"/>
        <v>796.1851541753523</v>
      </c>
      <c r="CY182" s="59">
        <f ca="1">AVERAGE(OFFSET($CX$3,0,0,'Données projet'!$E$13+1,1))-AVERAGE(OFFSET($H$3,0,0,'Données projet'!$E$13+1,1))</f>
        <v>352.45777291109863</v>
      </c>
      <c r="CZ182" s="59">
        <f t="shared" si="150"/>
        <v>340.92165104349181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5.596128624955405</v>
      </c>
      <c r="DG182" s="21">
        <f>EXP(-LN(2)/25)*DG181+(1-EXP(-LN(2)/25))/(LN(2)/25)*Calculateur!DB182*Calculateur!DD182*VLOOKUP('Données projet'!$B$13,Paramètres!$A$1:$I$89,3,0)*0.475*44/12</f>
        <v>0</v>
      </c>
      <c r="DH182" s="21">
        <f>EXP(-LN(2)/2)*DH181+(1-EXP(-LN(2)/2))/(LN(2)/2)*DB182*DE182*VLOOKUP('Données projet'!$B$13,Paramètres!$A$1:$I$89,3,0)*0.475*44/12</f>
        <v>0</v>
      </c>
      <c r="DI182" s="22">
        <f t="shared" si="175"/>
        <v>5.596128624955405</v>
      </c>
      <c r="DJ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19.8100000000004</v>
      </c>
      <c r="DP182" s="17">
        <f>DO182*VLOOKUP('Données projet'!$B$14,Paramètres!$A$1:$I$89,3,0)*VLOOKUP('Données projet'!$B$14,Paramètres!$A$1:$I$89,5,0)</f>
        <v>13.288548000000269</v>
      </c>
      <c r="DQ182" s="13">
        <f t="shared" si="176"/>
        <v>4.531654695205642</v>
      </c>
      <c r="DR182" s="20">
        <f t="shared" si="177"/>
        <v>31.036853027483627</v>
      </c>
      <c r="DS182" s="59">
        <f t="shared" si="125"/>
        <v>320.37272776162075</v>
      </c>
      <c r="DT182" s="59">
        <f ca="1">AVERAGE(OFFSET($DS$3,0,0,'Données projet'!$E$14+1,1))-AVERAGE(OFFSET($H$3,0,0,'Données projet'!$E$14+1,1))</f>
        <v>441.20130048888439</v>
      </c>
      <c r="DU182" s="59">
        <f t="shared" si="152"/>
        <v>237.47732532183946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97.862521561182007</v>
      </c>
      <c r="EB182" s="21">
        <f>EXP(-LN(2)/25)*EB181+(1-EXP(-LN(2)/25))/(LN(2)/25)*Calculateur!DW182*Calculateur!DY182*VLOOKUP('Données projet'!$B$14,Paramètres!$A$1:$I$89,3,0)*0.475*44/12</f>
        <v>0</v>
      </c>
      <c r="EC182" s="21">
        <f>EXP(-LN(2)/2)*EC181+(1-EXP(-LN(2)/2))/(LN(2)/2)*DW182*DZ182*VLOOKUP('Données projet'!$B$14,Paramètres!$A$1:$I$89,3,0)*0.475*44/12</f>
        <v>0</v>
      </c>
      <c r="ED182" s="22">
        <f t="shared" si="178"/>
        <v>97.862521561182007</v>
      </c>
      <c r="EE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319</v>
      </c>
      <c r="EK182" s="17">
        <f>EJ182*VLOOKUP('Données projet'!$B$15,Paramètres!$A$1:$I$89,3,0)*VLOOKUP('Données projet'!$B$15,Paramètres!$A$1:$I$89,5,0)</f>
        <v>253.79640000000001</v>
      </c>
      <c r="EL182" s="13">
        <f t="shared" si="179"/>
        <v>61.39816832228076</v>
      </c>
      <c r="EM182" s="20">
        <f t="shared" si="180"/>
        <v>548.96387316130563</v>
      </c>
      <c r="EN182" s="59">
        <f t="shared" si="128"/>
        <v>838.29974789544281</v>
      </c>
      <c r="EO182" s="59">
        <f ca="1">AVERAGE(OFFSET($EN$3,0,0,'Données projet'!$E$15+1,1))-AVERAGE(OFFSET($H$3,0,0,'Données projet'!$E$15+1,1))</f>
        <v>377.27600411578322</v>
      </c>
      <c r="EP182" s="59">
        <f t="shared" si="154"/>
        <v>364.58250627635425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>
        <f>EXP(-LN(2)/35)*EV181+(1-EXP(-LN(2)/35))/(LN(2)/35)*ER182*ES182*VLOOKUP('Données projet'!$B$15,Paramètres!$A$1:$I$89,3,0)*0.475*44/12</f>
        <v>7.4845797492599973</v>
      </c>
      <c r="EW182" s="21">
        <f>EXP(-LN(2)/25)*EW181+(1-EXP(-LN(2)/25))/(LN(2)/25)*Calculateur!ER182*Calculateur!ET182*VLOOKUP('Données projet'!$B$15,Paramètres!$A$1:$I$89,3,0)*0.475*44/12</f>
        <v>0</v>
      </c>
      <c r="EX182" s="21">
        <f>EXP(-LN(2)/2)*EX181+(1-EXP(-LN(2)/2))/(LN(2)/2)*ER182*EU182*VLOOKUP('Données projet'!$B$15,Paramètres!$A$1:$I$89,3,0)*0.475*44/12</f>
        <v>0</v>
      </c>
      <c r="EY182" s="22">
        <f t="shared" si="181"/>
        <v>7.4845797492599973</v>
      </c>
      <c r="EZ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319</v>
      </c>
      <c r="FF182" s="17">
        <f>FE182*VLOOKUP('Données projet'!$B$16,Paramètres!$A$1:$I$89,3,0)*VLOOKUP('Données projet'!$B$16,Paramètres!$A$1:$I$89,5,0)</f>
        <v>258.77280000000002</v>
      </c>
      <c r="FG182" s="13">
        <f t="shared" si="182"/>
        <v>62.460716522234691</v>
      </c>
      <c r="FH182" s="20">
        <f t="shared" si="183"/>
        <v>559.48170794289206</v>
      </c>
      <c r="FI182" s="59">
        <f t="shared" si="131"/>
        <v>848.81758267702912</v>
      </c>
      <c r="FJ182" s="59">
        <f ca="1">AVERAGE(OFFSET($FI$3,0,0,'Données projet'!$E$16+1,1))-AVERAGE(OFFSET($H$3,0,0,'Données projet'!$E$16+1,1))</f>
        <v>383.47399633251354</v>
      </c>
      <c r="FK182" s="59">
        <f t="shared" si="156"/>
        <v>370.49129421395628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>
        <f>EXP(-LN(2)/35)*FQ181+(1-EXP(-LN(2)/35))/(LN(2)/35)*FM182*FN182*VLOOKUP('Données projet'!$B$16,Paramètres!$A$1:$I$89,3,0)*0.475*44/12</f>
        <v>7.6313362149317694</v>
      </c>
      <c r="FR182" s="21">
        <f>EXP(-LN(2)/25)*FR181+(1-EXP(-LN(2)/25))/(LN(2)/25)*Calculateur!FM182*Calculateur!FO182*VLOOKUP('Données projet'!$B$16,Paramètres!$A$1:$I$89,3,0)*0.475*44/12</f>
        <v>0</v>
      </c>
      <c r="FS182" s="21">
        <f>EXP(-LN(2)/2)*FS181+(1-EXP(-LN(2)/2))/(LN(2)/2)*FM182*FP182*VLOOKUP('Données projet'!$B$16,Paramètres!$A$1:$I$89,3,0)*0.475*44/12</f>
        <v>0</v>
      </c>
      <c r="FT182" s="22">
        <f t="shared" si="184"/>
        <v>7.6313362149317694</v>
      </c>
      <c r="FU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19.8100000000004</v>
      </c>
      <c r="GA182" s="17">
        <f>FZ182*VLOOKUP('Données projet'!$B$17,Paramètres!$A$1:$I$89,3,0)*VLOOKUP('Données projet'!$B$17,Paramètres!$A$1:$I$89,5,0)</f>
        <v>18.851196000000382</v>
      </c>
      <c r="GB182" s="13">
        <f t="shared" si="185"/>
        <v>6.172221809210666</v>
      </c>
      <c r="GC182" s="20">
        <f t="shared" si="186"/>
        <v>43.582452684375909</v>
      </c>
      <c r="GD182" s="59">
        <f t="shared" si="134"/>
        <v>332.91832741851306</v>
      </c>
      <c r="GE182" s="59">
        <f ca="1">AVERAGE(OFFSET($GD$3,0,0,'Données projet'!$E$17+1,1))-AVERAGE(OFFSET($H$3,0,0,'Données projet'!$E$17+1,1))</f>
        <v>592.58528889137358</v>
      </c>
      <c r="GF182" s="59">
        <f t="shared" si="158"/>
        <v>311.31528020403709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>
        <f>EXP(-LN(2)/35)*GL181+(1-EXP(-LN(2)/35))/(LN(2)/35)*GH182*GI182*VLOOKUP('Données projet'!$B$17,Paramètres!$A$1:$I$89,3,0)*0.475*44/12</f>
        <v>112.63422292890765</v>
      </c>
      <c r="GM182" s="21">
        <f>EXP(-LN(2)/25)*GM181+(1-EXP(-LN(2)/25))/(LN(2)/25)*Calculateur!GH182*Calculateur!GJ182*VLOOKUP('Données projet'!$B$17,Paramètres!$A$1:$I$89,3,0)*0.475*44/12</f>
        <v>0</v>
      </c>
      <c r="GN182" s="21">
        <f>EXP(-LN(2)/2)*GN181+(1-EXP(-LN(2)/2))/(LN(2)/2)*GH182*GK182*VLOOKUP('Données projet'!$B$17,Paramètres!$A$1:$I$89,3,0)*0.475*44/12</f>
        <v>0</v>
      </c>
      <c r="GO182" s="21">
        <f t="shared" si="187"/>
        <v>112.63422292890765</v>
      </c>
      <c r="GP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328.00000000000006</v>
      </c>
      <c r="GV182" s="17">
        <f>GU182*VLOOKUP('Données projet'!$B$18,Paramètres!$A$1:$I$89,3,0)*VLOOKUP('Données projet'!$B$18,Paramètres!$A$1:$I$89,5,0)</f>
        <v>255.84000000000006</v>
      </c>
      <c r="GW182" s="13">
        <f t="shared" si="188"/>
        <v>61.834803371075836</v>
      </c>
      <c r="GX182" s="20">
        <f t="shared" si="189"/>
        <v>553.28361587129041</v>
      </c>
      <c r="GY182" s="59">
        <f t="shared" si="137"/>
        <v>842.61949060542747</v>
      </c>
      <c r="GZ182" s="59">
        <f ca="1">AVERAGE(OFFSET($GY$3,0,0,'Données projet'!$E$18+1,1))-AVERAGE(OFFSET($H$3,0,0,'Données projet'!$E$18+1,1))</f>
        <v>308.85018589589453</v>
      </c>
      <c r="HA182" s="59">
        <f t="shared" si="160"/>
        <v>302.59481222418219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>
        <f>EXP(-LN(2)/35)*HG181+(1-EXP(-LN(2)/35))/(LN(2)/35)*HC182*HD182*VLOOKUP('Données projet'!$B$18,Paramètres!$A$1:$I$89,3,0)*0.475*44/12</f>
        <v>5.7038171267069773</v>
      </c>
      <c r="HH182" s="21">
        <f>EXP(-LN(2)/25)*HH181+(1-EXP(-LN(2)/25))/(LN(2)/25)*Calculateur!HC182*Calculateur!HE182*VLOOKUP('Données projet'!$B$18,Paramètres!$A$1:$I$89,3,0)*0.475*44/12</f>
        <v>0</v>
      </c>
      <c r="HI182" s="21">
        <f>EXP(-LN(2)/2)*HI181+(1-EXP(-LN(2)/2))/(LN(2)/2)*HC182*HF182*VLOOKUP('Données projet'!$B$18,Paramètres!$A$1:$I$89,3,0)*0.475*44/12</f>
        <v>0</v>
      </c>
      <c r="HJ182" s="22">
        <f t="shared" si="190"/>
        <v>5.7038171267069773</v>
      </c>
    </row>
    <row r="183" spans="1:218" x14ac:dyDescent="0.35">
      <c r="A183" s="10">
        <f t="shared" si="161"/>
        <v>180</v>
      </c>
      <c r="B183" s="72">
        <f>'Scénario référence'!$B$16*5+'Scénario référence'!$B$17*0+'Scénario référence'!$B$18*5</f>
        <v>5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66">
        <f t="shared" si="110"/>
        <v>183.33333333333334</v>
      </c>
      <c r="I183" s="6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19.8100000000004</v>
      </c>
      <c r="O183" s="13">
        <f>N183*VLOOKUP('Données projet'!$B$9,Paramètres!$A$1:$I$89,3,0)*VLOOKUP('Données projet'!$B$9,Paramètres!$A$1:$I$89,5,0)</f>
        <v>17.924088000000364</v>
      </c>
      <c r="P183" s="13">
        <f t="shared" si="141"/>
        <v>5.9032212091029486</v>
      </c>
      <c r="Q183" s="20">
        <f t="shared" si="162"/>
        <v>41.499230205854936</v>
      </c>
      <c r="R183" s="59">
        <f t="shared" si="109"/>
        <v>330.90445190970956</v>
      </c>
      <c r="S183" s="59">
        <f ca="1">AVERAGE(OFFSET($R$3,0,0,'Données projet'!$E$9+1,1))-AVERAGE(OFFSET($H$3,0,0,'Données projet'!$E$9+1,1))</f>
        <v>567.42635821507474</v>
      </c>
      <c r="T183" s="59">
        <f t="shared" si="142"/>
        <v>299.04735309930152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104.99477052470691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104.99477052470691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19.8100000000004</v>
      </c>
      <c r="AJ183" s="13">
        <f>AI183*VLOOKUP('Données projet'!$B$10,Paramètres!$A$1:$I$89,3,0)*VLOOKUP('Données projet'!$B$10,Paramètres!$A$1:$I$89,5,0)</f>
        <v>20.08734000000041</v>
      </c>
      <c r="AK183" s="13">
        <f t="shared" si="164"/>
        <v>6.5285137703520215</v>
      </c>
      <c r="AL183" s="20">
        <f t="shared" si="165"/>
        <v>46.355945316697152</v>
      </c>
      <c r="AM183" s="59">
        <f t="shared" si="113"/>
        <v>335.7611670205518</v>
      </c>
      <c r="AN183" s="59">
        <f ca="1">AVERAGE(OFFSET($AM$3,0,0,'Données projet'!$E$10+1,1))-AVERAGE(OFFSET($H$3,0,0,'Données projet'!$E$10+1,1))</f>
        <v>626.09203985591455</v>
      </c>
      <c r="AO183" s="59">
        <f t="shared" si="144"/>
        <v>327.65191296575199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117.66655317424052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117.66655317424052</v>
      </c>
      <c r="AY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404.00000000000017</v>
      </c>
      <c r="BE183" s="13">
        <f>BD183*VLOOKUP('Données projet'!$B$11,Paramètres!$A$1:$I$89,3,0)*VLOOKUP('Données projet'!$B$11,Paramètres!$A$1:$I$89,5,0)</f>
        <v>346.63200000000018</v>
      </c>
      <c r="BF183" s="13">
        <f t="shared" si="167"/>
        <v>80.868615263336864</v>
      </c>
      <c r="BG183" s="20">
        <f t="shared" si="168"/>
        <v>744.56357158364528</v>
      </c>
      <c r="BH183" s="59">
        <f t="shared" si="116"/>
        <v>1033.9687932874999</v>
      </c>
      <c r="BI183" s="59">
        <f ca="1">AVERAGE(OFFSET($BH$3,0,0,'Données projet'!$E$11+1,1))-AVERAGE(OFFSET($H$3,0,0,'Données projet'!$E$11+1,1))</f>
        <v>481.23392184981651</v>
      </c>
      <c r="BJ183" s="59">
        <f t="shared" si="146"/>
        <v>275.88160405468193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30.461845205054711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30.461845205054711</v>
      </c>
      <c r="BT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5.2499999999990337</v>
      </c>
      <c r="BZ183" s="13">
        <f>BY183*VLOOKUP('Données projet'!$B$12,Paramètres!$A$1:$I$89,3,0)*VLOOKUP('Données projet'!$B$12,Paramètres!$A$1:$I$89,5,0)</f>
        <v>2.4569999999995478</v>
      </c>
      <c r="CA183" s="13">
        <f t="shared" si="170"/>
        <v>1.0197977774625564</v>
      </c>
      <c r="CB183" s="20">
        <f t="shared" si="171"/>
        <v>6.0554227957464972</v>
      </c>
      <c r="CC183" s="59">
        <f t="shared" si="119"/>
        <v>295.46064449960113</v>
      </c>
      <c r="CD183" s="59">
        <f ca="1">AVERAGE(OFFSET($CC$3,0,0,'Données projet'!$E$12+1,1))-AVERAGE(OFFSET($H$3,0,0,'Données projet'!$E$12+1,1))</f>
        <v>331.86732359395467</v>
      </c>
      <c r="CE183" s="59">
        <f t="shared" si="148"/>
        <v>208.64489375183106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59.531555008274843</v>
      </c>
      <c r="CL183" s="21">
        <f>EXP(-LN(2)/25)*CL182+(1-EXP(-LN(2)/25))/(LN(2)/25)*Calculateur!CG183*Calculateur!CI183*VLOOKUP('Données projet'!$B$12,Paramètres!$A$1:$I$89,3,0)*0.475*44/12</f>
        <v>0</v>
      </c>
      <c r="CM183" s="21">
        <f>EXP(-LN(2)/2)*CM182+(1-EXP(-LN(2)/2))/(LN(2)/2)*CG183*CJ183*VLOOKUP('Données projet'!$B$12,Paramètres!$A$1:$I$89,3,0)*0.475*44/12</f>
        <v>0</v>
      </c>
      <c r="CN183" s="22">
        <f t="shared" si="172"/>
        <v>59.531555008274843</v>
      </c>
      <c r="CO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319</v>
      </c>
      <c r="CU183" s="17">
        <f>CT183*VLOOKUP('Données projet'!$B$13,Paramètres!$A$1:$I$89,3,0)*VLOOKUP('Données projet'!$B$13,Paramètres!$A$1:$I$89,5,0)</f>
        <v>233.89079999999998</v>
      </c>
      <c r="CV183" s="13">
        <f t="shared" si="173"/>
        <v>57.123140349023068</v>
      </c>
      <c r="CW183" s="20">
        <f t="shared" si="174"/>
        <v>506.84927944121517</v>
      </c>
      <c r="CX183" s="59">
        <f t="shared" si="122"/>
        <v>796.25450114506975</v>
      </c>
      <c r="CY183" s="59">
        <f ca="1">AVERAGE(OFFSET($CX$3,0,0,'Données projet'!$E$13+1,1))-AVERAGE(OFFSET($H$3,0,0,'Données projet'!$E$13+1,1))</f>
        <v>352.45777291109863</v>
      </c>
      <c r="CZ183" s="59">
        <f t="shared" si="150"/>
        <v>340.92165104349181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5.4863919559214551</v>
      </c>
      <c r="DG183" s="21">
        <f>EXP(-LN(2)/25)*DG182+(1-EXP(-LN(2)/25))/(LN(2)/25)*Calculateur!DB183*Calculateur!DD183*VLOOKUP('Données projet'!$B$13,Paramètres!$A$1:$I$89,3,0)*0.475*44/12</f>
        <v>0</v>
      </c>
      <c r="DH183" s="21">
        <f>EXP(-LN(2)/2)*DH182+(1-EXP(-LN(2)/2))/(LN(2)/2)*DB183*DE183*VLOOKUP('Données projet'!$B$13,Paramètres!$A$1:$I$89,3,0)*0.475*44/12</f>
        <v>0</v>
      </c>
      <c r="DI183" s="22">
        <f t="shared" si="175"/>
        <v>5.4863919559214551</v>
      </c>
      <c r="DJ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19.8100000000004</v>
      </c>
      <c r="DP183" s="17">
        <f>DO183*VLOOKUP('Données projet'!$B$14,Paramètres!$A$1:$I$89,3,0)*VLOOKUP('Données projet'!$B$14,Paramètres!$A$1:$I$89,5,0)</f>
        <v>13.288548000000269</v>
      </c>
      <c r="DQ183" s="13">
        <f t="shared" si="176"/>
        <v>4.531654695205642</v>
      </c>
      <c r="DR183" s="20">
        <f t="shared" si="177"/>
        <v>31.036853027483627</v>
      </c>
      <c r="DS183" s="59">
        <f t="shared" si="125"/>
        <v>320.44207473133827</v>
      </c>
      <c r="DT183" s="59">
        <f ca="1">AVERAGE(OFFSET($DS$3,0,0,'Données projet'!$E$14+1,1))-AVERAGE(OFFSET($H$3,0,0,'Données projet'!$E$14+1,1))</f>
        <v>441.20130048888439</v>
      </c>
      <c r="DU183" s="59">
        <f t="shared" si="152"/>
        <v>237.47732532183946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95.943497203611457</v>
      </c>
      <c r="EB183" s="21">
        <f>EXP(-LN(2)/25)*EB182+(1-EXP(-LN(2)/25))/(LN(2)/25)*Calculateur!DW183*Calculateur!DY183*VLOOKUP('Données projet'!$B$14,Paramètres!$A$1:$I$89,3,0)*0.475*44/12</f>
        <v>0</v>
      </c>
      <c r="EC183" s="21">
        <f>EXP(-LN(2)/2)*EC182+(1-EXP(-LN(2)/2))/(LN(2)/2)*DW183*DZ183*VLOOKUP('Données projet'!$B$14,Paramètres!$A$1:$I$89,3,0)*0.475*44/12</f>
        <v>0</v>
      </c>
      <c r="ED183" s="22">
        <f t="shared" si="178"/>
        <v>95.943497203611457</v>
      </c>
      <c r="EE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319</v>
      </c>
      <c r="EK183" s="17">
        <f>EJ183*VLOOKUP('Données projet'!$B$15,Paramètres!$A$1:$I$89,3,0)*VLOOKUP('Données projet'!$B$15,Paramètres!$A$1:$I$89,5,0)</f>
        <v>253.79640000000001</v>
      </c>
      <c r="EL183" s="13">
        <f t="shared" si="179"/>
        <v>61.39816832228076</v>
      </c>
      <c r="EM183" s="20">
        <f t="shared" si="180"/>
        <v>548.96387316130563</v>
      </c>
      <c r="EN183" s="59">
        <f t="shared" si="128"/>
        <v>838.36909486516026</v>
      </c>
      <c r="EO183" s="59">
        <f ca="1">AVERAGE(OFFSET($EN$3,0,0,'Données projet'!$E$15+1,1))-AVERAGE(OFFSET($H$3,0,0,'Données projet'!$E$15+1,1))</f>
        <v>377.27600411578322</v>
      </c>
      <c r="EP183" s="59">
        <f t="shared" si="154"/>
        <v>364.58250627635425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>
        <f>EXP(-LN(2)/35)*EV182+(1-EXP(-LN(2)/35))/(LN(2)/35)*ER183*ES183*VLOOKUP('Données projet'!$B$15,Paramètres!$A$1:$I$89,3,0)*0.475*44/12</f>
        <v>7.3378117055198855</v>
      </c>
      <c r="EW183" s="21">
        <f>EXP(-LN(2)/25)*EW182+(1-EXP(-LN(2)/25))/(LN(2)/25)*Calculateur!ER183*Calculateur!ET183*VLOOKUP('Données projet'!$B$15,Paramètres!$A$1:$I$89,3,0)*0.475*44/12</f>
        <v>0</v>
      </c>
      <c r="EX183" s="21">
        <f>EXP(-LN(2)/2)*EX182+(1-EXP(-LN(2)/2))/(LN(2)/2)*ER183*EU183*VLOOKUP('Données projet'!$B$15,Paramètres!$A$1:$I$89,3,0)*0.475*44/12</f>
        <v>0</v>
      </c>
      <c r="EY183" s="22">
        <f t="shared" si="181"/>
        <v>7.3378117055198855</v>
      </c>
      <c r="EZ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319</v>
      </c>
      <c r="FF183" s="17">
        <f>FE183*VLOOKUP('Données projet'!$B$16,Paramètres!$A$1:$I$89,3,0)*VLOOKUP('Données projet'!$B$16,Paramètres!$A$1:$I$89,5,0)</f>
        <v>258.77280000000002</v>
      </c>
      <c r="FG183" s="13">
        <f t="shared" si="182"/>
        <v>62.460716522234691</v>
      </c>
      <c r="FH183" s="20">
        <f t="shared" si="183"/>
        <v>559.48170794289206</v>
      </c>
      <c r="FI183" s="59">
        <f t="shared" si="131"/>
        <v>848.88692964674669</v>
      </c>
      <c r="FJ183" s="59">
        <f ca="1">AVERAGE(OFFSET($FI$3,0,0,'Données projet'!$E$16+1,1))-AVERAGE(OFFSET($H$3,0,0,'Données projet'!$E$16+1,1))</f>
        <v>383.47399633251354</v>
      </c>
      <c r="FK183" s="59">
        <f t="shared" si="156"/>
        <v>370.49129421395628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>
        <f>EXP(-LN(2)/35)*FQ182+(1-EXP(-LN(2)/35))/(LN(2)/35)*FM183*FN183*VLOOKUP('Données projet'!$B$16,Paramètres!$A$1:$I$89,3,0)*0.475*44/12</f>
        <v>7.4816903664124395</v>
      </c>
      <c r="FR183" s="21">
        <f>EXP(-LN(2)/25)*FR182+(1-EXP(-LN(2)/25))/(LN(2)/25)*Calculateur!FM183*Calculateur!FO183*VLOOKUP('Données projet'!$B$16,Paramètres!$A$1:$I$89,3,0)*0.475*44/12</f>
        <v>0</v>
      </c>
      <c r="FS183" s="21">
        <f>EXP(-LN(2)/2)*FS182+(1-EXP(-LN(2)/2))/(LN(2)/2)*FM183*FP183*VLOOKUP('Données projet'!$B$16,Paramètres!$A$1:$I$89,3,0)*0.475*44/12</f>
        <v>0</v>
      </c>
      <c r="FT183" s="22">
        <f t="shared" si="184"/>
        <v>7.4816903664124395</v>
      </c>
      <c r="FU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19.8100000000004</v>
      </c>
      <c r="GA183" s="17">
        <f>FZ183*VLOOKUP('Données projet'!$B$17,Paramètres!$A$1:$I$89,3,0)*VLOOKUP('Données projet'!$B$17,Paramètres!$A$1:$I$89,5,0)</f>
        <v>18.851196000000382</v>
      </c>
      <c r="GB183" s="13">
        <f t="shared" si="185"/>
        <v>6.172221809210666</v>
      </c>
      <c r="GC183" s="20">
        <f t="shared" si="186"/>
        <v>43.582452684375909</v>
      </c>
      <c r="GD183" s="59">
        <f t="shared" si="134"/>
        <v>332.98767438823052</v>
      </c>
      <c r="GE183" s="59">
        <f ca="1">AVERAGE(OFFSET($GD$3,0,0,'Données projet'!$E$17+1,1))-AVERAGE(OFFSET($H$3,0,0,'Données projet'!$E$17+1,1))</f>
        <v>592.58528889137358</v>
      </c>
      <c r="GF183" s="59">
        <f t="shared" si="158"/>
        <v>311.31528020403709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>
        <f>EXP(-LN(2)/35)*GL182+(1-EXP(-LN(2)/35))/(LN(2)/35)*GH183*GI183*VLOOKUP('Données projet'!$B$17,Paramètres!$A$1:$I$89,3,0)*0.475*44/12</f>
        <v>110.42553451736418</v>
      </c>
      <c r="GM183" s="21">
        <f>EXP(-LN(2)/25)*GM182+(1-EXP(-LN(2)/25))/(LN(2)/25)*Calculateur!GH183*Calculateur!GJ183*VLOOKUP('Données projet'!$B$17,Paramètres!$A$1:$I$89,3,0)*0.475*44/12</f>
        <v>0</v>
      </c>
      <c r="GN183" s="21">
        <f>EXP(-LN(2)/2)*GN182+(1-EXP(-LN(2)/2))/(LN(2)/2)*GH183*GK183*VLOOKUP('Données projet'!$B$17,Paramètres!$A$1:$I$89,3,0)*0.475*44/12</f>
        <v>0</v>
      </c>
      <c r="GO183" s="21">
        <f t="shared" si="187"/>
        <v>110.42553451736418</v>
      </c>
      <c r="GP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328.00000000000006</v>
      </c>
      <c r="GV183" s="17">
        <f>GU183*VLOOKUP('Données projet'!$B$18,Paramètres!$A$1:$I$89,3,0)*VLOOKUP('Données projet'!$B$18,Paramètres!$A$1:$I$89,5,0)</f>
        <v>255.84000000000006</v>
      </c>
      <c r="GW183" s="13">
        <f t="shared" si="188"/>
        <v>61.834803371075836</v>
      </c>
      <c r="GX183" s="20">
        <f t="shared" si="189"/>
        <v>553.28361587129041</v>
      </c>
      <c r="GY183" s="59">
        <f t="shared" si="137"/>
        <v>842.68883757514504</v>
      </c>
      <c r="GZ183" s="59">
        <f ca="1">AVERAGE(OFFSET($GY$3,0,0,'Données projet'!$E$18+1,1))-AVERAGE(OFFSET($H$3,0,0,'Données projet'!$E$18+1,1))</f>
        <v>308.85018589589453</v>
      </c>
      <c r="HA183" s="59">
        <f t="shared" si="160"/>
        <v>302.59481222418219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>
        <f>EXP(-LN(2)/35)*HG182+(1-EXP(-LN(2)/35))/(LN(2)/35)*HC183*HD183*VLOOKUP('Données projet'!$B$18,Paramètres!$A$1:$I$89,3,0)*0.475*44/12</f>
        <v>5.5919687518371797</v>
      </c>
      <c r="HH183" s="21">
        <f>EXP(-LN(2)/25)*HH182+(1-EXP(-LN(2)/25))/(LN(2)/25)*Calculateur!HC183*Calculateur!HE183*VLOOKUP('Données projet'!$B$18,Paramètres!$A$1:$I$89,3,0)*0.475*44/12</f>
        <v>0</v>
      </c>
      <c r="HI183" s="21">
        <f>EXP(-LN(2)/2)*HI182+(1-EXP(-LN(2)/2))/(LN(2)/2)*HC183*HF183*VLOOKUP('Données projet'!$B$18,Paramètres!$A$1:$I$89,3,0)*0.475*44/12</f>
        <v>0</v>
      </c>
      <c r="HJ183" s="22">
        <f t="shared" si="190"/>
        <v>5.5919687518371797</v>
      </c>
    </row>
    <row r="184" spans="1:218" x14ac:dyDescent="0.35">
      <c r="A184" s="10">
        <f t="shared" si="161"/>
        <v>181</v>
      </c>
      <c r="B184" s="72">
        <f>'Scénario référence'!$B$16*5+'Scénario référence'!$B$17*0+'Scénario référence'!$B$18*5</f>
        <v>5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66">
        <f t="shared" si="110"/>
        <v>183.33333333333334</v>
      </c>
      <c r="I184" s="6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19.8100000000004</v>
      </c>
      <c r="O184" s="13">
        <f>N184*VLOOKUP('Données projet'!$B$9,Paramètres!$A$1:$I$89,3,0)*VLOOKUP('Données projet'!$B$9,Paramètres!$A$1:$I$89,5,0)</f>
        <v>17.924088000000364</v>
      </c>
      <c r="P184" s="13">
        <f t="shared" si="141"/>
        <v>5.9032212091029486</v>
      </c>
      <c r="Q184" s="20">
        <f t="shared" si="162"/>
        <v>41.499230205854936</v>
      </c>
      <c r="R184" s="59">
        <f t="shared" si="109"/>
        <v>330.97259586453902</v>
      </c>
      <c r="S184" s="59">
        <f ca="1">AVERAGE(OFFSET($R$3,0,0,'Données projet'!$E$9+1,1))-AVERAGE(OFFSET($H$3,0,0,'Données projet'!$E$9+1,1))</f>
        <v>567.42635821507474</v>
      </c>
      <c r="T184" s="59">
        <f t="shared" si="142"/>
        <v>299.04735309930152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102.93588711520395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102.93588711520395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19.8100000000004</v>
      </c>
      <c r="AJ184" s="13">
        <f>AI184*VLOOKUP('Données projet'!$B$10,Paramètres!$A$1:$I$89,3,0)*VLOOKUP('Données projet'!$B$10,Paramètres!$A$1:$I$89,5,0)</f>
        <v>20.08734000000041</v>
      </c>
      <c r="AK184" s="13">
        <f t="shared" si="164"/>
        <v>6.5285137703520215</v>
      </c>
      <c r="AL184" s="20">
        <f t="shared" si="165"/>
        <v>46.355945316697152</v>
      </c>
      <c r="AM184" s="59">
        <f t="shared" si="113"/>
        <v>335.82931097538125</v>
      </c>
      <c r="AN184" s="59">
        <f ca="1">AVERAGE(OFFSET($AM$3,0,0,'Données projet'!$E$10+1,1))-AVERAGE(OFFSET($H$3,0,0,'Données projet'!$E$10+1,1))</f>
        <v>626.09203985591455</v>
      </c>
      <c r="AO184" s="59">
        <f t="shared" si="144"/>
        <v>327.65191296575199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115.35918383600445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115.35918383600445</v>
      </c>
      <c r="AY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404.00000000000017</v>
      </c>
      <c r="BE184" s="13">
        <f>BD184*VLOOKUP('Données projet'!$B$11,Paramètres!$A$1:$I$89,3,0)*VLOOKUP('Données projet'!$B$11,Paramètres!$A$1:$I$89,5,0)</f>
        <v>346.63200000000018</v>
      </c>
      <c r="BF184" s="13">
        <f t="shared" si="167"/>
        <v>80.868615263336864</v>
      </c>
      <c r="BG184" s="20">
        <f t="shared" si="168"/>
        <v>744.56357158364528</v>
      </c>
      <c r="BH184" s="59">
        <f t="shared" si="116"/>
        <v>1034.0369372423293</v>
      </c>
      <c r="BI184" s="59">
        <f ca="1">AVERAGE(OFFSET($BH$3,0,0,'Données projet'!$E$11+1,1))-AVERAGE(OFFSET($H$3,0,0,'Données projet'!$E$11+1,1))</f>
        <v>481.23392184981651</v>
      </c>
      <c r="BJ184" s="59">
        <f t="shared" si="146"/>
        <v>275.88160405468193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29.86450700047455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29.86450700047455</v>
      </c>
      <c r="BT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5.2499999999990337</v>
      </c>
      <c r="BZ184" s="13">
        <f>BY184*VLOOKUP('Données projet'!$B$12,Paramètres!$A$1:$I$89,3,0)*VLOOKUP('Données projet'!$B$12,Paramètres!$A$1:$I$89,5,0)</f>
        <v>2.4569999999995478</v>
      </c>
      <c r="CA184" s="13">
        <f t="shared" si="170"/>
        <v>1.0197977774625564</v>
      </c>
      <c r="CB184" s="20">
        <f t="shared" si="171"/>
        <v>6.0554227957464972</v>
      </c>
      <c r="CC184" s="59">
        <f t="shared" si="119"/>
        <v>295.52878845443058</v>
      </c>
      <c r="CD184" s="59">
        <f ca="1">AVERAGE(OFFSET($CC$3,0,0,'Données projet'!$E$12+1,1))-AVERAGE(OFFSET($H$3,0,0,'Données projet'!$E$12+1,1))</f>
        <v>331.86732359395467</v>
      </c>
      <c r="CE184" s="59">
        <f t="shared" si="148"/>
        <v>208.64489375183106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58.364177525225749</v>
      </c>
      <c r="CL184" s="21">
        <f>EXP(-LN(2)/25)*CL183+(1-EXP(-LN(2)/25))/(LN(2)/25)*Calculateur!CG184*Calculateur!CI184*VLOOKUP('Données projet'!$B$12,Paramètres!$A$1:$I$89,3,0)*0.475*44/12</f>
        <v>0</v>
      </c>
      <c r="CM184" s="21">
        <f>EXP(-LN(2)/2)*CM183+(1-EXP(-LN(2)/2))/(LN(2)/2)*CG184*CJ184*VLOOKUP('Données projet'!$B$12,Paramètres!$A$1:$I$89,3,0)*0.475*44/12</f>
        <v>0</v>
      </c>
      <c r="CN184" s="22">
        <f t="shared" si="172"/>
        <v>58.364177525225749</v>
      </c>
      <c r="CO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319</v>
      </c>
      <c r="CU184" s="17">
        <f>CT184*VLOOKUP('Données projet'!$B$13,Paramètres!$A$1:$I$89,3,0)*VLOOKUP('Données projet'!$B$13,Paramètres!$A$1:$I$89,5,0)</f>
        <v>233.89079999999998</v>
      </c>
      <c r="CV184" s="13">
        <f t="shared" si="173"/>
        <v>57.123140349023068</v>
      </c>
      <c r="CW184" s="20">
        <f t="shared" si="174"/>
        <v>506.84927944121517</v>
      </c>
      <c r="CX184" s="59">
        <f t="shared" si="122"/>
        <v>796.32264509989932</v>
      </c>
      <c r="CY184" s="59">
        <f ca="1">AVERAGE(OFFSET($CX$3,0,0,'Données projet'!$E$13+1,1))-AVERAGE(OFFSET($H$3,0,0,'Données projet'!$E$13+1,1))</f>
        <v>352.45777291109863</v>
      </c>
      <c r="CZ184" s="59">
        <f t="shared" si="150"/>
        <v>340.92165104349181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5.3788071560345019</v>
      </c>
      <c r="DG184" s="21">
        <f>EXP(-LN(2)/25)*DG183+(1-EXP(-LN(2)/25))/(LN(2)/25)*Calculateur!DB184*Calculateur!DD184*VLOOKUP('Données projet'!$B$13,Paramètres!$A$1:$I$89,3,0)*0.475*44/12</f>
        <v>0</v>
      </c>
      <c r="DH184" s="21">
        <f>EXP(-LN(2)/2)*DH183+(1-EXP(-LN(2)/2))/(LN(2)/2)*DB184*DE184*VLOOKUP('Données projet'!$B$13,Paramètres!$A$1:$I$89,3,0)*0.475*44/12</f>
        <v>0</v>
      </c>
      <c r="DI184" s="22">
        <f t="shared" si="175"/>
        <v>5.3788071560345019</v>
      </c>
      <c r="DJ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19.8100000000004</v>
      </c>
      <c r="DP184" s="17">
        <f>DO184*VLOOKUP('Données projet'!$B$14,Paramètres!$A$1:$I$89,3,0)*VLOOKUP('Données projet'!$B$14,Paramètres!$A$1:$I$89,5,0)</f>
        <v>13.288548000000269</v>
      </c>
      <c r="DQ184" s="13">
        <f t="shared" si="176"/>
        <v>4.531654695205642</v>
      </c>
      <c r="DR184" s="20">
        <f t="shared" si="177"/>
        <v>31.036853027483627</v>
      </c>
      <c r="DS184" s="59">
        <f t="shared" si="125"/>
        <v>320.51021868616772</v>
      </c>
      <c r="DT184" s="59">
        <f ca="1">AVERAGE(OFFSET($DS$3,0,0,'Données projet'!$E$14+1,1))-AVERAGE(OFFSET($H$3,0,0,'Données projet'!$E$14+1,1))</f>
        <v>441.20130048888439</v>
      </c>
      <c r="DU184" s="59">
        <f t="shared" si="152"/>
        <v>237.47732532183946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94.062103743203579</v>
      </c>
      <c r="EB184" s="21">
        <f>EXP(-LN(2)/25)*EB183+(1-EXP(-LN(2)/25))/(LN(2)/25)*Calculateur!DW184*Calculateur!DY184*VLOOKUP('Données projet'!$B$14,Paramètres!$A$1:$I$89,3,0)*0.475*44/12</f>
        <v>0</v>
      </c>
      <c r="EC184" s="21">
        <f>EXP(-LN(2)/2)*EC183+(1-EXP(-LN(2)/2))/(LN(2)/2)*DW184*DZ184*VLOOKUP('Données projet'!$B$14,Paramètres!$A$1:$I$89,3,0)*0.475*44/12</f>
        <v>0</v>
      </c>
      <c r="ED184" s="22">
        <f t="shared" si="178"/>
        <v>94.062103743203579</v>
      </c>
      <c r="EE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319</v>
      </c>
      <c r="EK184" s="17">
        <f>EJ184*VLOOKUP('Données projet'!$B$15,Paramètres!$A$1:$I$89,3,0)*VLOOKUP('Données projet'!$B$15,Paramètres!$A$1:$I$89,5,0)</f>
        <v>253.79640000000001</v>
      </c>
      <c r="EL184" s="13">
        <f t="shared" si="179"/>
        <v>61.39816832228076</v>
      </c>
      <c r="EM184" s="20">
        <f t="shared" si="180"/>
        <v>548.96387316130563</v>
      </c>
      <c r="EN184" s="59">
        <f t="shared" si="128"/>
        <v>838.43723881998972</v>
      </c>
      <c r="EO184" s="59">
        <f ca="1">AVERAGE(OFFSET($EN$3,0,0,'Données projet'!$E$15+1,1))-AVERAGE(OFFSET($H$3,0,0,'Données projet'!$E$15+1,1))</f>
        <v>377.27600411578322</v>
      </c>
      <c r="EP184" s="59">
        <f t="shared" si="154"/>
        <v>364.58250627635425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>
        <f>EXP(-LN(2)/35)*EV183+(1-EXP(-LN(2)/35))/(LN(2)/35)*ER184*ES184*VLOOKUP('Données projet'!$B$15,Paramètres!$A$1:$I$89,3,0)*0.475*44/12</f>
        <v>7.1939216935978498</v>
      </c>
      <c r="EW184" s="21">
        <f>EXP(-LN(2)/25)*EW183+(1-EXP(-LN(2)/25))/(LN(2)/25)*Calculateur!ER184*Calculateur!ET184*VLOOKUP('Données projet'!$B$15,Paramètres!$A$1:$I$89,3,0)*0.475*44/12</f>
        <v>0</v>
      </c>
      <c r="EX184" s="21">
        <f>EXP(-LN(2)/2)*EX183+(1-EXP(-LN(2)/2))/(LN(2)/2)*ER184*EU184*VLOOKUP('Données projet'!$B$15,Paramètres!$A$1:$I$89,3,0)*0.475*44/12</f>
        <v>0</v>
      </c>
      <c r="EY184" s="22">
        <f t="shared" si="181"/>
        <v>7.1939216935978498</v>
      </c>
      <c r="EZ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319</v>
      </c>
      <c r="FF184" s="17">
        <f>FE184*VLOOKUP('Données projet'!$B$16,Paramètres!$A$1:$I$89,3,0)*VLOOKUP('Données projet'!$B$16,Paramètres!$A$1:$I$89,5,0)</f>
        <v>258.77280000000002</v>
      </c>
      <c r="FG184" s="13">
        <f t="shared" si="182"/>
        <v>62.460716522234691</v>
      </c>
      <c r="FH184" s="20">
        <f t="shared" si="183"/>
        <v>559.48170794289206</v>
      </c>
      <c r="FI184" s="59">
        <f t="shared" si="131"/>
        <v>848.95507360157615</v>
      </c>
      <c r="FJ184" s="59">
        <f ca="1">AVERAGE(OFFSET($FI$3,0,0,'Données projet'!$E$16+1,1))-AVERAGE(OFFSET($H$3,0,0,'Données projet'!$E$16+1,1))</f>
        <v>383.47399633251354</v>
      </c>
      <c r="FK184" s="59">
        <f t="shared" si="156"/>
        <v>370.49129421395628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>
        <f>EXP(-LN(2)/35)*FQ183+(1-EXP(-LN(2)/35))/(LN(2)/35)*FM184*FN184*VLOOKUP('Données projet'!$B$16,Paramètres!$A$1:$I$89,3,0)*0.475*44/12</f>
        <v>7.3349789817076188</v>
      </c>
      <c r="FR184" s="21">
        <f>EXP(-LN(2)/25)*FR183+(1-EXP(-LN(2)/25))/(LN(2)/25)*Calculateur!FM184*Calculateur!FO184*VLOOKUP('Données projet'!$B$16,Paramètres!$A$1:$I$89,3,0)*0.475*44/12</f>
        <v>0</v>
      </c>
      <c r="FS184" s="21">
        <f>EXP(-LN(2)/2)*FS183+(1-EXP(-LN(2)/2))/(LN(2)/2)*FM184*FP184*VLOOKUP('Données projet'!$B$16,Paramètres!$A$1:$I$89,3,0)*0.475*44/12</f>
        <v>0</v>
      </c>
      <c r="FT184" s="22">
        <f t="shared" si="184"/>
        <v>7.3349789817076188</v>
      </c>
      <c r="FU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19.8100000000004</v>
      </c>
      <c r="GA184" s="17">
        <f>FZ184*VLOOKUP('Données projet'!$B$17,Paramètres!$A$1:$I$89,3,0)*VLOOKUP('Données projet'!$B$17,Paramètres!$A$1:$I$89,5,0)</f>
        <v>18.851196000000382</v>
      </c>
      <c r="GB184" s="13">
        <f t="shared" si="185"/>
        <v>6.172221809210666</v>
      </c>
      <c r="GC184" s="20">
        <f t="shared" si="186"/>
        <v>43.582452684375909</v>
      </c>
      <c r="GD184" s="59">
        <f t="shared" si="134"/>
        <v>333.05581834305997</v>
      </c>
      <c r="GE184" s="59">
        <f ca="1">AVERAGE(OFFSET($GD$3,0,0,'Données projet'!$E$17+1,1))-AVERAGE(OFFSET($H$3,0,0,'Données projet'!$E$17+1,1))</f>
        <v>592.58528889137358</v>
      </c>
      <c r="GF184" s="59">
        <f t="shared" si="158"/>
        <v>311.31528020403709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>
        <f>EXP(-LN(2)/35)*GL183+(1-EXP(-LN(2)/35))/(LN(2)/35)*GH184*GI184*VLOOKUP('Données projet'!$B$17,Paramètres!$A$1:$I$89,3,0)*0.475*44/12</f>
        <v>108.26015713840418</v>
      </c>
      <c r="GM184" s="21">
        <f>EXP(-LN(2)/25)*GM183+(1-EXP(-LN(2)/25))/(LN(2)/25)*Calculateur!GH184*Calculateur!GJ184*VLOOKUP('Données projet'!$B$17,Paramètres!$A$1:$I$89,3,0)*0.475*44/12</f>
        <v>0</v>
      </c>
      <c r="GN184" s="21">
        <f>EXP(-LN(2)/2)*GN183+(1-EXP(-LN(2)/2))/(LN(2)/2)*GH184*GK184*VLOOKUP('Données projet'!$B$17,Paramètres!$A$1:$I$89,3,0)*0.475*44/12</f>
        <v>0</v>
      </c>
      <c r="GO184" s="21">
        <f t="shared" si="187"/>
        <v>108.26015713840418</v>
      </c>
      <c r="GP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328.00000000000006</v>
      </c>
      <c r="GV184" s="17">
        <f>GU184*VLOOKUP('Données projet'!$B$18,Paramètres!$A$1:$I$89,3,0)*VLOOKUP('Données projet'!$B$18,Paramètres!$A$1:$I$89,5,0)</f>
        <v>255.84000000000006</v>
      </c>
      <c r="GW184" s="13">
        <f t="shared" si="188"/>
        <v>61.834803371075836</v>
      </c>
      <c r="GX184" s="20">
        <f t="shared" si="189"/>
        <v>553.28361587129041</v>
      </c>
      <c r="GY184" s="59">
        <f t="shared" si="137"/>
        <v>842.7569815299745</v>
      </c>
      <c r="GZ184" s="59">
        <f ca="1">AVERAGE(OFFSET($GY$3,0,0,'Données projet'!$E$18+1,1))-AVERAGE(OFFSET($H$3,0,0,'Données projet'!$E$18+1,1))</f>
        <v>308.85018589589453</v>
      </c>
      <c r="HA184" s="59">
        <f t="shared" si="160"/>
        <v>302.59481222418219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>
        <f>EXP(-LN(2)/35)*HG183+(1-EXP(-LN(2)/35))/(LN(2)/35)*HC184*HD184*VLOOKUP('Données projet'!$B$18,Paramètres!$A$1:$I$89,3,0)*0.475*44/12</f>
        <v>5.4823136553778058</v>
      </c>
      <c r="HH184" s="21">
        <f>EXP(-LN(2)/25)*HH183+(1-EXP(-LN(2)/25))/(LN(2)/25)*Calculateur!HC184*Calculateur!HE184*VLOOKUP('Données projet'!$B$18,Paramètres!$A$1:$I$89,3,0)*0.475*44/12</f>
        <v>0</v>
      </c>
      <c r="HI184" s="21">
        <f>EXP(-LN(2)/2)*HI183+(1-EXP(-LN(2)/2))/(LN(2)/2)*HC184*HF184*VLOOKUP('Données projet'!$B$18,Paramètres!$A$1:$I$89,3,0)*0.475*44/12</f>
        <v>0</v>
      </c>
      <c r="HJ184" s="22">
        <f t="shared" si="190"/>
        <v>5.4823136553778058</v>
      </c>
    </row>
    <row r="185" spans="1:218" x14ac:dyDescent="0.35">
      <c r="A185" s="10">
        <f t="shared" si="161"/>
        <v>182</v>
      </c>
      <c r="B185" s="72">
        <f>'Scénario référence'!$B$16*5+'Scénario référence'!$B$17*0+'Scénario référence'!$B$18*5</f>
        <v>5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66">
        <f t="shared" si="110"/>
        <v>183.33333333333334</v>
      </c>
      <c r="I185" s="6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19.8100000000004</v>
      </c>
      <c r="O185" s="13">
        <f>N185*VLOOKUP('Données projet'!$B$9,Paramètres!$A$1:$I$89,3,0)*VLOOKUP('Données projet'!$B$9,Paramètres!$A$1:$I$89,5,0)</f>
        <v>17.924088000000364</v>
      </c>
      <c r="P185" s="13">
        <f t="shared" si="141"/>
        <v>5.9032212091029486</v>
      </c>
      <c r="Q185" s="20">
        <f t="shared" si="162"/>
        <v>41.499230205854936</v>
      </c>
      <c r="R185" s="59">
        <f t="shared" si="109"/>
        <v>331.03955767409934</v>
      </c>
      <c r="S185" s="59">
        <f ca="1">AVERAGE(OFFSET($R$3,0,0,'Données projet'!$E$9+1,1))-AVERAGE(OFFSET($H$3,0,0,'Données projet'!$E$9+1,1))</f>
        <v>567.42635821507474</v>
      </c>
      <c r="T185" s="59">
        <f t="shared" si="142"/>
        <v>299.04735309930152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100.91737715356648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100.91737715356648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19.8100000000004</v>
      </c>
      <c r="AJ185" s="13">
        <f>AI185*VLOOKUP('Données projet'!$B$10,Paramètres!$A$1:$I$89,3,0)*VLOOKUP('Données projet'!$B$10,Paramètres!$A$1:$I$89,5,0)</f>
        <v>20.08734000000041</v>
      </c>
      <c r="AK185" s="13">
        <f t="shared" si="164"/>
        <v>6.5285137703520215</v>
      </c>
      <c r="AL185" s="20">
        <f t="shared" si="165"/>
        <v>46.355945316697152</v>
      </c>
      <c r="AM185" s="59">
        <f t="shared" si="113"/>
        <v>335.89627278494157</v>
      </c>
      <c r="AN185" s="59">
        <f ca="1">AVERAGE(OFFSET($AM$3,0,0,'Données projet'!$E$10+1,1))-AVERAGE(OFFSET($H$3,0,0,'Données projet'!$E$10+1,1))</f>
        <v>626.09203985591455</v>
      </c>
      <c r="AO185" s="59">
        <f t="shared" si="144"/>
        <v>327.65191296575199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113.09706060313485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113.09706060313485</v>
      </c>
      <c r="AY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404.00000000000017</v>
      </c>
      <c r="BE185" s="13">
        <f>BD185*VLOOKUP('Données projet'!$B$11,Paramètres!$A$1:$I$89,3,0)*VLOOKUP('Données projet'!$B$11,Paramètres!$A$1:$I$89,5,0)</f>
        <v>346.63200000000018</v>
      </c>
      <c r="BF185" s="13">
        <f t="shared" si="167"/>
        <v>80.868615263336864</v>
      </c>
      <c r="BG185" s="20">
        <f t="shared" si="168"/>
        <v>744.56357158364528</v>
      </c>
      <c r="BH185" s="59">
        <f t="shared" si="116"/>
        <v>1034.1038990518896</v>
      </c>
      <c r="BI185" s="59">
        <f ca="1">AVERAGE(OFFSET($BH$3,0,0,'Données projet'!$E$11+1,1))-AVERAGE(OFFSET($H$3,0,0,'Données projet'!$E$11+1,1))</f>
        <v>481.23392184981651</v>
      </c>
      <c r="BJ185" s="59">
        <f t="shared" si="146"/>
        <v>275.88160405468193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29.278882233745879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29.278882233745879</v>
      </c>
      <c r="BT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5.2499999999990337</v>
      </c>
      <c r="BZ185" s="13">
        <f>BY185*VLOOKUP('Données projet'!$B$12,Paramètres!$A$1:$I$89,3,0)*VLOOKUP('Données projet'!$B$12,Paramètres!$A$1:$I$89,5,0)</f>
        <v>2.4569999999995478</v>
      </c>
      <c r="CA185" s="13">
        <f t="shared" si="170"/>
        <v>1.0197977774625564</v>
      </c>
      <c r="CB185" s="20">
        <f t="shared" si="171"/>
        <v>6.0554227957464972</v>
      </c>
      <c r="CC185" s="59">
        <f t="shared" si="119"/>
        <v>295.59575026399091</v>
      </c>
      <c r="CD185" s="59">
        <f ca="1">AVERAGE(OFFSET($CC$3,0,0,'Données projet'!$E$12+1,1))-AVERAGE(OFFSET($H$3,0,0,'Données projet'!$E$12+1,1))</f>
        <v>331.86732359395467</v>
      </c>
      <c r="CE185" s="59">
        <f t="shared" si="148"/>
        <v>208.64489375183106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57.219691602589286</v>
      </c>
      <c r="CL185" s="21">
        <f>EXP(-LN(2)/25)*CL184+(1-EXP(-LN(2)/25))/(LN(2)/25)*Calculateur!CG185*Calculateur!CI185*VLOOKUP('Données projet'!$B$12,Paramètres!$A$1:$I$89,3,0)*0.475*44/12</f>
        <v>0</v>
      </c>
      <c r="CM185" s="21">
        <f>EXP(-LN(2)/2)*CM184+(1-EXP(-LN(2)/2))/(LN(2)/2)*CG185*CJ185*VLOOKUP('Données projet'!$B$12,Paramètres!$A$1:$I$89,3,0)*0.475*44/12</f>
        <v>0</v>
      </c>
      <c r="CN185" s="22">
        <f t="shared" si="172"/>
        <v>57.219691602589286</v>
      </c>
      <c r="CO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319</v>
      </c>
      <c r="CU185" s="17">
        <f>CT185*VLOOKUP('Données projet'!$B$13,Paramètres!$A$1:$I$89,3,0)*VLOOKUP('Données projet'!$B$13,Paramètres!$A$1:$I$89,5,0)</f>
        <v>233.89079999999998</v>
      </c>
      <c r="CV185" s="13">
        <f t="shared" si="173"/>
        <v>57.123140349023068</v>
      </c>
      <c r="CW185" s="20">
        <f t="shared" si="174"/>
        <v>506.84927944121517</v>
      </c>
      <c r="CX185" s="59">
        <f t="shared" si="122"/>
        <v>796.38960690945964</v>
      </c>
      <c r="CY185" s="59">
        <f ca="1">AVERAGE(OFFSET($CX$3,0,0,'Données projet'!$E$13+1,1))-AVERAGE(OFFSET($H$3,0,0,'Données projet'!$E$13+1,1))</f>
        <v>352.45777291109863</v>
      </c>
      <c r="CZ185" s="59">
        <f t="shared" si="150"/>
        <v>340.92165104349181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5.2733320284530834</v>
      </c>
      <c r="DG185" s="21">
        <f>EXP(-LN(2)/25)*DG184+(1-EXP(-LN(2)/25))/(LN(2)/25)*Calculateur!DB185*Calculateur!DD185*VLOOKUP('Données projet'!$B$13,Paramètres!$A$1:$I$89,3,0)*0.475*44/12</f>
        <v>0</v>
      </c>
      <c r="DH185" s="21">
        <f>EXP(-LN(2)/2)*DH184+(1-EXP(-LN(2)/2))/(LN(2)/2)*DB185*DE185*VLOOKUP('Données projet'!$B$13,Paramètres!$A$1:$I$89,3,0)*0.475*44/12</f>
        <v>0</v>
      </c>
      <c r="DI185" s="22">
        <f t="shared" si="175"/>
        <v>5.2733320284530834</v>
      </c>
      <c r="DJ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19.8100000000004</v>
      </c>
      <c r="DP185" s="17">
        <f>DO185*VLOOKUP('Données projet'!$B$14,Paramètres!$A$1:$I$89,3,0)*VLOOKUP('Données projet'!$B$14,Paramètres!$A$1:$I$89,5,0)</f>
        <v>13.288548000000269</v>
      </c>
      <c r="DQ185" s="13">
        <f t="shared" si="176"/>
        <v>4.531654695205642</v>
      </c>
      <c r="DR185" s="20">
        <f t="shared" si="177"/>
        <v>31.036853027483627</v>
      </c>
      <c r="DS185" s="59">
        <f t="shared" si="125"/>
        <v>320.57718049572804</v>
      </c>
      <c r="DT185" s="59">
        <f ca="1">AVERAGE(OFFSET($DS$3,0,0,'Données projet'!$E$14+1,1))-AVERAGE(OFFSET($H$3,0,0,'Données projet'!$E$14+1,1))</f>
        <v>441.20130048888439</v>
      </c>
      <c r="DU185" s="59">
        <f t="shared" si="152"/>
        <v>237.47732532183946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92.217603261017601</v>
      </c>
      <c r="EB185" s="21">
        <f>EXP(-LN(2)/25)*EB184+(1-EXP(-LN(2)/25))/(LN(2)/25)*Calculateur!DW185*Calculateur!DY185*VLOOKUP('Données projet'!$B$14,Paramètres!$A$1:$I$89,3,0)*0.475*44/12</f>
        <v>0</v>
      </c>
      <c r="EC185" s="21">
        <f>EXP(-LN(2)/2)*EC184+(1-EXP(-LN(2)/2))/(LN(2)/2)*DW185*DZ185*VLOOKUP('Données projet'!$B$14,Paramètres!$A$1:$I$89,3,0)*0.475*44/12</f>
        <v>0</v>
      </c>
      <c r="ED185" s="22">
        <f t="shared" si="178"/>
        <v>92.217603261017601</v>
      </c>
      <c r="EE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319</v>
      </c>
      <c r="EK185" s="17">
        <f>EJ185*VLOOKUP('Données projet'!$B$15,Paramètres!$A$1:$I$89,3,0)*VLOOKUP('Données projet'!$B$15,Paramètres!$A$1:$I$89,5,0)</f>
        <v>253.79640000000001</v>
      </c>
      <c r="EL185" s="13">
        <f t="shared" si="179"/>
        <v>61.39816832228076</v>
      </c>
      <c r="EM185" s="20">
        <f t="shared" si="180"/>
        <v>548.96387316130563</v>
      </c>
      <c r="EN185" s="59">
        <f t="shared" si="128"/>
        <v>838.50420062955004</v>
      </c>
      <c r="EO185" s="59">
        <f ca="1">AVERAGE(OFFSET($EN$3,0,0,'Données projet'!$E$15+1,1))-AVERAGE(OFFSET($H$3,0,0,'Données projet'!$E$15+1,1))</f>
        <v>377.27600411578322</v>
      </c>
      <c r="EP185" s="59">
        <f t="shared" si="154"/>
        <v>364.58250627635425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>
        <f>EXP(-LN(2)/35)*EV184+(1-EXP(-LN(2)/35))/(LN(2)/35)*ER185*ES185*VLOOKUP('Données projet'!$B$15,Paramètres!$A$1:$I$89,3,0)*0.475*44/12</f>
        <v>7.0528532770453642</v>
      </c>
      <c r="EW185" s="21">
        <f>EXP(-LN(2)/25)*EW184+(1-EXP(-LN(2)/25))/(LN(2)/25)*Calculateur!ER185*Calculateur!ET185*VLOOKUP('Données projet'!$B$15,Paramètres!$A$1:$I$89,3,0)*0.475*44/12</f>
        <v>0</v>
      </c>
      <c r="EX185" s="21">
        <f>EXP(-LN(2)/2)*EX184+(1-EXP(-LN(2)/2))/(LN(2)/2)*ER185*EU185*VLOOKUP('Données projet'!$B$15,Paramètres!$A$1:$I$89,3,0)*0.475*44/12</f>
        <v>0</v>
      </c>
      <c r="EY185" s="22">
        <f t="shared" si="181"/>
        <v>7.0528532770453642</v>
      </c>
      <c r="EZ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319</v>
      </c>
      <c r="FF185" s="17">
        <f>FE185*VLOOKUP('Données projet'!$B$16,Paramètres!$A$1:$I$89,3,0)*VLOOKUP('Données projet'!$B$16,Paramètres!$A$1:$I$89,5,0)</f>
        <v>258.77280000000002</v>
      </c>
      <c r="FG185" s="13">
        <f t="shared" si="182"/>
        <v>62.460716522234691</v>
      </c>
      <c r="FH185" s="20">
        <f t="shared" si="183"/>
        <v>559.48170794289206</v>
      </c>
      <c r="FI185" s="59">
        <f t="shared" si="131"/>
        <v>849.02203541113647</v>
      </c>
      <c r="FJ185" s="59">
        <f ca="1">AVERAGE(OFFSET($FI$3,0,0,'Données projet'!$E$16+1,1))-AVERAGE(OFFSET($H$3,0,0,'Données projet'!$E$16+1,1))</f>
        <v>383.47399633251354</v>
      </c>
      <c r="FK185" s="59">
        <f t="shared" si="156"/>
        <v>370.49129421395628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>
        <f>EXP(-LN(2)/35)*FQ184+(1-EXP(-LN(2)/35))/(LN(2)/35)*FM185*FN185*VLOOKUP('Données projet'!$B$16,Paramètres!$A$1:$I$89,3,0)*0.475*44/12</f>
        <v>7.1911445177717503</v>
      </c>
      <c r="FR185" s="21">
        <f>EXP(-LN(2)/25)*FR184+(1-EXP(-LN(2)/25))/(LN(2)/25)*Calculateur!FM185*Calculateur!FO185*VLOOKUP('Données projet'!$B$16,Paramètres!$A$1:$I$89,3,0)*0.475*44/12</f>
        <v>0</v>
      </c>
      <c r="FS185" s="21">
        <f>EXP(-LN(2)/2)*FS184+(1-EXP(-LN(2)/2))/(LN(2)/2)*FM185*FP185*VLOOKUP('Données projet'!$B$16,Paramètres!$A$1:$I$89,3,0)*0.475*44/12</f>
        <v>0</v>
      </c>
      <c r="FT185" s="22">
        <f t="shared" si="184"/>
        <v>7.1911445177717503</v>
      </c>
      <c r="FU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19.8100000000004</v>
      </c>
      <c r="GA185" s="17">
        <f>FZ185*VLOOKUP('Données projet'!$B$17,Paramètres!$A$1:$I$89,3,0)*VLOOKUP('Données projet'!$B$17,Paramètres!$A$1:$I$89,5,0)</f>
        <v>18.851196000000382</v>
      </c>
      <c r="GB185" s="13">
        <f t="shared" si="185"/>
        <v>6.172221809210666</v>
      </c>
      <c r="GC185" s="20">
        <f t="shared" si="186"/>
        <v>43.582452684375909</v>
      </c>
      <c r="GD185" s="59">
        <f t="shared" si="134"/>
        <v>333.12278015262029</v>
      </c>
      <c r="GE185" s="59">
        <f ca="1">AVERAGE(OFFSET($GD$3,0,0,'Données projet'!$E$17+1,1))-AVERAGE(OFFSET($H$3,0,0,'Données projet'!$E$17+1,1))</f>
        <v>592.58528889137358</v>
      </c>
      <c r="GF185" s="59">
        <f t="shared" si="158"/>
        <v>311.31528020403709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>
        <f>EXP(-LN(2)/35)*GL184+(1-EXP(-LN(2)/35))/(LN(2)/35)*GH185*GI185*VLOOKUP('Données projet'!$B$17,Paramètres!$A$1:$I$89,3,0)*0.475*44/12</f>
        <v>106.1372414890958</v>
      </c>
      <c r="GM185" s="21">
        <f>EXP(-LN(2)/25)*GM184+(1-EXP(-LN(2)/25))/(LN(2)/25)*Calculateur!GH185*Calculateur!GJ185*VLOOKUP('Données projet'!$B$17,Paramètres!$A$1:$I$89,3,0)*0.475*44/12</f>
        <v>0</v>
      </c>
      <c r="GN185" s="21">
        <f>EXP(-LN(2)/2)*GN184+(1-EXP(-LN(2)/2))/(LN(2)/2)*GH185*GK185*VLOOKUP('Données projet'!$B$17,Paramètres!$A$1:$I$89,3,0)*0.475*44/12</f>
        <v>0</v>
      </c>
      <c r="GO185" s="21">
        <f t="shared" si="187"/>
        <v>106.1372414890958</v>
      </c>
      <c r="GP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328.00000000000006</v>
      </c>
      <c r="GV185" s="17">
        <f>GU185*VLOOKUP('Données projet'!$B$18,Paramètres!$A$1:$I$89,3,0)*VLOOKUP('Données projet'!$B$18,Paramètres!$A$1:$I$89,5,0)</f>
        <v>255.84000000000006</v>
      </c>
      <c r="GW185" s="13">
        <f t="shared" si="188"/>
        <v>61.834803371075836</v>
      </c>
      <c r="GX185" s="20">
        <f t="shared" si="189"/>
        <v>553.28361587129041</v>
      </c>
      <c r="GY185" s="59">
        <f t="shared" si="137"/>
        <v>842.82394333953482</v>
      </c>
      <c r="GZ185" s="59">
        <f ca="1">AVERAGE(OFFSET($GY$3,0,0,'Données projet'!$E$18+1,1))-AVERAGE(OFFSET($H$3,0,0,'Données projet'!$E$18+1,1))</f>
        <v>308.85018589589453</v>
      </c>
      <c r="HA185" s="59">
        <f t="shared" si="160"/>
        <v>302.59481222418219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>
        <f>EXP(-LN(2)/35)*HG184+(1-EXP(-LN(2)/35))/(LN(2)/35)*HC185*HD185*VLOOKUP('Données projet'!$B$18,Paramètres!$A$1:$I$89,3,0)*0.475*44/12</f>
        <v>5.3748088284769961</v>
      </c>
      <c r="HH185" s="21">
        <f>EXP(-LN(2)/25)*HH184+(1-EXP(-LN(2)/25))/(LN(2)/25)*Calculateur!HC185*Calculateur!HE185*VLOOKUP('Données projet'!$B$18,Paramètres!$A$1:$I$89,3,0)*0.475*44/12</f>
        <v>0</v>
      </c>
      <c r="HI185" s="21">
        <f>EXP(-LN(2)/2)*HI184+(1-EXP(-LN(2)/2))/(LN(2)/2)*HC185*HF185*VLOOKUP('Données projet'!$B$18,Paramètres!$A$1:$I$89,3,0)*0.475*44/12</f>
        <v>0</v>
      </c>
      <c r="HJ185" s="22">
        <f t="shared" si="190"/>
        <v>5.3748088284769961</v>
      </c>
    </row>
    <row r="186" spans="1:218" x14ac:dyDescent="0.35">
      <c r="A186" s="10">
        <f t="shared" si="161"/>
        <v>183</v>
      </c>
      <c r="B186" s="72">
        <f>'Scénario référence'!$B$16*5+'Scénario référence'!$B$17*0+'Scénario référence'!$B$18*5</f>
        <v>5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66">
        <f t="shared" si="110"/>
        <v>183.33333333333334</v>
      </c>
      <c r="I186" s="6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19.8100000000004</v>
      </c>
      <c r="O186" s="13">
        <f>N186*VLOOKUP('Données projet'!$B$9,Paramètres!$A$1:$I$89,3,0)*VLOOKUP('Données projet'!$B$9,Paramètres!$A$1:$I$89,5,0)</f>
        <v>17.924088000000364</v>
      </c>
      <c r="P186" s="13">
        <f t="shared" si="141"/>
        <v>5.9032212091029486</v>
      </c>
      <c r="Q186" s="20">
        <f t="shared" si="162"/>
        <v>41.499230205854936</v>
      </c>
      <c r="R186" s="59">
        <f t="shared" si="109"/>
        <v>331.10535784596789</v>
      </c>
      <c r="S186" s="59">
        <f ca="1">AVERAGE(OFFSET($R$3,0,0,'Données projet'!$E$9+1,1))-AVERAGE(OFFSET($H$3,0,0,'Données projet'!$E$9+1,1))</f>
        <v>567.42635821507474</v>
      </c>
      <c r="T186" s="59">
        <f t="shared" si="142"/>
        <v>299.04735309930152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98.938448941107197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98.938448941107197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19.8100000000004</v>
      </c>
      <c r="AJ186" s="13">
        <f>AI186*VLOOKUP('Données projet'!$B$10,Paramètres!$A$1:$I$89,3,0)*VLOOKUP('Données projet'!$B$10,Paramètres!$A$1:$I$89,5,0)</f>
        <v>20.08734000000041</v>
      </c>
      <c r="AK186" s="13">
        <f t="shared" si="164"/>
        <v>6.5285137703520215</v>
      </c>
      <c r="AL186" s="20">
        <f t="shared" si="165"/>
        <v>46.355945316697152</v>
      </c>
      <c r="AM186" s="59">
        <f t="shared" si="113"/>
        <v>335.96207295681012</v>
      </c>
      <c r="AN186" s="59">
        <f ca="1">AVERAGE(OFFSET($AM$3,0,0,'Données projet'!$E$10+1,1))-AVERAGE(OFFSET($H$3,0,0,'Données projet'!$E$10+1,1))</f>
        <v>626.09203985591455</v>
      </c>
      <c r="AO186" s="59">
        <f t="shared" si="144"/>
        <v>327.65191296575199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110.8792962271029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110.8792962271029</v>
      </c>
      <c r="AY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404.00000000000017</v>
      </c>
      <c r="BE186" s="13">
        <f>BD186*VLOOKUP('Données projet'!$B$11,Paramètres!$A$1:$I$89,3,0)*VLOOKUP('Données projet'!$B$11,Paramètres!$A$1:$I$89,5,0)</f>
        <v>346.63200000000018</v>
      </c>
      <c r="BF186" s="13">
        <f t="shared" si="167"/>
        <v>80.868615263336864</v>
      </c>
      <c r="BG186" s="20">
        <f t="shared" si="168"/>
        <v>744.56357158364528</v>
      </c>
      <c r="BH186" s="59">
        <f t="shared" si="116"/>
        <v>1034.1696992237582</v>
      </c>
      <c r="BI186" s="59">
        <f ca="1">AVERAGE(OFFSET($BH$3,0,0,'Données projet'!$E$11+1,1))-AVERAGE(OFFSET($H$3,0,0,'Données projet'!$E$11+1,1))</f>
        <v>481.23392184981651</v>
      </c>
      <c r="BJ186" s="59">
        <f t="shared" si="146"/>
        <v>275.88160405468193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28.70474121149692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28.70474121149692</v>
      </c>
      <c r="BT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5.2499999999990337</v>
      </c>
      <c r="BZ186" s="13">
        <f>BY186*VLOOKUP('Données projet'!$B$12,Paramètres!$A$1:$I$89,3,0)*VLOOKUP('Données projet'!$B$12,Paramètres!$A$1:$I$89,5,0)</f>
        <v>2.4569999999995478</v>
      </c>
      <c r="CA186" s="13">
        <f t="shared" si="170"/>
        <v>1.0197977774625564</v>
      </c>
      <c r="CB186" s="20">
        <f t="shared" si="171"/>
        <v>6.0554227957464972</v>
      </c>
      <c r="CC186" s="59">
        <f t="shared" si="119"/>
        <v>295.66155043585945</v>
      </c>
      <c r="CD186" s="59">
        <f ca="1">AVERAGE(OFFSET($CC$3,0,0,'Données projet'!$E$12+1,1))-AVERAGE(OFFSET($H$3,0,0,'Données projet'!$E$12+1,1))</f>
        <v>331.86732359395467</v>
      </c>
      <c r="CE186" s="59">
        <f t="shared" si="148"/>
        <v>208.64489375183106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56.097648350828244</v>
      </c>
      <c r="CL186" s="21">
        <f>EXP(-LN(2)/25)*CL185+(1-EXP(-LN(2)/25))/(LN(2)/25)*Calculateur!CG186*Calculateur!CI186*VLOOKUP('Données projet'!$B$12,Paramètres!$A$1:$I$89,3,0)*0.475*44/12</f>
        <v>0</v>
      </c>
      <c r="CM186" s="21">
        <f>EXP(-LN(2)/2)*CM185+(1-EXP(-LN(2)/2))/(LN(2)/2)*CG186*CJ186*VLOOKUP('Données projet'!$B$12,Paramètres!$A$1:$I$89,3,0)*0.475*44/12</f>
        <v>0</v>
      </c>
      <c r="CN186" s="22">
        <f t="shared" si="172"/>
        <v>56.097648350828244</v>
      </c>
      <c r="CO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319</v>
      </c>
      <c r="CU186" s="17">
        <f>CT186*VLOOKUP('Données projet'!$B$13,Paramètres!$A$1:$I$89,3,0)*VLOOKUP('Données projet'!$B$13,Paramètres!$A$1:$I$89,5,0)</f>
        <v>233.89079999999998</v>
      </c>
      <c r="CV186" s="13">
        <f t="shared" si="173"/>
        <v>57.123140349023068</v>
      </c>
      <c r="CW186" s="20">
        <f t="shared" si="174"/>
        <v>506.84927944121517</v>
      </c>
      <c r="CX186" s="59">
        <f t="shared" si="122"/>
        <v>796.45540708132808</v>
      </c>
      <c r="CY186" s="59">
        <f ca="1">AVERAGE(OFFSET($CX$3,0,0,'Données projet'!$E$13+1,1))-AVERAGE(OFFSET($H$3,0,0,'Données projet'!$E$13+1,1))</f>
        <v>352.45777291109863</v>
      </c>
      <c r="CZ186" s="59">
        <f t="shared" si="150"/>
        <v>340.92165104349181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5.1699252037900614</v>
      </c>
      <c r="DG186" s="21">
        <f>EXP(-LN(2)/25)*DG185+(1-EXP(-LN(2)/25))/(LN(2)/25)*Calculateur!DB186*Calculateur!DD186*VLOOKUP('Données projet'!$B$13,Paramètres!$A$1:$I$89,3,0)*0.475*44/12</f>
        <v>0</v>
      </c>
      <c r="DH186" s="21">
        <f>EXP(-LN(2)/2)*DH185+(1-EXP(-LN(2)/2))/(LN(2)/2)*DB186*DE186*VLOOKUP('Données projet'!$B$13,Paramètres!$A$1:$I$89,3,0)*0.475*44/12</f>
        <v>0</v>
      </c>
      <c r="DI186" s="22">
        <f t="shared" si="175"/>
        <v>5.1699252037900614</v>
      </c>
      <c r="DJ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19.8100000000004</v>
      </c>
      <c r="DP186" s="17">
        <f>DO186*VLOOKUP('Données projet'!$B$14,Paramètres!$A$1:$I$89,3,0)*VLOOKUP('Données projet'!$B$14,Paramètres!$A$1:$I$89,5,0)</f>
        <v>13.288548000000269</v>
      </c>
      <c r="DQ186" s="13">
        <f t="shared" si="176"/>
        <v>4.531654695205642</v>
      </c>
      <c r="DR186" s="20">
        <f t="shared" si="177"/>
        <v>31.036853027483627</v>
      </c>
      <c r="DS186" s="59">
        <f t="shared" si="125"/>
        <v>320.64298066759659</v>
      </c>
      <c r="DT186" s="59">
        <f ca="1">AVERAGE(OFFSET($DS$3,0,0,'Données projet'!$E$14+1,1))-AVERAGE(OFFSET($H$3,0,0,'Données projet'!$E$14+1,1))</f>
        <v>441.20130048888439</v>
      </c>
      <c r="DU186" s="59">
        <f t="shared" si="152"/>
        <v>237.47732532183946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90.409272308253094</v>
      </c>
      <c r="EB186" s="21">
        <f>EXP(-LN(2)/25)*EB185+(1-EXP(-LN(2)/25))/(LN(2)/25)*Calculateur!DW186*Calculateur!DY186*VLOOKUP('Données projet'!$B$14,Paramètres!$A$1:$I$89,3,0)*0.475*44/12</f>
        <v>0</v>
      </c>
      <c r="EC186" s="21">
        <f>EXP(-LN(2)/2)*EC185+(1-EXP(-LN(2)/2))/(LN(2)/2)*DW186*DZ186*VLOOKUP('Données projet'!$B$14,Paramètres!$A$1:$I$89,3,0)*0.475*44/12</f>
        <v>0</v>
      </c>
      <c r="ED186" s="22">
        <f t="shared" si="178"/>
        <v>90.409272308253094</v>
      </c>
      <c r="EE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319</v>
      </c>
      <c r="EK186" s="17">
        <f>EJ186*VLOOKUP('Données projet'!$B$15,Paramètres!$A$1:$I$89,3,0)*VLOOKUP('Données projet'!$B$15,Paramètres!$A$1:$I$89,5,0)</f>
        <v>253.79640000000001</v>
      </c>
      <c r="EL186" s="13">
        <f t="shared" si="179"/>
        <v>61.39816832228076</v>
      </c>
      <c r="EM186" s="20">
        <f t="shared" si="180"/>
        <v>548.96387316130563</v>
      </c>
      <c r="EN186" s="59">
        <f t="shared" si="128"/>
        <v>838.57000080141859</v>
      </c>
      <c r="EO186" s="59">
        <f ca="1">AVERAGE(OFFSET($EN$3,0,0,'Données projet'!$E$15+1,1))-AVERAGE(OFFSET($H$3,0,0,'Données projet'!$E$15+1,1))</f>
        <v>377.27600411578322</v>
      </c>
      <c r="EP186" s="59">
        <f t="shared" si="154"/>
        <v>364.58250627635425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>
        <f>EXP(-LN(2)/35)*EV185+(1-EXP(-LN(2)/35))/(LN(2)/35)*ER186*ES186*VLOOKUP('Données projet'!$B$15,Paramètres!$A$1:$I$89,3,0)*0.475*44/12</f>
        <v>6.9145511260982344</v>
      </c>
      <c r="EW186" s="21">
        <f>EXP(-LN(2)/25)*EW185+(1-EXP(-LN(2)/25))/(LN(2)/25)*Calculateur!ER186*Calculateur!ET186*VLOOKUP('Données projet'!$B$15,Paramètres!$A$1:$I$89,3,0)*0.475*44/12</f>
        <v>0</v>
      </c>
      <c r="EX186" s="21">
        <f>EXP(-LN(2)/2)*EX185+(1-EXP(-LN(2)/2))/(LN(2)/2)*ER186*EU186*VLOOKUP('Données projet'!$B$15,Paramètres!$A$1:$I$89,3,0)*0.475*44/12</f>
        <v>0</v>
      </c>
      <c r="EY186" s="22">
        <f t="shared" si="181"/>
        <v>6.9145511260982344</v>
      </c>
      <c r="EZ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319</v>
      </c>
      <c r="FF186" s="17">
        <f>FE186*VLOOKUP('Données projet'!$B$16,Paramètres!$A$1:$I$89,3,0)*VLOOKUP('Données projet'!$B$16,Paramètres!$A$1:$I$89,5,0)</f>
        <v>258.77280000000002</v>
      </c>
      <c r="FG186" s="13">
        <f t="shared" si="182"/>
        <v>62.460716522234691</v>
      </c>
      <c r="FH186" s="20">
        <f t="shared" si="183"/>
        <v>559.48170794289206</v>
      </c>
      <c r="FI186" s="59">
        <f t="shared" si="131"/>
        <v>849.08783558300502</v>
      </c>
      <c r="FJ186" s="59">
        <f ca="1">AVERAGE(OFFSET($FI$3,0,0,'Données projet'!$E$16+1,1))-AVERAGE(OFFSET($H$3,0,0,'Données projet'!$E$16+1,1))</f>
        <v>383.47399633251354</v>
      </c>
      <c r="FK186" s="59">
        <f t="shared" si="156"/>
        <v>370.49129421395628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>
        <f>EXP(-LN(2)/35)*FQ185+(1-EXP(-LN(2)/35))/(LN(2)/35)*FM186*FN186*VLOOKUP('Données projet'!$B$16,Paramètres!$A$1:$I$89,3,0)*0.475*44/12</f>
        <v>7.0501305599433044</v>
      </c>
      <c r="FR186" s="21">
        <f>EXP(-LN(2)/25)*FR185+(1-EXP(-LN(2)/25))/(LN(2)/25)*Calculateur!FM186*Calculateur!FO186*VLOOKUP('Données projet'!$B$16,Paramètres!$A$1:$I$89,3,0)*0.475*44/12</f>
        <v>0</v>
      </c>
      <c r="FS186" s="21">
        <f>EXP(-LN(2)/2)*FS185+(1-EXP(-LN(2)/2))/(LN(2)/2)*FM186*FP186*VLOOKUP('Données projet'!$B$16,Paramètres!$A$1:$I$89,3,0)*0.475*44/12</f>
        <v>0</v>
      </c>
      <c r="FT186" s="22">
        <f t="shared" si="184"/>
        <v>7.0501305599433044</v>
      </c>
      <c r="FU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19.8100000000004</v>
      </c>
      <c r="GA186" s="17">
        <f>FZ186*VLOOKUP('Données projet'!$B$17,Paramètres!$A$1:$I$89,3,0)*VLOOKUP('Données projet'!$B$17,Paramètres!$A$1:$I$89,5,0)</f>
        <v>18.851196000000382</v>
      </c>
      <c r="GB186" s="13">
        <f t="shared" si="185"/>
        <v>6.172221809210666</v>
      </c>
      <c r="GC186" s="20">
        <f t="shared" si="186"/>
        <v>43.582452684375909</v>
      </c>
      <c r="GD186" s="59">
        <f t="shared" si="134"/>
        <v>333.18858032448884</v>
      </c>
      <c r="GE186" s="59">
        <f ca="1">AVERAGE(OFFSET($GD$3,0,0,'Données projet'!$E$17+1,1))-AVERAGE(OFFSET($H$3,0,0,'Données projet'!$E$17+1,1))</f>
        <v>592.58528889137358</v>
      </c>
      <c r="GF186" s="59">
        <f t="shared" si="158"/>
        <v>311.31528020403709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>
        <f>EXP(-LN(2)/35)*GL185+(1-EXP(-LN(2)/35))/(LN(2)/35)*GH186*GI186*VLOOKUP('Données projet'!$B$17,Paramètres!$A$1:$I$89,3,0)*0.475*44/12</f>
        <v>104.05595492081966</v>
      </c>
      <c r="GM186" s="21">
        <f>EXP(-LN(2)/25)*GM185+(1-EXP(-LN(2)/25))/(LN(2)/25)*Calculateur!GH186*Calculateur!GJ186*VLOOKUP('Données projet'!$B$17,Paramètres!$A$1:$I$89,3,0)*0.475*44/12</f>
        <v>0</v>
      </c>
      <c r="GN186" s="21">
        <f>EXP(-LN(2)/2)*GN185+(1-EXP(-LN(2)/2))/(LN(2)/2)*GH186*GK186*VLOOKUP('Données projet'!$B$17,Paramètres!$A$1:$I$89,3,0)*0.475*44/12</f>
        <v>0</v>
      </c>
      <c r="GO186" s="21">
        <f t="shared" si="187"/>
        <v>104.05595492081966</v>
      </c>
      <c r="GP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328.00000000000006</v>
      </c>
      <c r="GV186" s="17">
        <f>GU186*VLOOKUP('Données projet'!$B$18,Paramètres!$A$1:$I$89,3,0)*VLOOKUP('Données projet'!$B$18,Paramètres!$A$1:$I$89,5,0)</f>
        <v>255.84000000000006</v>
      </c>
      <c r="GW186" s="13">
        <f t="shared" si="188"/>
        <v>61.834803371075836</v>
      </c>
      <c r="GX186" s="20">
        <f t="shared" si="189"/>
        <v>553.28361587129041</v>
      </c>
      <c r="GY186" s="59">
        <f t="shared" si="137"/>
        <v>842.88974351140337</v>
      </c>
      <c r="GZ186" s="59">
        <f ca="1">AVERAGE(OFFSET($GY$3,0,0,'Données projet'!$E$18+1,1))-AVERAGE(OFFSET($H$3,0,0,'Données projet'!$E$18+1,1))</f>
        <v>308.85018589589453</v>
      </c>
      <c r="HA186" s="59">
        <f t="shared" si="160"/>
        <v>302.59481222418219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>
        <f>EXP(-LN(2)/35)*HG185+(1-EXP(-LN(2)/35))/(LN(2)/35)*HC186*HD186*VLOOKUP('Données projet'!$B$18,Paramètres!$A$1:$I$89,3,0)*0.475*44/12</f>
        <v>5.2694121056602414</v>
      </c>
      <c r="HH186" s="21">
        <f>EXP(-LN(2)/25)*HH185+(1-EXP(-LN(2)/25))/(LN(2)/25)*Calculateur!HC186*Calculateur!HE186*VLOOKUP('Données projet'!$B$18,Paramètres!$A$1:$I$89,3,0)*0.475*44/12</f>
        <v>0</v>
      </c>
      <c r="HI186" s="21">
        <f>EXP(-LN(2)/2)*HI185+(1-EXP(-LN(2)/2))/(LN(2)/2)*HC186*HF186*VLOOKUP('Données projet'!$B$18,Paramètres!$A$1:$I$89,3,0)*0.475*44/12</f>
        <v>0</v>
      </c>
      <c r="HJ186" s="22">
        <f t="shared" si="190"/>
        <v>5.2694121056602414</v>
      </c>
    </row>
    <row r="187" spans="1:218" x14ac:dyDescent="0.35">
      <c r="A187" s="10">
        <f t="shared" si="161"/>
        <v>184</v>
      </c>
      <c r="B187" s="72">
        <f>'Scénario référence'!$B$16*5+'Scénario référence'!$B$17*0+'Scénario référence'!$B$18*5</f>
        <v>5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66">
        <f t="shared" si="110"/>
        <v>183.33333333333334</v>
      </c>
      <c r="I187" s="6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19.8100000000004</v>
      </c>
      <c r="O187" s="13">
        <f>N187*VLOOKUP('Données projet'!$B$9,Paramètres!$A$1:$I$89,3,0)*VLOOKUP('Données projet'!$B$9,Paramètres!$A$1:$I$89,5,0)</f>
        <v>17.924088000000364</v>
      </c>
      <c r="P187" s="13">
        <f t="shared" si="141"/>
        <v>5.9032212091029486</v>
      </c>
      <c r="Q187" s="20">
        <f t="shared" si="162"/>
        <v>41.499230205854936</v>
      </c>
      <c r="R187" s="59">
        <f t="shared" si="109"/>
        <v>331.17001653196166</v>
      </c>
      <c r="S187" s="59">
        <f ca="1">AVERAGE(OFFSET($R$3,0,0,'Données projet'!$E$9+1,1))-AVERAGE(OFFSET($H$3,0,0,'Données projet'!$E$9+1,1))</f>
        <v>567.42635821507474</v>
      </c>
      <c r="T187" s="59">
        <f t="shared" si="142"/>
        <v>299.04735309930152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96.998326303867216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96.998326303867216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19.8100000000004</v>
      </c>
      <c r="AJ187" s="13">
        <f>AI187*VLOOKUP('Données projet'!$B$10,Paramètres!$A$1:$I$89,3,0)*VLOOKUP('Données projet'!$B$10,Paramètres!$A$1:$I$89,5,0)</f>
        <v>20.08734000000041</v>
      </c>
      <c r="AK187" s="13">
        <f t="shared" si="164"/>
        <v>6.5285137703520215</v>
      </c>
      <c r="AL187" s="20">
        <f t="shared" si="165"/>
        <v>46.355945316697152</v>
      </c>
      <c r="AM187" s="59">
        <f t="shared" si="113"/>
        <v>336.0267316428039</v>
      </c>
      <c r="AN187" s="59">
        <f ca="1">AVERAGE(OFFSET($AM$3,0,0,'Données projet'!$E$10+1,1))-AVERAGE(OFFSET($H$3,0,0,'Données projet'!$E$10+1,1))</f>
        <v>626.09203985591455</v>
      </c>
      <c r="AO187" s="59">
        <f t="shared" si="144"/>
        <v>327.65191296575199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108.70502085778223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108.70502085778223</v>
      </c>
      <c r="AY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404.00000000000017</v>
      </c>
      <c r="BE187" s="13">
        <f>BD187*VLOOKUP('Données projet'!$B$11,Paramètres!$A$1:$I$89,3,0)*VLOOKUP('Données projet'!$B$11,Paramètres!$A$1:$I$89,5,0)</f>
        <v>346.63200000000018</v>
      </c>
      <c r="BF187" s="13">
        <f t="shared" si="167"/>
        <v>80.868615263336864</v>
      </c>
      <c r="BG187" s="20">
        <f t="shared" si="168"/>
        <v>744.56357158364528</v>
      </c>
      <c r="BH187" s="59">
        <f t="shared" si="116"/>
        <v>1034.2343579097519</v>
      </c>
      <c r="BI187" s="59">
        <f ca="1">AVERAGE(OFFSET($BH$3,0,0,'Données projet'!$E$11+1,1))-AVERAGE(OFFSET($H$3,0,0,'Données projet'!$E$11+1,1))</f>
        <v>481.23392184981651</v>
      </c>
      <c r="BJ187" s="59">
        <f t="shared" si="146"/>
        <v>275.88160405468193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28.141858744502816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28.141858744502816</v>
      </c>
      <c r="BT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5.2499999999990337</v>
      </c>
      <c r="BZ187" s="13">
        <f>BY187*VLOOKUP('Données projet'!$B$12,Paramètres!$A$1:$I$89,3,0)*VLOOKUP('Données projet'!$B$12,Paramètres!$A$1:$I$89,5,0)</f>
        <v>2.4569999999995478</v>
      </c>
      <c r="CA187" s="13">
        <f t="shared" si="170"/>
        <v>1.0197977774625564</v>
      </c>
      <c r="CB187" s="20">
        <f t="shared" si="171"/>
        <v>6.0554227957464972</v>
      </c>
      <c r="CC187" s="59">
        <f t="shared" si="119"/>
        <v>295.72620912185323</v>
      </c>
      <c r="CD187" s="59">
        <f ca="1">AVERAGE(OFFSET($CC$3,0,0,'Données projet'!$E$12+1,1))-AVERAGE(OFFSET($H$3,0,0,'Données projet'!$E$12+1,1))</f>
        <v>331.86732359395467</v>
      </c>
      <c r="CE187" s="59">
        <f t="shared" si="148"/>
        <v>208.64489375183106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54.997607682855431</v>
      </c>
      <c r="CL187" s="21">
        <f>EXP(-LN(2)/25)*CL186+(1-EXP(-LN(2)/25))/(LN(2)/25)*Calculateur!CG187*Calculateur!CI187*VLOOKUP('Données projet'!$B$12,Paramètres!$A$1:$I$89,3,0)*0.475*44/12</f>
        <v>0</v>
      </c>
      <c r="CM187" s="21">
        <f>EXP(-LN(2)/2)*CM186+(1-EXP(-LN(2)/2))/(LN(2)/2)*CG187*CJ187*VLOOKUP('Données projet'!$B$12,Paramètres!$A$1:$I$89,3,0)*0.475*44/12</f>
        <v>0</v>
      </c>
      <c r="CN187" s="22">
        <f t="shared" si="172"/>
        <v>54.997607682855431</v>
      </c>
      <c r="CO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319</v>
      </c>
      <c r="CU187" s="17">
        <f>CT187*VLOOKUP('Données projet'!$B$13,Paramètres!$A$1:$I$89,3,0)*VLOOKUP('Données projet'!$B$13,Paramètres!$A$1:$I$89,5,0)</f>
        <v>233.89079999999998</v>
      </c>
      <c r="CV187" s="13">
        <f t="shared" si="173"/>
        <v>57.123140349023068</v>
      </c>
      <c r="CW187" s="20">
        <f t="shared" si="174"/>
        <v>506.84927944121517</v>
      </c>
      <c r="CX187" s="59">
        <f t="shared" si="122"/>
        <v>796.52006576732197</v>
      </c>
      <c r="CY187" s="59">
        <f ca="1">AVERAGE(OFFSET($CX$3,0,0,'Données projet'!$E$13+1,1))-AVERAGE(OFFSET($H$3,0,0,'Données projet'!$E$13+1,1))</f>
        <v>352.45777291109863</v>
      </c>
      <c r="CZ187" s="59">
        <f t="shared" si="150"/>
        <v>340.92165104349181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5.0685461238867457</v>
      </c>
      <c r="DG187" s="21">
        <f>EXP(-LN(2)/25)*DG186+(1-EXP(-LN(2)/25))/(LN(2)/25)*Calculateur!DB187*Calculateur!DD187*VLOOKUP('Données projet'!$B$13,Paramètres!$A$1:$I$89,3,0)*0.475*44/12</f>
        <v>0</v>
      </c>
      <c r="DH187" s="21">
        <f>EXP(-LN(2)/2)*DH186+(1-EXP(-LN(2)/2))/(LN(2)/2)*DB187*DE187*VLOOKUP('Données projet'!$B$13,Paramètres!$A$1:$I$89,3,0)*0.475*44/12</f>
        <v>0</v>
      </c>
      <c r="DI187" s="22">
        <f t="shared" si="175"/>
        <v>5.0685461238867457</v>
      </c>
      <c r="DJ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19.8100000000004</v>
      </c>
      <c r="DP187" s="17">
        <f>DO187*VLOOKUP('Données projet'!$B$14,Paramètres!$A$1:$I$89,3,0)*VLOOKUP('Données projet'!$B$14,Paramètres!$A$1:$I$89,5,0)</f>
        <v>13.288548000000269</v>
      </c>
      <c r="DQ187" s="13">
        <f t="shared" si="176"/>
        <v>4.531654695205642</v>
      </c>
      <c r="DR187" s="20">
        <f t="shared" si="177"/>
        <v>31.036853027483627</v>
      </c>
      <c r="DS187" s="59">
        <f t="shared" si="125"/>
        <v>320.70763935359037</v>
      </c>
      <c r="DT187" s="59">
        <f ca="1">AVERAGE(OFFSET($DS$3,0,0,'Données projet'!$E$14+1,1))-AVERAGE(OFFSET($H$3,0,0,'Données projet'!$E$14+1,1))</f>
        <v>441.20130048888439</v>
      </c>
      <c r="DU187" s="59">
        <f t="shared" si="152"/>
        <v>237.47732532183946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88.636401622499321</v>
      </c>
      <c r="EB187" s="21">
        <f>EXP(-LN(2)/25)*EB186+(1-EXP(-LN(2)/25))/(LN(2)/25)*Calculateur!DW187*Calculateur!DY187*VLOOKUP('Données projet'!$B$14,Paramètres!$A$1:$I$89,3,0)*0.475*44/12</f>
        <v>0</v>
      </c>
      <c r="EC187" s="21">
        <f>EXP(-LN(2)/2)*EC186+(1-EXP(-LN(2)/2))/(LN(2)/2)*DW187*DZ187*VLOOKUP('Données projet'!$B$14,Paramètres!$A$1:$I$89,3,0)*0.475*44/12</f>
        <v>0</v>
      </c>
      <c r="ED187" s="22">
        <f t="shared" si="178"/>
        <v>88.636401622499321</v>
      </c>
      <c r="EE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319</v>
      </c>
      <c r="EK187" s="17">
        <f>EJ187*VLOOKUP('Données projet'!$B$15,Paramètres!$A$1:$I$89,3,0)*VLOOKUP('Données projet'!$B$15,Paramètres!$A$1:$I$89,5,0)</f>
        <v>253.79640000000001</v>
      </c>
      <c r="EL187" s="13">
        <f t="shared" si="179"/>
        <v>61.39816832228076</v>
      </c>
      <c r="EM187" s="20">
        <f t="shared" si="180"/>
        <v>548.96387316130563</v>
      </c>
      <c r="EN187" s="59">
        <f t="shared" si="128"/>
        <v>838.63465948741236</v>
      </c>
      <c r="EO187" s="59">
        <f ca="1">AVERAGE(OFFSET($EN$3,0,0,'Données projet'!$E$15+1,1))-AVERAGE(OFFSET($H$3,0,0,'Données projet'!$E$15+1,1))</f>
        <v>377.27600411578322</v>
      </c>
      <c r="EP187" s="59">
        <f t="shared" si="154"/>
        <v>364.58250627635425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>
        <f>EXP(-LN(2)/35)*EV186+(1-EXP(-LN(2)/35))/(LN(2)/35)*ER187*ES187*VLOOKUP('Données projet'!$B$15,Paramètres!$A$1:$I$89,3,0)*0.475*44/12</f>
        <v>6.7789609959751953</v>
      </c>
      <c r="EW187" s="21">
        <f>EXP(-LN(2)/25)*EW186+(1-EXP(-LN(2)/25))/(LN(2)/25)*Calculateur!ER187*Calculateur!ET187*VLOOKUP('Données projet'!$B$15,Paramètres!$A$1:$I$89,3,0)*0.475*44/12</f>
        <v>0</v>
      </c>
      <c r="EX187" s="21">
        <f>EXP(-LN(2)/2)*EX186+(1-EXP(-LN(2)/2))/(LN(2)/2)*ER187*EU187*VLOOKUP('Données projet'!$B$15,Paramètres!$A$1:$I$89,3,0)*0.475*44/12</f>
        <v>0</v>
      </c>
      <c r="EY187" s="22">
        <f t="shared" si="181"/>
        <v>6.7789609959751953</v>
      </c>
      <c r="EZ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319</v>
      </c>
      <c r="FF187" s="17">
        <f>FE187*VLOOKUP('Données projet'!$B$16,Paramètres!$A$1:$I$89,3,0)*VLOOKUP('Données projet'!$B$16,Paramètres!$A$1:$I$89,5,0)</f>
        <v>258.77280000000002</v>
      </c>
      <c r="FG187" s="13">
        <f t="shared" si="182"/>
        <v>62.460716522234691</v>
      </c>
      <c r="FH187" s="20">
        <f t="shared" si="183"/>
        <v>559.48170794289206</v>
      </c>
      <c r="FI187" s="59">
        <f t="shared" si="131"/>
        <v>849.15249426899879</v>
      </c>
      <c r="FJ187" s="59">
        <f ca="1">AVERAGE(OFFSET($FI$3,0,0,'Données projet'!$E$16+1,1))-AVERAGE(OFFSET($H$3,0,0,'Données projet'!$E$16+1,1))</f>
        <v>383.47399633251354</v>
      </c>
      <c r="FK187" s="59">
        <f t="shared" si="156"/>
        <v>370.49129421395628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>
        <f>EXP(-LN(2)/35)*FQ186+(1-EXP(-LN(2)/35))/(LN(2)/35)*FM187*FN187*VLOOKUP('Données projet'!$B$16,Paramètres!$A$1:$I$89,3,0)*0.475*44/12</f>
        <v>6.911881799817853</v>
      </c>
      <c r="FR187" s="21">
        <f>EXP(-LN(2)/25)*FR186+(1-EXP(-LN(2)/25))/(LN(2)/25)*Calculateur!FM187*Calculateur!FO187*VLOOKUP('Données projet'!$B$16,Paramètres!$A$1:$I$89,3,0)*0.475*44/12</f>
        <v>0</v>
      </c>
      <c r="FS187" s="21">
        <f>EXP(-LN(2)/2)*FS186+(1-EXP(-LN(2)/2))/(LN(2)/2)*FM187*FP187*VLOOKUP('Données projet'!$B$16,Paramètres!$A$1:$I$89,3,0)*0.475*44/12</f>
        <v>0</v>
      </c>
      <c r="FT187" s="22">
        <f t="shared" si="184"/>
        <v>6.911881799817853</v>
      </c>
      <c r="FU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19.8100000000004</v>
      </c>
      <c r="GA187" s="17">
        <f>FZ187*VLOOKUP('Données projet'!$B$17,Paramètres!$A$1:$I$89,3,0)*VLOOKUP('Données projet'!$B$17,Paramètres!$A$1:$I$89,5,0)</f>
        <v>18.851196000000382</v>
      </c>
      <c r="GB187" s="13">
        <f t="shared" si="185"/>
        <v>6.172221809210666</v>
      </c>
      <c r="GC187" s="20">
        <f t="shared" si="186"/>
        <v>43.582452684375909</v>
      </c>
      <c r="GD187" s="59">
        <f t="shared" si="134"/>
        <v>333.25323901048262</v>
      </c>
      <c r="GE187" s="59">
        <f ca="1">AVERAGE(OFFSET($GD$3,0,0,'Données projet'!$E$17+1,1))-AVERAGE(OFFSET($H$3,0,0,'Données projet'!$E$17+1,1))</f>
        <v>592.58528889137358</v>
      </c>
      <c r="GF187" s="59">
        <f t="shared" si="158"/>
        <v>311.31528020403709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>
        <f>EXP(-LN(2)/35)*GL186+(1-EXP(-LN(2)/35))/(LN(2)/35)*GH187*GI187*VLOOKUP('Données projet'!$B$17,Paramètres!$A$1:$I$89,3,0)*0.475*44/12</f>
        <v>102.01548111268795</v>
      </c>
      <c r="GM187" s="21">
        <f>EXP(-LN(2)/25)*GM186+(1-EXP(-LN(2)/25))/(LN(2)/25)*Calculateur!GH187*Calculateur!GJ187*VLOOKUP('Données projet'!$B$17,Paramètres!$A$1:$I$89,3,0)*0.475*44/12</f>
        <v>0</v>
      </c>
      <c r="GN187" s="21">
        <f>EXP(-LN(2)/2)*GN186+(1-EXP(-LN(2)/2))/(LN(2)/2)*GH187*GK187*VLOOKUP('Données projet'!$B$17,Paramètres!$A$1:$I$89,3,0)*0.475*44/12</f>
        <v>0</v>
      </c>
      <c r="GO187" s="21">
        <f t="shared" si="187"/>
        <v>102.01548111268795</v>
      </c>
      <c r="GP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328.00000000000006</v>
      </c>
      <c r="GV187" s="17">
        <f>GU187*VLOOKUP('Données projet'!$B$18,Paramètres!$A$1:$I$89,3,0)*VLOOKUP('Données projet'!$B$18,Paramètres!$A$1:$I$89,5,0)</f>
        <v>255.84000000000006</v>
      </c>
      <c r="GW187" s="13">
        <f t="shared" si="188"/>
        <v>61.834803371075836</v>
      </c>
      <c r="GX187" s="20">
        <f t="shared" si="189"/>
        <v>553.28361587129041</v>
      </c>
      <c r="GY187" s="59">
        <f t="shared" si="137"/>
        <v>842.95440219739714</v>
      </c>
      <c r="GZ187" s="59">
        <f ca="1">AVERAGE(OFFSET($GY$3,0,0,'Données projet'!$E$18+1,1))-AVERAGE(OFFSET($H$3,0,0,'Données projet'!$E$18+1,1))</f>
        <v>308.85018589589453</v>
      </c>
      <c r="HA187" s="59">
        <f t="shared" si="160"/>
        <v>302.59481222418219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>
        <f>EXP(-LN(2)/35)*HG186+(1-EXP(-LN(2)/35))/(LN(2)/35)*HC187*HD187*VLOOKUP('Données projet'!$B$18,Paramètres!$A$1:$I$89,3,0)*0.475*44/12</f>
        <v>5.1660821482922703</v>
      </c>
      <c r="HH187" s="21">
        <f>EXP(-LN(2)/25)*HH186+(1-EXP(-LN(2)/25))/(LN(2)/25)*Calculateur!HC187*Calculateur!HE187*VLOOKUP('Données projet'!$B$18,Paramètres!$A$1:$I$89,3,0)*0.475*44/12</f>
        <v>0</v>
      </c>
      <c r="HI187" s="21">
        <f>EXP(-LN(2)/2)*HI186+(1-EXP(-LN(2)/2))/(LN(2)/2)*HC187*HF187*VLOOKUP('Données projet'!$B$18,Paramètres!$A$1:$I$89,3,0)*0.475*44/12</f>
        <v>0</v>
      </c>
      <c r="HJ187" s="22">
        <f t="shared" si="190"/>
        <v>5.1660821482922703</v>
      </c>
    </row>
    <row r="188" spans="1:218" x14ac:dyDescent="0.35">
      <c r="A188" s="10">
        <f t="shared" si="161"/>
        <v>185</v>
      </c>
      <c r="B188" s="72">
        <f>'Scénario référence'!$B$16*5+'Scénario référence'!$B$17*0+'Scénario référence'!$B$18*5</f>
        <v>5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66">
        <f t="shared" si="110"/>
        <v>183.33333333333334</v>
      </c>
      <c r="I188" s="6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19.8100000000004</v>
      </c>
      <c r="O188" s="13">
        <f>N188*VLOOKUP('Données projet'!$B$9,Paramètres!$A$1:$I$89,3,0)*VLOOKUP('Données projet'!$B$9,Paramètres!$A$1:$I$89,5,0)</f>
        <v>17.924088000000364</v>
      </c>
      <c r="P188" s="13">
        <f t="shared" si="141"/>
        <v>5.9032212091029486</v>
      </c>
      <c r="Q188" s="20">
        <f t="shared" si="162"/>
        <v>41.499230205854936</v>
      </c>
      <c r="R188" s="59">
        <f t="shared" si="109"/>
        <v>331.23355353430867</v>
      </c>
      <c r="S188" s="59">
        <f ca="1">AVERAGE(OFFSET($R$3,0,0,'Données projet'!$E$9+1,1))-AVERAGE(OFFSET($H$3,0,0,'Données projet'!$E$9+1,1))</f>
        <v>567.42635821507474</v>
      </c>
      <c r="T188" s="59">
        <f t="shared" si="142"/>
        <v>299.04735309930152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95.096248288185549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95.096248288185549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19.8100000000004</v>
      </c>
      <c r="AJ188" s="13">
        <f>AI188*VLOOKUP('Données projet'!$B$10,Paramètres!$A$1:$I$89,3,0)*VLOOKUP('Données projet'!$B$10,Paramètres!$A$1:$I$89,5,0)</f>
        <v>20.08734000000041</v>
      </c>
      <c r="AK188" s="13">
        <f t="shared" si="164"/>
        <v>6.5285137703520215</v>
      </c>
      <c r="AL188" s="20">
        <f t="shared" si="165"/>
        <v>46.355945316697152</v>
      </c>
      <c r="AM188" s="59">
        <f t="shared" si="113"/>
        <v>336.0902686451509</v>
      </c>
      <c r="AN188" s="59">
        <f ca="1">AVERAGE(OFFSET($AM$3,0,0,'Données projet'!$E$10+1,1))-AVERAGE(OFFSET($H$3,0,0,'Données projet'!$E$10+1,1))</f>
        <v>626.09203985591455</v>
      </c>
      <c r="AO188" s="59">
        <f t="shared" si="144"/>
        <v>327.65191296575199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106.57338170227692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106.57338170227692</v>
      </c>
      <c r="AY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404.00000000000017</v>
      </c>
      <c r="BE188" s="13">
        <f>BD188*VLOOKUP('Données projet'!$B$11,Paramètres!$A$1:$I$89,3,0)*VLOOKUP('Données projet'!$B$11,Paramètres!$A$1:$I$89,5,0)</f>
        <v>346.63200000000018</v>
      </c>
      <c r="BF188" s="13">
        <f t="shared" si="167"/>
        <v>80.868615263336864</v>
      </c>
      <c r="BG188" s="20">
        <f t="shared" si="168"/>
        <v>744.56357158364528</v>
      </c>
      <c r="BH188" s="59">
        <f t="shared" si="116"/>
        <v>1034.2978949120991</v>
      </c>
      <c r="BI188" s="59">
        <f ca="1">AVERAGE(OFFSET($BH$3,0,0,'Données projet'!$E$11+1,1))-AVERAGE(OFFSET($H$3,0,0,'Données projet'!$E$11+1,1))</f>
        <v>481.23392184981651</v>
      </c>
      <c r="BJ188" s="59">
        <f t="shared" si="146"/>
        <v>275.88160405468193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27.590014059362062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27.590014059362062</v>
      </c>
      <c r="BT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5.2499999999990337</v>
      </c>
      <c r="BZ188" s="13">
        <f>BY188*VLOOKUP('Données projet'!$B$12,Paramètres!$A$1:$I$89,3,0)*VLOOKUP('Données projet'!$B$12,Paramètres!$A$1:$I$89,5,0)</f>
        <v>2.4569999999995478</v>
      </c>
      <c r="CA188" s="13">
        <f t="shared" si="170"/>
        <v>1.0197977774625564</v>
      </c>
      <c r="CB188" s="20">
        <f t="shared" si="171"/>
        <v>6.0554227957464972</v>
      </c>
      <c r="CC188" s="59">
        <f t="shared" si="119"/>
        <v>295.78974612420024</v>
      </c>
      <c r="CD188" s="59">
        <f ca="1">AVERAGE(OFFSET($CC$3,0,0,'Données projet'!$E$12+1,1))-AVERAGE(OFFSET($H$3,0,0,'Données projet'!$E$12+1,1))</f>
        <v>331.86732359395467</v>
      </c>
      <c r="CE188" s="59">
        <f t="shared" si="148"/>
        <v>208.64489375183106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53.919138141423005</v>
      </c>
      <c r="CL188" s="21">
        <f>EXP(-LN(2)/25)*CL187+(1-EXP(-LN(2)/25))/(LN(2)/25)*Calculateur!CG188*Calculateur!CI188*VLOOKUP('Données projet'!$B$12,Paramètres!$A$1:$I$89,3,0)*0.475*44/12</f>
        <v>0</v>
      </c>
      <c r="CM188" s="21">
        <f>EXP(-LN(2)/2)*CM187+(1-EXP(-LN(2)/2))/(LN(2)/2)*CG188*CJ188*VLOOKUP('Données projet'!$B$12,Paramètres!$A$1:$I$89,3,0)*0.475*44/12</f>
        <v>0</v>
      </c>
      <c r="CN188" s="22">
        <f t="shared" si="172"/>
        <v>53.919138141423005</v>
      </c>
      <c r="CO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319</v>
      </c>
      <c r="CU188" s="17">
        <f>CT188*VLOOKUP('Données projet'!$B$13,Paramètres!$A$1:$I$89,3,0)*VLOOKUP('Données projet'!$B$13,Paramètres!$A$1:$I$89,5,0)</f>
        <v>233.89079999999998</v>
      </c>
      <c r="CV188" s="13">
        <f t="shared" si="173"/>
        <v>57.123140349023068</v>
      </c>
      <c r="CW188" s="20">
        <f t="shared" si="174"/>
        <v>506.84927944121517</v>
      </c>
      <c r="CX188" s="59">
        <f t="shared" si="122"/>
        <v>796.58360276966891</v>
      </c>
      <c r="CY188" s="59">
        <f ca="1">AVERAGE(OFFSET($CX$3,0,0,'Données projet'!$E$13+1,1))-AVERAGE(OFFSET($H$3,0,0,'Données projet'!$E$13+1,1))</f>
        <v>352.45777291109863</v>
      </c>
      <c r="CZ188" s="59">
        <f t="shared" si="150"/>
        <v>340.92165104349181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4.9691550259052013</v>
      </c>
      <c r="DG188" s="21">
        <f>EXP(-LN(2)/25)*DG187+(1-EXP(-LN(2)/25))/(LN(2)/25)*Calculateur!DB188*Calculateur!DD188*VLOOKUP('Données projet'!$B$13,Paramètres!$A$1:$I$89,3,0)*0.475*44/12</f>
        <v>0</v>
      </c>
      <c r="DH188" s="21">
        <f>EXP(-LN(2)/2)*DH187+(1-EXP(-LN(2)/2))/(LN(2)/2)*DB188*DE188*VLOOKUP('Données projet'!$B$13,Paramètres!$A$1:$I$89,3,0)*0.475*44/12</f>
        <v>0</v>
      </c>
      <c r="DI188" s="22">
        <f t="shared" si="175"/>
        <v>4.9691550259052013</v>
      </c>
      <c r="DJ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19.8100000000004</v>
      </c>
      <c r="DP188" s="17">
        <f>DO188*VLOOKUP('Données projet'!$B$14,Paramètres!$A$1:$I$89,3,0)*VLOOKUP('Données projet'!$B$14,Paramètres!$A$1:$I$89,5,0)</f>
        <v>13.288548000000269</v>
      </c>
      <c r="DQ188" s="13">
        <f t="shared" si="176"/>
        <v>4.531654695205642</v>
      </c>
      <c r="DR188" s="20">
        <f t="shared" si="177"/>
        <v>31.036853027483627</v>
      </c>
      <c r="DS188" s="59">
        <f t="shared" si="125"/>
        <v>320.77117635593737</v>
      </c>
      <c r="DT188" s="59">
        <f ca="1">AVERAGE(OFFSET($DS$3,0,0,'Données projet'!$E$14+1,1))-AVERAGE(OFFSET($H$3,0,0,'Données projet'!$E$14+1,1))</f>
        <v>441.20130048888439</v>
      </c>
      <c r="DU188" s="59">
        <f t="shared" si="152"/>
        <v>237.47732532183946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86.89829584954883</v>
      </c>
      <c r="EB188" s="21">
        <f>EXP(-LN(2)/25)*EB187+(1-EXP(-LN(2)/25))/(LN(2)/25)*Calculateur!DW188*Calculateur!DY188*VLOOKUP('Données projet'!$B$14,Paramètres!$A$1:$I$89,3,0)*0.475*44/12</f>
        <v>0</v>
      </c>
      <c r="EC188" s="21">
        <f>EXP(-LN(2)/2)*EC187+(1-EXP(-LN(2)/2))/(LN(2)/2)*DW188*DZ188*VLOOKUP('Données projet'!$B$14,Paramètres!$A$1:$I$89,3,0)*0.475*44/12</f>
        <v>0</v>
      </c>
      <c r="ED188" s="22">
        <f t="shared" si="178"/>
        <v>86.89829584954883</v>
      </c>
      <c r="EE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319</v>
      </c>
      <c r="EK188" s="17">
        <f>EJ188*VLOOKUP('Données projet'!$B$15,Paramètres!$A$1:$I$89,3,0)*VLOOKUP('Données projet'!$B$15,Paramètres!$A$1:$I$89,5,0)</f>
        <v>253.79640000000001</v>
      </c>
      <c r="EL188" s="13">
        <f t="shared" si="179"/>
        <v>61.39816832228076</v>
      </c>
      <c r="EM188" s="20">
        <f t="shared" si="180"/>
        <v>548.96387316130563</v>
      </c>
      <c r="EN188" s="59">
        <f t="shared" si="128"/>
        <v>838.69819648975931</v>
      </c>
      <c r="EO188" s="59">
        <f ca="1">AVERAGE(OFFSET($EN$3,0,0,'Données projet'!$E$15+1,1))-AVERAGE(OFFSET($H$3,0,0,'Données projet'!$E$15+1,1))</f>
        <v>377.27600411578322</v>
      </c>
      <c r="EP188" s="59">
        <f t="shared" si="154"/>
        <v>364.58250627635425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>
        <f>EXP(-LN(2)/35)*EV187+(1-EXP(-LN(2)/35))/(LN(2)/35)*ER188*ES188*VLOOKUP('Données projet'!$B$15,Paramètres!$A$1:$I$89,3,0)*0.475*44/12</f>
        <v>6.6460297056020554</v>
      </c>
      <c r="EW188" s="21">
        <f>EXP(-LN(2)/25)*EW187+(1-EXP(-LN(2)/25))/(LN(2)/25)*Calculateur!ER188*Calculateur!ET188*VLOOKUP('Données projet'!$B$15,Paramètres!$A$1:$I$89,3,0)*0.475*44/12</f>
        <v>0</v>
      </c>
      <c r="EX188" s="21">
        <f>EXP(-LN(2)/2)*EX187+(1-EXP(-LN(2)/2))/(LN(2)/2)*ER188*EU188*VLOOKUP('Données projet'!$B$15,Paramètres!$A$1:$I$89,3,0)*0.475*44/12</f>
        <v>0</v>
      </c>
      <c r="EY188" s="22">
        <f t="shared" si="181"/>
        <v>6.6460297056020554</v>
      </c>
      <c r="EZ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319</v>
      </c>
      <c r="FF188" s="17">
        <f>FE188*VLOOKUP('Données projet'!$B$16,Paramètres!$A$1:$I$89,3,0)*VLOOKUP('Données projet'!$B$16,Paramètres!$A$1:$I$89,5,0)</f>
        <v>258.77280000000002</v>
      </c>
      <c r="FG188" s="13">
        <f t="shared" si="182"/>
        <v>62.460716522234691</v>
      </c>
      <c r="FH188" s="20">
        <f t="shared" si="183"/>
        <v>559.48170794289206</v>
      </c>
      <c r="FI188" s="59">
        <f t="shared" si="131"/>
        <v>849.21603127134586</v>
      </c>
      <c r="FJ188" s="59">
        <f ca="1">AVERAGE(OFFSET($FI$3,0,0,'Données projet'!$E$16+1,1))-AVERAGE(OFFSET($H$3,0,0,'Données projet'!$E$16+1,1))</f>
        <v>383.47399633251354</v>
      </c>
      <c r="FK188" s="59">
        <f t="shared" si="156"/>
        <v>370.49129421395628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>
        <f>EXP(-LN(2)/35)*FQ187+(1-EXP(-LN(2)/35))/(LN(2)/35)*FM188*FN188*VLOOKUP('Données projet'!$B$16,Paramètres!$A$1:$I$89,3,0)*0.475*44/12</f>
        <v>6.7763440135550441</v>
      </c>
      <c r="FR188" s="21">
        <f>EXP(-LN(2)/25)*FR187+(1-EXP(-LN(2)/25))/(LN(2)/25)*Calculateur!FM188*Calculateur!FO188*VLOOKUP('Données projet'!$B$16,Paramètres!$A$1:$I$89,3,0)*0.475*44/12</f>
        <v>0</v>
      </c>
      <c r="FS188" s="21">
        <f>EXP(-LN(2)/2)*FS187+(1-EXP(-LN(2)/2))/(LN(2)/2)*FM188*FP188*VLOOKUP('Données projet'!$B$16,Paramètres!$A$1:$I$89,3,0)*0.475*44/12</f>
        <v>0</v>
      </c>
      <c r="FT188" s="22">
        <f t="shared" si="184"/>
        <v>6.7763440135550441</v>
      </c>
      <c r="FU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19.8100000000004</v>
      </c>
      <c r="GA188" s="17">
        <f>FZ188*VLOOKUP('Données projet'!$B$17,Paramètres!$A$1:$I$89,3,0)*VLOOKUP('Données projet'!$B$17,Paramètres!$A$1:$I$89,5,0)</f>
        <v>18.851196000000382</v>
      </c>
      <c r="GB188" s="13">
        <f t="shared" si="185"/>
        <v>6.172221809210666</v>
      </c>
      <c r="GC188" s="20">
        <f t="shared" si="186"/>
        <v>43.582452684375909</v>
      </c>
      <c r="GD188" s="59">
        <f t="shared" si="134"/>
        <v>333.31677601282968</v>
      </c>
      <c r="GE188" s="59">
        <f ca="1">AVERAGE(OFFSET($GD$3,0,0,'Données projet'!$E$17+1,1))-AVERAGE(OFFSET($H$3,0,0,'Données projet'!$E$17+1,1))</f>
        <v>592.58528889137358</v>
      </c>
      <c r="GF188" s="59">
        <f t="shared" si="158"/>
        <v>311.31528020403709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>
        <f>EXP(-LN(2)/35)*GL187+(1-EXP(-LN(2)/35))/(LN(2)/35)*GH188*GI188*VLOOKUP('Données projet'!$B$17,Paramètres!$A$1:$I$89,3,0)*0.475*44/12</f>
        <v>100.01501975136757</v>
      </c>
      <c r="GM188" s="21">
        <f>EXP(-LN(2)/25)*GM187+(1-EXP(-LN(2)/25))/(LN(2)/25)*Calculateur!GH188*Calculateur!GJ188*VLOOKUP('Données projet'!$B$17,Paramètres!$A$1:$I$89,3,0)*0.475*44/12</f>
        <v>0</v>
      </c>
      <c r="GN188" s="21">
        <f>EXP(-LN(2)/2)*GN187+(1-EXP(-LN(2)/2))/(LN(2)/2)*GH188*GK188*VLOOKUP('Données projet'!$B$17,Paramètres!$A$1:$I$89,3,0)*0.475*44/12</f>
        <v>0</v>
      </c>
      <c r="GO188" s="21">
        <f t="shared" si="187"/>
        <v>100.01501975136757</v>
      </c>
      <c r="GP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328.00000000000006</v>
      </c>
      <c r="GV188" s="17">
        <f>GU188*VLOOKUP('Données projet'!$B$18,Paramètres!$A$1:$I$89,3,0)*VLOOKUP('Données projet'!$B$18,Paramètres!$A$1:$I$89,5,0)</f>
        <v>255.84000000000006</v>
      </c>
      <c r="GW188" s="13">
        <f t="shared" si="188"/>
        <v>61.834803371075836</v>
      </c>
      <c r="GX188" s="20">
        <f t="shared" si="189"/>
        <v>553.28361587129041</v>
      </c>
      <c r="GY188" s="59">
        <f t="shared" si="137"/>
        <v>843.01793919974421</v>
      </c>
      <c r="GZ188" s="59">
        <f ca="1">AVERAGE(OFFSET($GY$3,0,0,'Données projet'!$E$18+1,1))-AVERAGE(OFFSET($H$3,0,0,'Données projet'!$E$18+1,1))</f>
        <v>308.85018589589453</v>
      </c>
      <c r="HA188" s="59">
        <f t="shared" si="160"/>
        <v>302.59481222418219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>
        <f>EXP(-LN(2)/35)*HG187+(1-EXP(-LN(2)/35))/(LN(2)/35)*HC188*HD188*VLOOKUP('Données projet'!$B$18,Paramètres!$A$1:$I$89,3,0)*0.475*44/12</f>
        <v>5.0647784283632342</v>
      </c>
      <c r="HH188" s="21">
        <f>EXP(-LN(2)/25)*HH187+(1-EXP(-LN(2)/25))/(LN(2)/25)*Calculateur!HC188*Calculateur!HE188*VLOOKUP('Données projet'!$B$18,Paramètres!$A$1:$I$89,3,0)*0.475*44/12</f>
        <v>0</v>
      </c>
      <c r="HI188" s="21">
        <f>EXP(-LN(2)/2)*HI187+(1-EXP(-LN(2)/2))/(LN(2)/2)*HC188*HF188*VLOOKUP('Données projet'!$B$18,Paramètres!$A$1:$I$89,3,0)*0.475*44/12</f>
        <v>0</v>
      </c>
      <c r="HJ188" s="22">
        <f t="shared" si="190"/>
        <v>5.0647784283632342</v>
      </c>
    </row>
    <row r="189" spans="1:218" x14ac:dyDescent="0.35">
      <c r="A189" s="10">
        <f t="shared" si="161"/>
        <v>186</v>
      </c>
      <c r="B189" s="72">
        <f>'Scénario référence'!$B$16*5+'Scénario référence'!$B$17*0+'Scénario référence'!$B$18*5</f>
        <v>5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66">
        <f t="shared" si="110"/>
        <v>183.33333333333334</v>
      </c>
      <c r="I189" s="6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19.8100000000004</v>
      </c>
      <c r="O189" s="13">
        <f>N189*VLOOKUP('Données projet'!$B$9,Paramètres!$A$1:$I$89,3,0)*VLOOKUP('Données projet'!$B$9,Paramètres!$A$1:$I$89,5,0)</f>
        <v>17.924088000000364</v>
      </c>
      <c r="P189" s="13">
        <f t="shared" si="141"/>
        <v>5.9032212091029486</v>
      </c>
      <c r="Q189" s="20">
        <f t="shared" si="162"/>
        <v>41.499230205854936</v>
      </c>
      <c r="R189" s="59">
        <f t="shared" si="109"/>
        <v>331.29598831171234</v>
      </c>
      <c r="S189" s="59">
        <f ca="1">AVERAGE(OFFSET($R$3,0,0,'Données projet'!$E$9+1,1))-AVERAGE(OFFSET($H$3,0,0,'Données projet'!$E$9+1,1))</f>
        <v>567.42635821507474</v>
      </c>
      <c r="T189" s="59">
        <f t="shared" si="142"/>
        <v>299.04735309930152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93.231468862238373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93.231468862238373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19.8100000000004</v>
      </c>
      <c r="AJ189" s="13">
        <f>AI189*VLOOKUP('Données projet'!$B$10,Paramètres!$A$1:$I$89,3,0)*VLOOKUP('Données projet'!$B$10,Paramètres!$A$1:$I$89,5,0)</f>
        <v>20.08734000000041</v>
      </c>
      <c r="AK189" s="13">
        <f t="shared" si="164"/>
        <v>6.5285137703520215</v>
      </c>
      <c r="AL189" s="20">
        <f t="shared" si="165"/>
        <v>46.355945316697152</v>
      </c>
      <c r="AM189" s="59">
        <f t="shared" si="113"/>
        <v>336.15270342255457</v>
      </c>
      <c r="AN189" s="59">
        <f ca="1">AVERAGE(OFFSET($AM$3,0,0,'Données projet'!$E$10+1,1))-AVERAGE(OFFSET($H$3,0,0,'Données projet'!$E$10+1,1))</f>
        <v>626.09203985591455</v>
      </c>
      <c r="AO189" s="59">
        <f t="shared" si="144"/>
        <v>327.65191296575199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104.48354269043956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104.48354269043956</v>
      </c>
      <c r="AY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404.00000000000017</v>
      </c>
      <c r="BE189" s="13">
        <f>BD189*VLOOKUP('Données projet'!$B$11,Paramètres!$A$1:$I$89,3,0)*VLOOKUP('Données projet'!$B$11,Paramètres!$A$1:$I$89,5,0)</f>
        <v>346.63200000000018</v>
      </c>
      <c r="BF189" s="13">
        <f t="shared" si="167"/>
        <v>80.868615263336864</v>
      </c>
      <c r="BG189" s="20">
        <f t="shared" si="168"/>
        <v>744.56357158364528</v>
      </c>
      <c r="BH189" s="59">
        <f t="shared" si="116"/>
        <v>1034.3603296895026</v>
      </c>
      <c r="BI189" s="59">
        <f ca="1">AVERAGE(OFFSET($BH$3,0,0,'Données projet'!$E$11+1,1))-AVERAGE(OFFSET($H$3,0,0,'Données projet'!$E$11+1,1))</f>
        <v>481.23392184981651</v>
      </c>
      <c r="BJ189" s="59">
        <f t="shared" si="146"/>
        <v>275.88160405468193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27.048990711904896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27.048990711904896</v>
      </c>
      <c r="BT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5.2499999999990337</v>
      </c>
      <c r="BZ189" s="13">
        <f>BY189*VLOOKUP('Données projet'!$B$12,Paramètres!$A$1:$I$89,3,0)*VLOOKUP('Données projet'!$B$12,Paramètres!$A$1:$I$89,5,0)</f>
        <v>2.4569999999995478</v>
      </c>
      <c r="CA189" s="13">
        <f t="shared" si="170"/>
        <v>1.0197977774625564</v>
      </c>
      <c r="CB189" s="20">
        <f t="shared" si="171"/>
        <v>6.0554227957464972</v>
      </c>
      <c r="CC189" s="59">
        <f t="shared" si="119"/>
        <v>295.8521809016039</v>
      </c>
      <c r="CD189" s="59">
        <f ca="1">AVERAGE(OFFSET($CC$3,0,0,'Données projet'!$E$12+1,1))-AVERAGE(OFFSET($H$3,0,0,'Données projet'!$E$12+1,1))</f>
        <v>331.86732359395467</v>
      </c>
      <c r="CE189" s="59">
        <f t="shared" si="148"/>
        <v>208.64489375183106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52.861816729896603</v>
      </c>
      <c r="CL189" s="21">
        <f>EXP(-LN(2)/25)*CL188+(1-EXP(-LN(2)/25))/(LN(2)/25)*Calculateur!CG189*Calculateur!CI189*VLOOKUP('Données projet'!$B$12,Paramètres!$A$1:$I$89,3,0)*0.475*44/12</f>
        <v>0</v>
      </c>
      <c r="CM189" s="21">
        <f>EXP(-LN(2)/2)*CM188+(1-EXP(-LN(2)/2))/(LN(2)/2)*CG189*CJ189*VLOOKUP('Données projet'!$B$12,Paramètres!$A$1:$I$89,3,0)*0.475*44/12</f>
        <v>0</v>
      </c>
      <c r="CN189" s="22">
        <f t="shared" si="172"/>
        <v>52.861816729896603</v>
      </c>
      <c r="CO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319</v>
      </c>
      <c r="CU189" s="17">
        <f>CT189*VLOOKUP('Données projet'!$B$13,Paramètres!$A$1:$I$89,3,0)*VLOOKUP('Données projet'!$B$13,Paramètres!$A$1:$I$89,5,0)</f>
        <v>233.89079999999998</v>
      </c>
      <c r="CV189" s="13">
        <f t="shared" si="173"/>
        <v>57.123140349023068</v>
      </c>
      <c r="CW189" s="20">
        <f t="shared" si="174"/>
        <v>506.84927944121517</v>
      </c>
      <c r="CX189" s="59">
        <f t="shared" si="122"/>
        <v>796.64603754707264</v>
      </c>
      <c r="CY189" s="59">
        <f ca="1">AVERAGE(OFFSET($CX$3,0,0,'Données projet'!$E$13+1,1))-AVERAGE(OFFSET($H$3,0,0,'Données projet'!$E$13+1,1))</f>
        <v>352.45777291109863</v>
      </c>
      <c r="CZ189" s="59">
        <f t="shared" si="150"/>
        <v>340.92165104349181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4.8717129267324912</v>
      </c>
      <c r="DG189" s="21">
        <f>EXP(-LN(2)/25)*DG188+(1-EXP(-LN(2)/25))/(LN(2)/25)*Calculateur!DB189*Calculateur!DD189*VLOOKUP('Données projet'!$B$13,Paramètres!$A$1:$I$89,3,0)*0.475*44/12</f>
        <v>0</v>
      </c>
      <c r="DH189" s="21">
        <f>EXP(-LN(2)/2)*DH188+(1-EXP(-LN(2)/2))/(LN(2)/2)*DB189*DE189*VLOOKUP('Données projet'!$B$13,Paramètres!$A$1:$I$89,3,0)*0.475*44/12</f>
        <v>0</v>
      </c>
      <c r="DI189" s="22">
        <f t="shared" si="175"/>
        <v>4.8717129267324912</v>
      </c>
      <c r="DJ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19.8100000000004</v>
      </c>
      <c r="DP189" s="17">
        <f>DO189*VLOOKUP('Données projet'!$B$14,Paramètres!$A$1:$I$89,3,0)*VLOOKUP('Données projet'!$B$14,Paramètres!$A$1:$I$89,5,0)</f>
        <v>13.288548000000269</v>
      </c>
      <c r="DQ189" s="13">
        <f t="shared" si="176"/>
        <v>4.531654695205642</v>
      </c>
      <c r="DR189" s="20">
        <f t="shared" si="177"/>
        <v>31.036853027483627</v>
      </c>
      <c r="DS189" s="59">
        <f t="shared" si="125"/>
        <v>320.83361113334104</v>
      </c>
      <c r="DT189" s="59">
        <f ca="1">AVERAGE(OFFSET($DS$3,0,0,'Données projet'!$E$14+1,1))-AVERAGE(OFFSET($H$3,0,0,'Données projet'!$E$14+1,1))</f>
        <v>441.20130048888439</v>
      </c>
      <c r="DU189" s="59">
        <f t="shared" si="152"/>
        <v>237.47732532183946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85.194273270666059</v>
      </c>
      <c r="EB189" s="21">
        <f>EXP(-LN(2)/25)*EB188+(1-EXP(-LN(2)/25))/(LN(2)/25)*Calculateur!DW189*Calculateur!DY189*VLOOKUP('Données projet'!$B$14,Paramètres!$A$1:$I$89,3,0)*0.475*44/12</f>
        <v>0</v>
      </c>
      <c r="EC189" s="21">
        <f>EXP(-LN(2)/2)*EC188+(1-EXP(-LN(2)/2))/(LN(2)/2)*DW189*DZ189*VLOOKUP('Données projet'!$B$14,Paramètres!$A$1:$I$89,3,0)*0.475*44/12</f>
        <v>0</v>
      </c>
      <c r="ED189" s="22">
        <f t="shared" si="178"/>
        <v>85.194273270666059</v>
      </c>
      <c r="EE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319</v>
      </c>
      <c r="EK189" s="17">
        <f>EJ189*VLOOKUP('Données projet'!$B$15,Paramètres!$A$1:$I$89,3,0)*VLOOKUP('Données projet'!$B$15,Paramètres!$A$1:$I$89,5,0)</f>
        <v>253.79640000000001</v>
      </c>
      <c r="EL189" s="13">
        <f t="shared" si="179"/>
        <v>61.39816832228076</v>
      </c>
      <c r="EM189" s="20">
        <f t="shared" si="180"/>
        <v>548.96387316130563</v>
      </c>
      <c r="EN189" s="59">
        <f t="shared" si="128"/>
        <v>838.76063126716303</v>
      </c>
      <c r="EO189" s="59">
        <f ca="1">AVERAGE(OFFSET($EN$3,0,0,'Données projet'!$E$15+1,1))-AVERAGE(OFFSET($H$3,0,0,'Données projet'!$E$15+1,1))</f>
        <v>377.27600411578322</v>
      </c>
      <c r="EP189" s="59">
        <f t="shared" si="154"/>
        <v>364.58250627635425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>
        <f>EXP(-LN(2)/35)*EV188+(1-EXP(-LN(2)/35))/(LN(2)/35)*ER189*ES189*VLOOKUP('Données projet'!$B$15,Paramètres!$A$1:$I$89,3,0)*0.475*44/12</f>
        <v>6.5157051167530522</v>
      </c>
      <c r="EW189" s="21">
        <f>EXP(-LN(2)/25)*EW188+(1-EXP(-LN(2)/25))/(LN(2)/25)*Calculateur!ER189*Calculateur!ET189*VLOOKUP('Données projet'!$B$15,Paramètres!$A$1:$I$89,3,0)*0.475*44/12</f>
        <v>0</v>
      </c>
      <c r="EX189" s="21">
        <f>EXP(-LN(2)/2)*EX188+(1-EXP(-LN(2)/2))/(LN(2)/2)*ER189*EU189*VLOOKUP('Données projet'!$B$15,Paramètres!$A$1:$I$89,3,0)*0.475*44/12</f>
        <v>0</v>
      </c>
      <c r="EY189" s="22">
        <f t="shared" si="181"/>
        <v>6.5157051167530522</v>
      </c>
      <c r="EZ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319</v>
      </c>
      <c r="FF189" s="17">
        <f>FE189*VLOOKUP('Données projet'!$B$16,Paramètres!$A$1:$I$89,3,0)*VLOOKUP('Données projet'!$B$16,Paramètres!$A$1:$I$89,5,0)</f>
        <v>258.77280000000002</v>
      </c>
      <c r="FG189" s="13">
        <f t="shared" si="182"/>
        <v>62.460716522234691</v>
      </c>
      <c r="FH189" s="20">
        <f t="shared" si="183"/>
        <v>559.48170794289206</v>
      </c>
      <c r="FI189" s="59">
        <f t="shared" si="131"/>
        <v>849.27846604874946</v>
      </c>
      <c r="FJ189" s="59">
        <f ca="1">AVERAGE(OFFSET($FI$3,0,0,'Données projet'!$E$16+1,1))-AVERAGE(OFFSET($H$3,0,0,'Données projet'!$E$16+1,1))</f>
        <v>383.47399633251354</v>
      </c>
      <c r="FK189" s="59">
        <f t="shared" si="156"/>
        <v>370.49129421395628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>
        <f>EXP(-LN(2)/35)*FQ188+(1-EXP(-LN(2)/35))/(LN(2)/35)*FM189*FN189*VLOOKUP('Données projet'!$B$16,Paramètres!$A$1:$I$89,3,0)*0.475*44/12</f>
        <v>6.6434640406109624</v>
      </c>
      <c r="FR189" s="21">
        <f>EXP(-LN(2)/25)*FR188+(1-EXP(-LN(2)/25))/(LN(2)/25)*Calculateur!FM189*Calculateur!FO189*VLOOKUP('Données projet'!$B$16,Paramètres!$A$1:$I$89,3,0)*0.475*44/12</f>
        <v>0</v>
      </c>
      <c r="FS189" s="21">
        <f>EXP(-LN(2)/2)*FS188+(1-EXP(-LN(2)/2))/(LN(2)/2)*FM189*FP189*VLOOKUP('Données projet'!$B$16,Paramètres!$A$1:$I$89,3,0)*0.475*44/12</f>
        <v>0</v>
      </c>
      <c r="FT189" s="22">
        <f t="shared" si="184"/>
        <v>6.6434640406109624</v>
      </c>
      <c r="FU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19.8100000000004</v>
      </c>
      <c r="GA189" s="17">
        <f>FZ189*VLOOKUP('Données projet'!$B$17,Paramètres!$A$1:$I$89,3,0)*VLOOKUP('Données projet'!$B$17,Paramètres!$A$1:$I$89,5,0)</f>
        <v>18.851196000000382</v>
      </c>
      <c r="GB189" s="13">
        <f t="shared" si="185"/>
        <v>6.172221809210666</v>
      </c>
      <c r="GC189" s="20">
        <f t="shared" si="186"/>
        <v>43.582452684375909</v>
      </c>
      <c r="GD189" s="59">
        <f t="shared" si="134"/>
        <v>333.37921079023329</v>
      </c>
      <c r="GE189" s="59">
        <f ca="1">AVERAGE(OFFSET($GD$3,0,0,'Données projet'!$E$17+1,1))-AVERAGE(OFFSET($H$3,0,0,'Données projet'!$E$17+1,1))</f>
        <v>592.58528889137358</v>
      </c>
      <c r="GF189" s="59">
        <f t="shared" si="158"/>
        <v>311.31528020403709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>
        <f>EXP(-LN(2)/35)*GL188+(1-EXP(-LN(2)/35))/(LN(2)/35)*GH189*GI189*VLOOKUP('Données projet'!$B$17,Paramètres!$A$1:$I$89,3,0)*0.475*44/12</f>
        <v>98.053786217181752</v>
      </c>
      <c r="GM189" s="21">
        <f>EXP(-LN(2)/25)*GM188+(1-EXP(-LN(2)/25))/(LN(2)/25)*Calculateur!GH189*Calculateur!GJ189*VLOOKUP('Données projet'!$B$17,Paramètres!$A$1:$I$89,3,0)*0.475*44/12</f>
        <v>0</v>
      </c>
      <c r="GN189" s="21">
        <f>EXP(-LN(2)/2)*GN188+(1-EXP(-LN(2)/2))/(LN(2)/2)*GH189*GK189*VLOOKUP('Données projet'!$B$17,Paramètres!$A$1:$I$89,3,0)*0.475*44/12</f>
        <v>0</v>
      </c>
      <c r="GO189" s="21">
        <f t="shared" si="187"/>
        <v>98.053786217181752</v>
      </c>
      <c r="GP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328.00000000000006</v>
      </c>
      <c r="GV189" s="17">
        <f>GU189*VLOOKUP('Données projet'!$B$18,Paramètres!$A$1:$I$89,3,0)*VLOOKUP('Données projet'!$B$18,Paramètres!$A$1:$I$89,5,0)</f>
        <v>255.84000000000006</v>
      </c>
      <c r="GW189" s="13">
        <f t="shared" si="188"/>
        <v>61.834803371075836</v>
      </c>
      <c r="GX189" s="20">
        <f t="shared" si="189"/>
        <v>553.28361587129041</v>
      </c>
      <c r="GY189" s="59">
        <f t="shared" si="137"/>
        <v>843.08037397714781</v>
      </c>
      <c r="GZ189" s="59">
        <f ca="1">AVERAGE(OFFSET($GY$3,0,0,'Données projet'!$E$18+1,1))-AVERAGE(OFFSET($H$3,0,0,'Données projet'!$E$18+1,1))</f>
        <v>308.85018589589453</v>
      </c>
      <c r="HA189" s="59">
        <f t="shared" si="160"/>
        <v>302.59481222418219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>
        <f>EXP(-LN(2)/35)*HG188+(1-EXP(-LN(2)/35))/(LN(2)/35)*HC189*HD189*VLOOKUP('Données projet'!$B$18,Paramètres!$A$1:$I$89,3,0)*0.475*44/12</f>
        <v>4.9654612125928388</v>
      </c>
      <c r="HH189" s="21">
        <f>EXP(-LN(2)/25)*HH188+(1-EXP(-LN(2)/25))/(LN(2)/25)*Calculateur!HC189*Calculateur!HE189*VLOOKUP('Données projet'!$B$18,Paramètres!$A$1:$I$89,3,0)*0.475*44/12</f>
        <v>0</v>
      </c>
      <c r="HI189" s="21">
        <f>EXP(-LN(2)/2)*HI188+(1-EXP(-LN(2)/2))/(LN(2)/2)*HC189*HF189*VLOOKUP('Données projet'!$B$18,Paramètres!$A$1:$I$89,3,0)*0.475*44/12</f>
        <v>0</v>
      </c>
      <c r="HJ189" s="22">
        <f t="shared" si="190"/>
        <v>4.9654612125928388</v>
      </c>
    </row>
    <row r="190" spans="1:218" x14ac:dyDescent="0.35">
      <c r="A190" s="10">
        <f t="shared" si="161"/>
        <v>187</v>
      </c>
      <c r="B190" s="72">
        <f>'Scénario référence'!$B$16*5+'Scénario référence'!$B$17*0+'Scénario référence'!$B$18*5</f>
        <v>5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66">
        <f t="shared" si="110"/>
        <v>183.33333333333334</v>
      </c>
      <c r="I190" s="6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19.8100000000004</v>
      </c>
      <c r="O190" s="13">
        <f>N190*VLOOKUP('Données projet'!$B$9,Paramètres!$A$1:$I$89,3,0)*VLOOKUP('Données projet'!$B$9,Paramètres!$A$1:$I$89,5,0)</f>
        <v>17.924088000000364</v>
      </c>
      <c r="P190" s="13">
        <f t="shared" si="141"/>
        <v>5.9032212091029486</v>
      </c>
      <c r="Q190" s="20">
        <f t="shared" si="162"/>
        <v>41.499230205854936</v>
      </c>
      <c r="R190" s="59">
        <f t="shared" si="109"/>
        <v>331.35733998531134</v>
      </c>
      <c r="S190" s="59">
        <f ca="1">AVERAGE(OFFSET($R$3,0,0,'Données projet'!$E$9+1,1))-AVERAGE(OFFSET($H$3,0,0,'Données projet'!$E$9+1,1))</f>
        <v>567.42635821507474</v>
      </c>
      <c r="T190" s="59">
        <f t="shared" si="142"/>
        <v>299.04735309930152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91.403256623430877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91.403256623430877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19.8100000000004</v>
      </c>
      <c r="AJ190" s="13">
        <f>AI190*VLOOKUP('Données projet'!$B$10,Paramètres!$A$1:$I$89,3,0)*VLOOKUP('Données projet'!$B$10,Paramètres!$A$1:$I$89,5,0)</f>
        <v>20.08734000000041</v>
      </c>
      <c r="AK190" s="13">
        <f t="shared" si="164"/>
        <v>6.5285137703520215</v>
      </c>
      <c r="AL190" s="20">
        <f t="shared" si="165"/>
        <v>46.355945316697152</v>
      </c>
      <c r="AM190" s="59">
        <f t="shared" si="113"/>
        <v>336.21405509615357</v>
      </c>
      <c r="AN190" s="59">
        <f ca="1">AVERAGE(OFFSET($AM$3,0,0,'Données projet'!$E$10+1,1))-AVERAGE(OFFSET($H$3,0,0,'Données projet'!$E$10+1,1))</f>
        <v>626.09203985591455</v>
      </c>
      <c r="AO190" s="59">
        <f t="shared" si="144"/>
        <v>327.65191296575199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102.4346841469484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102.4346841469484</v>
      </c>
      <c r="AY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404.00000000000017</v>
      </c>
      <c r="BE190" s="13">
        <f>BD190*VLOOKUP('Données projet'!$B$11,Paramètres!$A$1:$I$89,3,0)*VLOOKUP('Données projet'!$B$11,Paramètres!$A$1:$I$89,5,0)</f>
        <v>346.63200000000018</v>
      </c>
      <c r="BF190" s="13">
        <f t="shared" si="167"/>
        <v>80.868615263336864</v>
      </c>
      <c r="BG190" s="20">
        <f t="shared" si="168"/>
        <v>744.56357158364528</v>
      </c>
      <c r="BH190" s="59">
        <f t="shared" si="116"/>
        <v>1034.4216813631017</v>
      </c>
      <c r="BI190" s="59">
        <f ca="1">AVERAGE(OFFSET($BH$3,0,0,'Données projet'!$E$11+1,1))-AVERAGE(OFFSET($H$3,0,0,'Données projet'!$E$11+1,1))</f>
        <v>481.23392184981651</v>
      </c>
      <c r="BJ190" s="59">
        <f t="shared" si="146"/>
        <v>275.88160405468193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26.518576502299709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26.518576502299709</v>
      </c>
      <c r="BT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5.2499999999990337</v>
      </c>
      <c r="BZ190" s="13">
        <f>BY190*VLOOKUP('Données projet'!$B$12,Paramètres!$A$1:$I$89,3,0)*VLOOKUP('Données projet'!$B$12,Paramètres!$A$1:$I$89,5,0)</f>
        <v>2.4569999999995478</v>
      </c>
      <c r="CA190" s="13">
        <f t="shared" si="170"/>
        <v>1.0197977774625564</v>
      </c>
      <c r="CB190" s="20">
        <f t="shared" si="171"/>
        <v>6.0554227957464972</v>
      </c>
      <c r="CC190" s="59">
        <f t="shared" si="119"/>
        <v>295.91353257520291</v>
      </c>
      <c r="CD190" s="59">
        <f ca="1">AVERAGE(OFFSET($CC$3,0,0,'Données projet'!$E$12+1,1))-AVERAGE(OFFSET($H$3,0,0,'Données projet'!$E$12+1,1))</f>
        <v>331.86732359395467</v>
      </c>
      <c r="CE190" s="59">
        <f t="shared" si="148"/>
        <v>208.64489375183106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51.825228746347854</v>
      </c>
      <c r="CL190" s="21">
        <f>EXP(-LN(2)/25)*CL189+(1-EXP(-LN(2)/25))/(LN(2)/25)*Calculateur!CG190*Calculateur!CI190*VLOOKUP('Données projet'!$B$12,Paramètres!$A$1:$I$89,3,0)*0.475*44/12</f>
        <v>0</v>
      </c>
      <c r="CM190" s="21">
        <f>EXP(-LN(2)/2)*CM189+(1-EXP(-LN(2)/2))/(LN(2)/2)*CG190*CJ190*VLOOKUP('Données projet'!$B$12,Paramètres!$A$1:$I$89,3,0)*0.475*44/12</f>
        <v>0</v>
      </c>
      <c r="CN190" s="22">
        <f t="shared" si="172"/>
        <v>51.825228746347854</v>
      </c>
      <c r="CO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319</v>
      </c>
      <c r="CU190" s="17">
        <f>CT190*VLOOKUP('Données projet'!$B$13,Paramètres!$A$1:$I$89,3,0)*VLOOKUP('Données projet'!$B$13,Paramètres!$A$1:$I$89,5,0)</f>
        <v>233.89079999999998</v>
      </c>
      <c r="CV190" s="13">
        <f t="shared" si="173"/>
        <v>57.123140349023068</v>
      </c>
      <c r="CW190" s="20">
        <f t="shared" si="174"/>
        <v>506.84927944121517</v>
      </c>
      <c r="CX190" s="59">
        <f t="shared" si="122"/>
        <v>796.70738922067153</v>
      </c>
      <c r="CY190" s="59">
        <f ca="1">AVERAGE(OFFSET($CX$3,0,0,'Données projet'!$E$13+1,1))-AVERAGE(OFFSET($H$3,0,0,'Données projet'!$E$13+1,1))</f>
        <v>352.45777291109863</v>
      </c>
      <c r="CZ190" s="59">
        <f t="shared" si="150"/>
        <v>340.92165104349181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4.776181607690746</v>
      </c>
      <c r="DG190" s="21">
        <f>EXP(-LN(2)/25)*DG189+(1-EXP(-LN(2)/25))/(LN(2)/25)*Calculateur!DB190*Calculateur!DD190*VLOOKUP('Données projet'!$B$13,Paramètres!$A$1:$I$89,3,0)*0.475*44/12</f>
        <v>0</v>
      </c>
      <c r="DH190" s="21">
        <f>EXP(-LN(2)/2)*DH189+(1-EXP(-LN(2)/2))/(LN(2)/2)*DB190*DE190*VLOOKUP('Données projet'!$B$13,Paramètres!$A$1:$I$89,3,0)*0.475*44/12</f>
        <v>0</v>
      </c>
      <c r="DI190" s="22">
        <f t="shared" si="175"/>
        <v>4.776181607690746</v>
      </c>
      <c r="DJ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19.8100000000004</v>
      </c>
      <c r="DP190" s="17">
        <f>DO190*VLOOKUP('Données projet'!$B$14,Paramètres!$A$1:$I$89,3,0)*VLOOKUP('Données projet'!$B$14,Paramètres!$A$1:$I$89,5,0)</f>
        <v>13.288548000000269</v>
      </c>
      <c r="DQ190" s="13">
        <f t="shared" si="176"/>
        <v>4.531654695205642</v>
      </c>
      <c r="DR190" s="20">
        <f t="shared" si="177"/>
        <v>31.036853027483627</v>
      </c>
      <c r="DS190" s="59">
        <f t="shared" si="125"/>
        <v>320.89496280694004</v>
      </c>
      <c r="DT190" s="59">
        <f ca="1">AVERAGE(OFFSET($DS$3,0,0,'Données projet'!$E$14+1,1))-AVERAGE(OFFSET($H$3,0,0,'Données projet'!$E$14+1,1))</f>
        <v>441.20130048888439</v>
      </c>
      <c r="DU190" s="59">
        <f t="shared" si="152"/>
        <v>237.47732532183946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83.523665535204032</v>
      </c>
      <c r="EB190" s="21">
        <f>EXP(-LN(2)/25)*EB189+(1-EXP(-LN(2)/25))/(LN(2)/25)*Calculateur!DW190*Calculateur!DY190*VLOOKUP('Données projet'!$B$14,Paramètres!$A$1:$I$89,3,0)*0.475*44/12</f>
        <v>0</v>
      </c>
      <c r="EC190" s="21">
        <f>EXP(-LN(2)/2)*EC189+(1-EXP(-LN(2)/2))/(LN(2)/2)*DW190*DZ190*VLOOKUP('Données projet'!$B$14,Paramètres!$A$1:$I$89,3,0)*0.475*44/12</f>
        <v>0</v>
      </c>
      <c r="ED190" s="22">
        <f t="shared" si="178"/>
        <v>83.523665535204032</v>
      </c>
      <c r="EE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319</v>
      </c>
      <c r="EK190" s="17">
        <f>EJ190*VLOOKUP('Données projet'!$B$15,Paramètres!$A$1:$I$89,3,0)*VLOOKUP('Données projet'!$B$15,Paramètres!$A$1:$I$89,5,0)</f>
        <v>253.79640000000001</v>
      </c>
      <c r="EL190" s="13">
        <f t="shared" si="179"/>
        <v>61.39816832228076</v>
      </c>
      <c r="EM190" s="20">
        <f t="shared" si="180"/>
        <v>548.96387316130563</v>
      </c>
      <c r="EN190" s="59">
        <f t="shared" si="128"/>
        <v>838.82198294076204</v>
      </c>
      <c r="EO190" s="59">
        <f ca="1">AVERAGE(OFFSET($EN$3,0,0,'Données projet'!$E$15+1,1))-AVERAGE(OFFSET($H$3,0,0,'Données projet'!$E$15+1,1))</f>
        <v>377.27600411578322</v>
      </c>
      <c r="EP190" s="59">
        <f t="shared" si="154"/>
        <v>364.58250627635425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>
        <f>EXP(-LN(2)/35)*EV189+(1-EXP(-LN(2)/35))/(LN(2)/35)*ER190*ES190*VLOOKUP('Données projet'!$B$15,Paramètres!$A$1:$I$89,3,0)*0.475*44/12</f>
        <v>6.3879361136012278</v>
      </c>
      <c r="EW190" s="21">
        <f>EXP(-LN(2)/25)*EW189+(1-EXP(-LN(2)/25))/(LN(2)/25)*Calculateur!ER190*Calculateur!ET190*VLOOKUP('Données projet'!$B$15,Paramètres!$A$1:$I$89,3,0)*0.475*44/12</f>
        <v>0</v>
      </c>
      <c r="EX190" s="21">
        <f>EXP(-LN(2)/2)*EX189+(1-EXP(-LN(2)/2))/(LN(2)/2)*ER190*EU190*VLOOKUP('Données projet'!$B$15,Paramètres!$A$1:$I$89,3,0)*0.475*44/12</f>
        <v>0</v>
      </c>
      <c r="EY190" s="22">
        <f t="shared" si="181"/>
        <v>6.3879361136012278</v>
      </c>
      <c r="EZ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319</v>
      </c>
      <c r="FF190" s="17">
        <f>FE190*VLOOKUP('Données projet'!$B$16,Paramètres!$A$1:$I$89,3,0)*VLOOKUP('Données projet'!$B$16,Paramètres!$A$1:$I$89,5,0)</f>
        <v>258.77280000000002</v>
      </c>
      <c r="FG190" s="13">
        <f t="shared" si="182"/>
        <v>62.460716522234691</v>
      </c>
      <c r="FH190" s="20">
        <f t="shared" si="183"/>
        <v>559.48170794289206</v>
      </c>
      <c r="FI190" s="59">
        <f t="shared" si="131"/>
        <v>849.33981772234847</v>
      </c>
      <c r="FJ190" s="59">
        <f ca="1">AVERAGE(OFFSET($FI$3,0,0,'Données projet'!$E$16+1,1))-AVERAGE(OFFSET($H$3,0,0,'Données projet'!$E$16+1,1))</f>
        <v>383.47399633251354</v>
      </c>
      <c r="FK190" s="59">
        <f t="shared" si="156"/>
        <v>370.49129421395628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>
        <f>EXP(-LN(2)/35)*FQ189+(1-EXP(-LN(2)/35))/(LN(2)/35)*FM190*FN190*VLOOKUP('Données projet'!$B$16,Paramètres!$A$1:$I$89,3,0)*0.475*44/12</f>
        <v>6.5131897628875333</v>
      </c>
      <c r="FR190" s="21">
        <f>EXP(-LN(2)/25)*FR189+(1-EXP(-LN(2)/25))/(LN(2)/25)*Calculateur!FM190*Calculateur!FO190*VLOOKUP('Données projet'!$B$16,Paramètres!$A$1:$I$89,3,0)*0.475*44/12</f>
        <v>0</v>
      </c>
      <c r="FS190" s="21">
        <f>EXP(-LN(2)/2)*FS189+(1-EXP(-LN(2)/2))/(LN(2)/2)*FM190*FP190*VLOOKUP('Données projet'!$B$16,Paramètres!$A$1:$I$89,3,0)*0.475*44/12</f>
        <v>0</v>
      </c>
      <c r="FT190" s="22">
        <f t="shared" si="184"/>
        <v>6.5131897628875333</v>
      </c>
      <c r="FU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19.8100000000004</v>
      </c>
      <c r="GA190" s="17">
        <f>FZ190*VLOOKUP('Données projet'!$B$17,Paramètres!$A$1:$I$89,3,0)*VLOOKUP('Données projet'!$B$17,Paramètres!$A$1:$I$89,5,0)</f>
        <v>18.851196000000382</v>
      </c>
      <c r="GB190" s="13">
        <f t="shared" si="185"/>
        <v>6.172221809210666</v>
      </c>
      <c r="GC190" s="20">
        <f t="shared" si="186"/>
        <v>43.582452684375909</v>
      </c>
      <c r="GD190" s="59">
        <f t="shared" si="134"/>
        <v>333.44056246383229</v>
      </c>
      <c r="GE190" s="59">
        <f ca="1">AVERAGE(OFFSET($GD$3,0,0,'Données projet'!$E$17+1,1))-AVERAGE(OFFSET($H$3,0,0,'Données projet'!$E$17+1,1))</f>
        <v>592.58528889137358</v>
      </c>
      <c r="GF190" s="59">
        <f t="shared" si="158"/>
        <v>311.31528020403709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>
        <f>EXP(-LN(2)/35)*GL189+(1-EXP(-LN(2)/35))/(LN(2)/35)*GH190*GI190*VLOOKUP('Données projet'!$B$17,Paramètres!$A$1:$I$89,3,0)*0.475*44/12</f>
        <v>96.131011276366962</v>
      </c>
      <c r="GM190" s="21">
        <f>EXP(-LN(2)/25)*GM189+(1-EXP(-LN(2)/25))/(LN(2)/25)*Calculateur!GH190*Calculateur!GJ190*VLOOKUP('Données projet'!$B$17,Paramètres!$A$1:$I$89,3,0)*0.475*44/12</f>
        <v>0</v>
      </c>
      <c r="GN190" s="21">
        <f>EXP(-LN(2)/2)*GN189+(1-EXP(-LN(2)/2))/(LN(2)/2)*GH190*GK190*VLOOKUP('Données projet'!$B$17,Paramètres!$A$1:$I$89,3,0)*0.475*44/12</f>
        <v>0</v>
      </c>
      <c r="GO190" s="21">
        <f t="shared" si="187"/>
        <v>96.131011276366962</v>
      </c>
      <c r="GP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328.00000000000006</v>
      </c>
      <c r="GV190" s="17">
        <f>GU190*VLOOKUP('Données projet'!$B$18,Paramètres!$A$1:$I$89,3,0)*VLOOKUP('Données projet'!$B$18,Paramètres!$A$1:$I$89,5,0)</f>
        <v>255.84000000000006</v>
      </c>
      <c r="GW190" s="13">
        <f t="shared" si="188"/>
        <v>61.834803371075836</v>
      </c>
      <c r="GX190" s="20">
        <f t="shared" si="189"/>
        <v>553.28361587129041</v>
      </c>
      <c r="GY190" s="59">
        <f t="shared" si="137"/>
        <v>843.14172565074682</v>
      </c>
      <c r="GZ190" s="59">
        <f ca="1">AVERAGE(OFFSET($GY$3,0,0,'Données projet'!$E$18+1,1))-AVERAGE(OFFSET($H$3,0,0,'Données projet'!$E$18+1,1))</f>
        <v>308.85018589589453</v>
      </c>
      <c r="HA190" s="59">
        <f t="shared" si="160"/>
        <v>302.59481222418219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>
        <f>EXP(-LN(2)/35)*HG189+(1-EXP(-LN(2)/35))/(LN(2)/35)*HC190*HD190*VLOOKUP('Données projet'!$B$18,Paramètres!$A$1:$I$89,3,0)*0.475*44/12</f>
        <v>4.8680915468461805</v>
      </c>
      <c r="HH190" s="21">
        <f>EXP(-LN(2)/25)*HH189+(1-EXP(-LN(2)/25))/(LN(2)/25)*Calculateur!HC190*Calculateur!HE190*VLOOKUP('Données projet'!$B$18,Paramètres!$A$1:$I$89,3,0)*0.475*44/12</f>
        <v>0</v>
      </c>
      <c r="HI190" s="21">
        <f>EXP(-LN(2)/2)*HI189+(1-EXP(-LN(2)/2))/(LN(2)/2)*HC190*HF190*VLOOKUP('Données projet'!$B$18,Paramètres!$A$1:$I$89,3,0)*0.475*44/12</f>
        <v>0</v>
      </c>
      <c r="HJ190" s="22">
        <f t="shared" si="190"/>
        <v>4.8680915468461805</v>
      </c>
    </row>
    <row r="191" spans="1:218" x14ac:dyDescent="0.35">
      <c r="A191" s="10">
        <f t="shared" si="161"/>
        <v>188</v>
      </c>
      <c r="B191" s="72">
        <f>'Scénario référence'!$B$16*5+'Scénario référence'!$B$17*0+'Scénario référence'!$B$18*5</f>
        <v>5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66">
        <f t="shared" si="110"/>
        <v>183.33333333333334</v>
      </c>
      <c r="I191" s="6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19.8100000000004</v>
      </c>
      <c r="O191" s="13">
        <f>N191*VLOOKUP('Données projet'!$B$9,Paramètres!$A$1:$I$89,3,0)*VLOOKUP('Données projet'!$B$9,Paramètres!$A$1:$I$89,5,0)</f>
        <v>17.924088000000364</v>
      </c>
      <c r="P191" s="13">
        <f t="shared" si="141"/>
        <v>5.9032212091029486</v>
      </c>
      <c r="Q191" s="20">
        <f t="shared" si="162"/>
        <v>41.499230205854936</v>
      </c>
      <c r="R191" s="59">
        <f t="shared" si="109"/>
        <v>331.41762734453516</v>
      </c>
      <c r="S191" s="59">
        <f ca="1">AVERAGE(OFFSET($R$3,0,0,'Données projet'!$E$9+1,1))-AVERAGE(OFFSET($H$3,0,0,'Données projet'!$E$9+1,1))</f>
        <v>567.42635821507474</v>
      </c>
      <c r="T191" s="59">
        <f t="shared" si="142"/>
        <v>299.04735309930152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89.610894511527036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89.610894511527036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19.8100000000004</v>
      </c>
      <c r="AJ191" s="13">
        <f>AI191*VLOOKUP('Données projet'!$B$10,Paramètres!$A$1:$I$89,3,0)*VLOOKUP('Données projet'!$B$10,Paramètres!$A$1:$I$89,5,0)</f>
        <v>20.08734000000041</v>
      </c>
      <c r="AK191" s="13">
        <f t="shared" si="164"/>
        <v>6.5285137703520215</v>
      </c>
      <c r="AL191" s="20">
        <f t="shared" si="165"/>
        <v>46.355945316697152</v>
      </c>
      <c r="AM191" s="59">
        <f t="shared" si="113"/>
        <v>336.27434245537739</v>
      </c>
      <c r="AN191" s="59">
        <f ca="1">AVERAGE(OFFSET($AM$3,0,0,'Données projet'!$E$10+1,1))-AVERAGE(OFFSET($H$3,0,0,'Données projet'!$E$10+1,1))</f>
        <v>626.09203985591455</v>
      </c>
      <c r="AO191" s="59">
        <f t="shared" si="144"/>
        <v>327.65191296575199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100.42600246981478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100.42600246981478</v>
      </c>
      <c r="AY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404.00000000000017</v>
      </c>
      <c r="BE191" s="13">
        <f>BD191*VLOOKUP('Données projet'!$B$11,Paramètres!$A$1:$I$89,3,0)*VLOOKUP('Données projet'!$B$11,Paramètres!$A$1:$I$89,5,0)</f>
        <v>346.63200000000018</v>
      </c>
      <c r="BF191" s="13">
        <f t="shared" si="167"/>
        <v>80.868615263336864</v>
      </c>
      <c r="BG191" s="20">
        <f t="shared" si="168"/>
        <v>744.56357158364528</v>
      </c>
      <c r="BH191" s="59">
        <f t="shared" si="116"/>
        <v>1034.4819687223255</v>
      </c>
      <c r="BI191" s="59">
        <f ca="1">AVERAGE(OFFSET($BH$3,0,0,'Données projet'!$E$11+1,1))-AVERAGE(OFFSET($H$3,0,0,'Données projet'!$E$11+1,1))</f>
        <v>481.23392184981651</v>
      </c>
      <c r="BJ191" s="59">
        <f t="shared" si="146"/>
        <v>275.88160405468193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25.998563391824156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25.998563391824156</v>
      </c>
      <c r="BT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5.2499999999990337</v>
      </c>
      <c r="BZ191" s="13">
        <f>BY191*VLOOKUP('Données projet'!$B$12,Paramètres!$A$1:$I$89,3,0)*VLOOKUP('Données projet'!$B$12,Paramètres!$A$1:$I$89,5,0)</f>
        <v>2.4569999999995478</v>
      </c>
      <c r="CA191" s="13">
        <f t="shared" si="170"/>
        <v>1.0197977774625564</v>
      </c>
      <c r="CB191" s="20">
        <f t="shared" si="171"/>
        <v>6.0554227957464972</v>
      </c>
      <c r="CC191" s="59">
        <f t="shared" si="119"/>
        <v>295.97381993442673</v>
      </c>
      <c r="CD191" s="59">
        <f ca="1">AVERAGE(OFFSET($CC$3,0,0,'Données projet'!$E$12+1,1))-AVERAGE(OFFSET($H$3,0,0,'Données projet'!$E$12+1,1))</f>
        <v>331.86732359395467</v>
      </c>
      <c r="CE191" s="59">
        <f t="shared" si="148"/>
        <v>208.64489375183106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50.808967620900255</v>
      </c>
      <c r="CL191" s="21">
        <f>EXP(-LN(2)/25)*CL190+(1-EXP(-LN(2)/25))/(LN(2)/25)*Calculateur!CG191*Calculateur!CI191*VLOOKUP('Données projet'!$B$12,Paramètres!$A$1:$I$89,3,0)*0.475*44/12</f>
        <v>0</v>
      </c>
      <c r="CM191" s="21">
        <f>EXP(-LN(2)/2)*CM190+(1-EXP(-LN(2)/2))/(LN(2)/2)*CG191*CJ191*VLOOKUP('Données projet'!$B$12,Paramètres!$A$1:$I$89,3,0)*0.475*44/12</f>
        <v>0</v>
      </c>
      <c r="CN191" s="22">
        <f t="shared" si="172"/>
        <v>50.808967620900255</v>
      </c>
      <c r="CO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319</v>
      </c>
      <c r="CU191" s="17">
        <f>CT191*VLOOKUP('Données projet'!$B$13,Paramètres!$A$1:$I$89,3,0)*VLOOKUP('Données projet'!$B$13,Paramètres!$A$1:$I$89,5,0)</f>
        <v>233.89079999999998</v>
      </c>
      <c r="CV191" s="13">
        <f t="shared" si="173"/>
        <v>57.123140349023068</v>
      </c>
      <c r="CW191" s="20">
        <f t="shared" si="174"/>
        <v>506.84927944121517</v>
      </c>
      <c r="CX191" s="59">
        <f t="shared" si="122"/>
        <v>796.76767657989535</v>
      </c>
      <c r="CY191" s="59">
        <f ca="1">AVERAGE(OFFSET($CX$3,0,0,'Données projet'!$E$13+1,1))-AVERAGE(OFFSET($H$3,0,0,'Données projet'!$E$13+1,1))</f>
        <v>352.45777291109863</v>
      </c>
      <c r="CZ191" s="59">
        <f t="shared" si="150"/>
        <v>340.92165104349181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4.682523599547058</v>
      </c>
      <c r="DG191" s="21">
        <f>EXP(-LN(2)/25)*DG190+(1-EXP(-LN(2)/25))/(LN(2)/25)*Calculateur!DB191*Calculateur!DD191*VLOOKUP('Données projet'!$B$13,Paramètres!$A$1:$I$89,3,0)*0.475*44/12</f>
        <v>0</v>
      </c>
      <c r="DH191" s="21">
        <f>EXP(-LN(2)/2)*DH190+(1-EXP(-LN(2)/2))/(LN(2)/2)*DB191*DE191*VLOOKUP('Données projet'!$B$13,Paramètres!$A$1:$I$89,3,0)*0.475*44/12</f>
        <v>0</v>
      </c>
      <c r="DI191" s="22">
        <f t="shared" si="175"/>
        <v>4.682523599547058</v>
      </c>
      <c r="DJ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19.8100000000004</v>
      </c>
      <c r="DP191" s="17">
        <f>DO191*VLOOKUP('Données projet'!$B$14,Paramètres!$A$1:$I$89,3,0)*VLOOKUP('Données projet'!$B$14,Paramètres!$A$1:$I$89,5,0)</f>
        <v>13.288548000000269</v>
      </c>
      <c r="DQ191" s="13">
        <f t="shared" si="176"/>
        <v>4.531654695205642</v>
      </c>
      <c r="DR191" s="20">
        <f t="shared" si="177"/>
        <v>31.036853027483627</v>
      </c>
      <c r="DS191" s="59">
        <f t="shared" si="125"/>
        <v>320.95525016616386</v>
      </c>
      <c r="DT191" s="59">
        <f ca="1">AVERAGE(OFFSET($DS$3,0,0,'Données projet'!$E$14+1,1))-AVERAGE(OFFSET($H$3,0,0,'Données projet'!$E$14+1,1))</f>
        <v>441.20130048888439</v>
      </c>
      <c r="DU191" s="59">
        <f t="shared" si="152"/>
        <v>237.47732532183946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81.885817398464312</v>
      </c>
      <c r="EB191" s="21">
        <f>EXP(-LN(2)/25)*EB190+(1-EXP(-LN(2)/25))/(LN(2)/25)*Calculateur!DW191*Calculateur!DY191*VLOOKUP('Données projet'!$B$14,Paramètres!$A$1:$I$89,3,0)*0.475*44/12</f>
        <v>0</v>
      </c>
      <c r="EC191" s="21">
        <f>EXP(-LN(2)/2)*EC190+(1-EXP(-LN(2)/2))/(LN(2)/2)*DW191*DZ191*VLOOKUP('Données projet'!$B$14,Paramètres!$A$1:$I$89,3,0)*0.475*44/12</f>
        <v>0</v>
      </c>
      <c r="ED191" s="22">
        <f t="shared" si="178"/>
        <v>81.885817398464312</v>
      </c>
      <c r="EE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319</v>
      </c>
      <c r="EK191" s="17">
        <f>EJ191*VLOOKUP('Données projet'!$B$15,Paramètres!$A$1:$I$89,3,0)*VLOOKUP('Données projet'!$B$15,Paramètres!$A$1:$I$89,5,0)</f>
        <v>253.79640000000001</v>
      </c>
      <c r="EL191" s="13">
        <f t="shared" si="179"/>
        <v>61.39816832228076</v>
      </c>
      <c r="EM191" s="20">
        <f t="shared" si="180"/>
        <v>548.96387316130563</v>
      </c>
      <c r="EN191" s="59">
        <f t="shared" si="128"/>
        <v>838.88227029998586</v>
      </c>
      <c r="EO191" s="59">
        <f ca="1">AVERAGE(OFFSET($EN$3,0,0,'Données projet'!$E$15+1,1))-AVERAGE(OFFSET($H$3,0,0,'Données projet'!$E$15+1,1))</f>
        <v>377.27600411578322</v>
      </c>
      <c r="EP191" s="59">
        <f t="shared" si="154"/>
        <v>364.58250627635425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>
        <f>EXP(-LN(2)/35)*EV190+(1-EXP(-LN(2)/35))/(LN(2)/35)*ER191*ES191*VLOOKUP('Données projet'!$B$15,Paramètres!$A$1:$I$89,3,0)*0.475*44/12</f>
        <v>6.262672582669814</v>
      </c>
      <c r="EW191" s="21">
        <f>EXP(-LN(2)/25)*EW190+(1-EXP(-LN(2)/25))/(LN(2)/25)*Calculateur!ER191*Calculateur!ET191*VLOOKUP('Données projet'!$B$15,Paramètres!$A$1:$I$89,3,0)*0.475*44/12</f>
        <v>0</v>
      </c>
      <c r="EX191" s="21">
        <f>EXP(-LN(2)/2)*EX190+(1-EXP(-LN(2)/2))/(LN(2)/2)*ER191*EU191*VLOOKUP('Données projet'!$B$15,Paramètres!$A$1:$I$89,3,0)*0.475*44/12</f>
        <v>0</v>
      </c>
      <c r="EY191" s="22">
        <f t="shared" si="181"/>
        <v>6.262672582669814</v>
      </c>
      <c r="EZ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319</v>
      </c>
      <c r="FF191" s="17">
        <f>FE191*VLOOKUP('Données projet'!$B$16,Paramètres!$A$1:$I$89,3,0)*VLOOKUP('Données projet'!$B$16,Paramètres!$A$1:$I$89,5,0)</f>
        <v>258.77280000000002</v>
      </c>
      <c r="FG191" s="13">
        <f t="shared" si="182"/>
        <v>62.460716522234691</v>
      </c>
      <c r="FH191" s="20">
        <f t="shared" si="183"/>
        <v>559.48170794289206</v>
      </c>
      <c r="FI191" s="59">
        <f t="shared" si="131"/>
        <v>849.40010508157229</v>
      </c>
      <c r="FJ191" s="59">
        <f ca="1">AVERAGE(OFFSET($FI$3,0,0,'Données projet'!$E$16+1,1))-AVERAGE(OFFSET($H$3,0,0,'Données projet'!$E$16+1,1))</f>
        <v>383.47399633251354</v>
      </c>
      <c r="FK191" s="59">
        <f t="shared" si="156"/>
        <v>370.49129421395628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>
        <f>EXP(-LN(2)/35)*FQ190+(1-EXP(-LN(2)/35))/(LN(2)/35)*FM191*FN191*VLOOKUP('Données projet'!$B$16,Paramètres!$A$1:$I$89,3,0)*0.475*44/12</f>
        <v>6.3854700842907972</v>
      </c>
      <c r="FR191" s="21">
        <f>EXP(-LN(2)/25)*FR190+(1-EXP(-LN(2)/25))/(LN(2)/25)*Calculateur!FM191*Calculateur!FO191*VLOOKUP('Données projet'!$B$16,Paramètres!$A$1:$I$89,3,0)*0.475*44/12</f>
        <v>0</v>
      </c>
      <c r="FS191" s="21">
        <f>EXP(-LN(2)/2)*FS190+(1-EXP(-LN(2)/2))/(LN(2)/2)*FM191*FP191*VLOOKUP('Données projet'!$B$16,Paramètres!$A$1:$I$89,3,0)*0.475*44/12</f>
        <v>0</v>
      </c>
      <c r="FT191" s="22">
        <f t="shared" si="184"/>
        <v>6.3854700842907972</v>
      </c>
      <c r="FU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19.8100000000004</v>
      </c>
      <c r="GA191" s="17">
        <f>FZ191*VLOOKUP('Données projet'!$B$17,Paramètres!$A$1:$I$89,3,0)*VLOOKUP('Données projet'!$B$17,Paramètres!$A$1:$I$89,5,0)</f>
        <v>18.851196000000382</v>
      </c>
      <c r="GB191" s="13">
        <f t="shared" si="185"/>
        <v>6.172221809210666</v>
      </c>
      <c r="GC191" s="20">
        <f t="shared" si="186"/>
        <v>43.582452684375909</v>
      </c>
      <c r="GD191" s="59">
        <f t="shared" si="134"/>
        <v>333.50084982305611</v>
      </c>
      <c r="GE191" s="59">
        <f ca="1">AVERAGE(OFFSET($GD$3,0,0,'Données projet'!$E$17+1,1))-AVERAGE(OFFSET($H$3,0,0,'Données projet'!$E$17+1,1))</f>
        <v>592.58528889137358</v>
      </c>
      <c r="GF191" s="59">
        <f t="shared" si="158"/>
        <v>311.31528020403709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>
        <f>EXP(-LN(2)/35)*GL190+(1-EXP(-LN(2)/35))/(LN(2)/35)*GH191*GI191*VLOOKUP('Données projet'!$B$17,Paramètres!$A$1:$I$89,3,0)*0.475*44/12</f>
        <v>94.245940779364645</v>
      </c>
      <c r="GM191" s="21">
        <f>EXP(-LN(2)/25)*GM190+(1-EXP(-LN(2)/25))/(LN(2)/25)*Calculateur!GH191*Calculateur!GJ191*VLOOKUP('Données projet'!$B$17,Paramètres!$A$1:$I$89,3,0)*0.475*44/12</f>
        <v>0</v>
      </c>
      <c r="GN191" s="21">
        <f>EXP(-LN(2)/2)*GN190+(1-EXP(-LN(2)/2))/(LN(2)/2)*GH191*GK191*VLOOKUP('Données projet'!$B$17,Paramètres!$A$1:$I$89,3,0)*0.475*44/12</f>
        <v>0</v>
      </c>
      <c r="GO191" s="21">
        <f t="shared" si="187"/>
        <v>94.245940779364645</v>
      </c>
      <c r="GP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328.00000000000006</v>
      </c>
      <c r="GV191" s="17">
        <f>GU191*VLOOKUP('Données projet'!$B$18,Paramètres!$A$1:$I$89,3,0)*VLOOKUP('Données projet'!$B$18,Paramètres!$A$1:$I$89,5,0)</f>
        <v>255.84000000000006</v>
      </c>
      <c r="GW191" s="13">
        <f t="shared" si="188"/>
        <v>61.834803371075836</v>
      </c>
      <c r="GX191" s="20">
        <f t="shared" si="189"/>
        <v>553.28361587129041</v>
      </c>
      <c r="GY191" s="59">
        <f t="shared" si="137"/>
        <v>843.20201300997064</v>
      </c>
      <c r="GZ191" s="59">
        <f ca="1">AVERAGE(OFFSET($GY$3,0,0,'Données projet'!$E$18+1,1))-AVERAGE(OFFSET($H$3,0,0,'Données projet'!$E$18+1,1))</f>
        <v>308.85018589589453</v>
      </c>
      <c r="HA191" s="59">
        <f t="shared" si="160"/>
        <v>302.59481222418219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>
        <f>EXP(-LN(2)/35)*HG190+(1-EXP(-LN(2)/35))/(LN(2)/35)*HC191*HD191*VLOOKUP('Données projet'!$B$18,Paramètres!$A$1:$I$89,3,0)*0.475*44/12</f>
        <v>4.7726312408551825</v>
      </c>
      <c r="HH191" s="21">
        <f>EXP(-LN(2)/25)*HH190+(1-EXP(-LN(2)/25))/(LN(2)/25)*Calculateur!HC191*Calculateur!HE191*VLOOKUP('Données projet'!$B$18,Paramètres!$A$1:$I$89,3,0)*0.475*44/12</f>
        <v>0</v>
      </c>
      <c r="HI191" s="21">
        <f>EXP(-LN(2)/2)*HI190+(1-EXP(-LN(2)/2))/(LN(2)/2)*HC191*HF191*VLOOKUP('Données projet'!$B$18,Paramètres!$A$1:$I$89,3,0)*0.475*44/12</f>
        <v>0</v>
      </c>
      <c r="HJ191" s="22">
        <f t="shared" si="190"/>
        <v>4.7726312408551825</v>
      </c>
    </row>
    <row r="192" spans="1:218" x14ac:dyDescent="0.35">
      <c r="A192" s="10">
        <f t="shared" si="161"/>
        <v>189</v>
      </c>
      <c r="B192" s="72">
        <f>'Scénario référence'!$B$16*5+'Scénario référence'!$B$17*0+'Scénario référence'!$B$18*5</f>
        <v>5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66">
        <f t="shared" si="110"/>
        <v>183.33333333333334</v>
      </c>
      <c r="I192" s="6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19.8100000000004</v>
      </c>
      <c r="O192" s="13">
        <f>N192*VLOOKUP('Données projet'!$B$9,Paramètres!$A$1:$I$89,3,0)*VLOOKUP('Données projet'!$B$9,Paramètres!$A$1:$I$89,5,0)</f>
        <v>17.924088000000364</v>
      </c>
      <c r="P192" s="13">
        <f t="shared" si="141"/>
        <v>5.9032212091029486</v>
      </c>
      <c r="Q192" s="20">
        <f t="shared" si="162"/>
        <v>41.499230205854936</v>
      </c>
      <c r="R192" s="59">
        <f t="shared" si="109"/>
        <v>331.47686885285879</v>
      </c>
      <c r="S192" s="59">
        <f ca="1">AVERAGE(OFFSET($R$3,0,0,'Données projet'!$E$9+1,1))-AVERAGE(OFFSET($H$3,0,0,'Données projet'!$E$9+1,1))</f>
        <v>567.42635821507474</v>
      </c>
      <c r="T192" s="59">
        <f t="shared" si="142"/>
        <v>299.04735309930152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87.853679527404694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87.853679527404694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19.8100000000004</v>
      </c>
      <c r="AJ192" s="13">
        <f>AI192*VLOOKUP('Données projet'!$B$10,Paramètres!$A$1:$I$89,3,0)*VLOOKUP('Données projet'!$B$10,Paramètres!$A$1:$I$89,5,0)</f>
        <v>20.08734000000041</v>
      </c>
      <c r="AK192" s="13">
        <f t="shared" si="164"/>
        <v>6.5285137703520215</v>
      </c>
      <c r="AL192" s="20">
        <f t="shared" si="165"/>
        <v>46.355945316697152</v>
      </c>
      <c r="AM192" s="59">
        <f t="shared" si="113"/>
        <v>336.33358396370102</v>
      </c>
      <c r="AN192" s="59">
        <f ca="1">AVERAGE(OFFSET($AM$3,0,0,'Données projet'!$E$10+1,1))-AVERAGE(OFFSET($H$3,0,0,'Données projet'!$E$10+1,1))</f>
        <v>626.09203985591455</v>
      </c>
      <c r="AO192" s="59">
        <f t="shared" si="144"/>
        <v>327.65191296575199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98.456709815194898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98.456709815194898</v>
      </c>
      <c r="AY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404.00000000000017</v>
      </c>
      <c r="BE192" s="13">
        <f>BD192*VLOOKUP('Données projet'!$B$11,Paramètres!$A$1:$I$89,3,0)*VLOOKUP('Données projet'!$B$11,Paramètres!$A$1:$I$89,5,0)</f>
        <v>346.63200000000018</v>
      </c>
      <c r="BF192" s="13">
        <f t="shared" si="167"/>
        <v>80.868615263336864</v>
      </c>
      <c r="BG192" s="20">
        <f t="shared" si="168"/>
        <v>744.56357158364528</v>
      </c>
      <c r="BH192" s="59">
        <f t="shared" si="116"/>
        <v>1034.5412102306491</v>
      </c>
      <c r="BI192" s="59">
        <f ca="1">AVERAGE(OFFSET($BH$3,0,0,'Données projet'!$E$11+1,1))-AVERAGE(OFFSET($H$3,0,0,'Données projet'!$E$11+1,1))</f>
        <v>481.23392184981651</v>
      </c>
      <c r="BJ192" s="59">
        <f t="shared" si="146"/>
        <v>275.88160405468193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25.48874742126835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25.48874742126835</v>
      </c>
      <c r="BT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5.2499999999990337</v>
      </c>
      <c r="BZ192" s="13">
        <f>BY192*VLOOKUP('Données projet'!$B$12,Paramètres!$A$1:$I$89,3,0)*VLOOKUP('Données projet'!$B$12,Paramètres!$A$1:$I$89,5,0)</f>
        <v>2.4569999999995478</v>
      </c>
      <c r="CA192" s="13">
        <f t="shared" si="170"/>
        <v>1.0197977774625564</v>
      </c>
      <c r="CB192" s="20">
        <f t="shared" si="171"/>
        <v>6.0554227957464972</v>
      </c>
      <c r="CC192" s="59">
        <f t="shared" si="119"/>
        <v>296.03306144275035</v>
      </c>
      <c r="CD192" s="59">
        <f ca="1">AVERAGE(OFFSET($CC$3,0,0,'Données projet'!$E$12+1,1))-AVERAGE(OFFSET($H$3,0,0,'Données projet'!$E$12+1,1))</f>
        <v>331.86732359395467</v>
      </c>
      <c r="CE192" s="59">
        <f t="shared" si="148"/>
        <v>208.64489375183106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49.8126347562646</v>
      </c>
      <c r="CL192" s="21">
        <f>EXP(-LN(2)/25)*CL191+(1-EXP(-LN(2)/25))/(LN(2)/25)*Calculateur!CG192*Calculateur!CI192*VLOOKUP('Données projet'!$B$12,Paramètres!$A$1:$I$89,3,0)*0.475*44/12</f>
        <v>0</v>
      </c>
      <c r="CM192" s="21">
        <f>EXP(-LN(2)/2)*CM191+(1-EXP(-LN(2)/2))/(LN(2)/2)*CG192*CJ192*VLOOKUP('Données projet'!$B$12,Paramètres!$A$1:$I$89,3,0)*0.475*44/12</f>
        <v>0</v>
      </c>
      <c r="CN192" s="22">
        <f t="shared" si="172"/>
        <v>49.8126347562646</v>
      </c>
      <c r="CO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319</v>
      </c>
      <c r="CU192" s="17">
        <f>CT192*VLOOKUP('Données projet'!$B$13,Paramètres!$A$1:$I$89,3,0)*VLOOKUP('Données projet'!$B$13,Paramètres!$A$1:$I$89,5,0)</f>
        <v>233.89079999999998</v>
      </c>
      <c r="CV192" s="13">
        <f t="shared" si="173"/>
        <v>57.123140349023068</v>
      </c>
      <c r="CW192" s="20">
        <f t="shared" si="174"/>
        <v>506.84927944121517</v>
      </c>
      <c r="CX192" s="59">
        <f t="shared" si="122"/>
        <v>796.82691808821903</v>
      </c>
      <c r="CY192" s="59">
        <f ca="1">AVERAGE(OFFSET($CX$3,0,0,'Données projet'!$E$13+1,1))-AVERAGE(OFFSET($H$3,0,0,'Données projet'!$E$13+1,1))</f>
        <v>352.45777291109863</v>
      </c>
      <c r="CZ192" s="59">
        <f t="shared" si="150"/>
        <v>340.92165104349181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4.5907021678173239</v>
      </c>
      <c r="DG192" s="21">
        <f>EXP(-LN(2)/25)*DG191+(1-EXP(-LN(2)/25))/(LN(2)/25)*Calculateur!DB192*Calculateur!DD192*VLOOKUP('Données projet'!$B$13,Paramètres!$A$1:$I$89,3,0)*0.475*44/12</f>
        <v>0</v>
      </c>
      <c r="DH192" s="21">
        <f>EXP(-LN(2)/2)*DH191+(1-EXP(-LN(2)/2))/(LN(2)/2)*DB192*DE192*VLOOKUP('Données projet'!$B$13,Paramètres!$A$1:$I$89,3,0)*0.475*44/12</f>
        <v>0</v>
      </c>
      <c r="DI192" s="22">
        <f t="shared" si="175"/>
        <v>4.5907021678173239</v>
      </c>
      <c r="DJ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19.8100000000004</v>
      </c>
      <c r="DP192" s="17">
        <f>DO192*VLOOKUP('Données projet'!$B$14,Paramètres!$A$1:$I$89,3,0)*VLOOKUP('Données projet'!$B$14,Paramètres!$A$1:$I$89,5,0)</f>
        <v>13.288548000000269</v>
      </c>
      <c r="DQ192" s="13">
        <f t="shared" si="176"/>
        <v>4.531654695205642</v>
      </c>
      <c r="DR192" s="20">
        <f t="shared" si="177"/>
        <v>31.036853027483627</v>
      </c>
      <c r="DS192" s="59">
        <f t="shared" si="125"/>
        <v>321.01449167448749</v>
      </c>
      <c r="DT192" s="59">
        <f ca="1">AVERAGE(OFFSET($DS$3,0,0,'Données projet'!$E$14+1,1))-AVERAGE(OFFSET($H$3,0,0,'Données projet'!$E$14+1,1))</f>
        <v>441.20130048888439</v>
      </c>
      <c r="DU192" s="59">
        <f t="shared" si="152"/>
        <v>237.47732532183946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80.280086464697334</v>
      </c>
      <c r="EB192" s="21">
        <f>EXP(-LN(2)/25)*EB191+(1-EXP(-LN(2)/25))/(LN(2)/25)*Calculateur!DW192*Calculateur!DY192*VLOOKUP('Données projet'!$B$14,Paramètres!$A$1:$I$89,3,0)*0.475*44/12</f>
        <v>0</v>
      </c>
      <c r="EC192" s="21">
        <f>EXP(-LN(2)/2)*EC191+(1-EXP(-LN(2)/2))/(LN(2)/2)*DW192*DZ192*VLOOKUP('Données projet'!$B$14,Paramètres!$A$1:$I$89,3,0)*0.475*44/12</f>
        <v>0</v>
      </c>
      <c r="ED192" s="22">
        <f t="shared" si="178"/>
        <v>80.280086464697334</v>
      </c>
      <c r="EE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319</v>
      </c>
      <c r="EK192" s="17">
        <f>EJ192*VLOOKUP('Données projet'!$B$15,Paramètres!$A$1:$I$89,3,0)*VLOOKUP('Données projet'!$B$15,Paramètres!$A$1:$I$89,5,0)</f>
        <v>253.79640000000001</v>
      </c>
      <c r="EL192" s="13">
        <f t="shared" si="179"/>
        <v>61.39816832228076</v>
      </c>
      <c r="EM192" s="20">
        <f t="shared" si="180"/>
        <v>548.96387316130563</v>
      </c>
      <c r="EN192" s="59">
        <f t="shared" si="128"/>
        <v>838.94151180830954</v>
      </c>
      <c r="EO192" s="59">
        <f ca="1">AVERAGE(OFFSET($EN$3,0,0,'Données projet'!$E$15+1,1))-AVERAGE(OFFSET($H$3,0,0,'Données projet'!$E$15+1,1))</f>
        <v>377.27600411578322</v>
      </c>
      <c r="EP192" s="59">
        <f t="shared" si="154"/>
        <v>364.58250627635425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>
        <f>EXP(-LN(2)/35)*EV191+(1-EXP(-LN(2)/35))/(LN(2)/35)*ER192*ES192*VLOOKUP('Données projet'!$B$15,Paramètres!$A$1:$I$89,3,0)*0.475*44/12</f>
        <v>6.1398653931767555</v>
      </c>
      <c r="EW192" s="21">
        <f>EXP(-LN(2)/25)*EW191+(1-EXP(-LN(2)/25))/(LN(2)/25)*Calculateur!ER192*Calculateur!ET192*VLOOKUP('Données projet'!$B$15,Paramètres!$A$1:$I$89,3,0)*0.475*44/12</f>
        <v>0</v>
      </c>
      <c r="EX192" s="21">
        <f>EXP(-LN(2)/2)*EX191+(1-EXP(-LN(2)/2))/(LN(2)/2)*ER192*EU192*VLOOKUP('Données projet'!$B$15,Paramètres!$A$1:$I$89,3,0)*0.475*44/12</f>
        <v>0</v>
      </c>
      <c r="EY192" s="22">
        <f t="shared" si="181"/>
        <v>6.1398653931767555</v>
      </c>
      <c r="EZ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319</v>
      </c>
      <c r="FF192" s="17">
        <f>FE192*VLOOKUP('Données projet'!$B$16,Paramètres!$A$1:$I$89,3,0)*VLOOKUP('Données projet'!$B$16,Paramètres!$A$1:$I$89,5,0)</f>
        <v>258.77280000000002</v>
      </c>
      <c r="FG192" s="13">
        <f t="shared" si="182"/>
        <v>62.460716522234691</v>
      </c>
      <c r="FH192" s="20">
        <f t="shared" si="183"/>
        <v>559.48170794289206</v>
      </c>
      <c r="FI192" s="59">
        <f t="shared" si="131"/>
        <v>849.45934658989586</v>
      </c>
      <c r="FJ192" s="59">
        <f ca="1">AVERAGE(OFFSET($FI$3,0,0,'Données projet'!$E$16+1,1))-AVERAGE(OFFSET($H$3,0,0,'Données projet'!$E$16+1,1))</f>
        <v>383.47399633251354</v>
      </c>
      <c r="FK192" s="59">
        <f t="shared" si="156"/>
        <v>370.49129421395628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>
        <f>EXP(-LN(2)/35)*FQ191+(1-EXP(-LN(2)/35))/(LN(2)/35)*FM192*FN192*VLOOKUP('Données projet'!$B$16,Paramètres!$A$1:$I$89,3,0)*0.475*44/12</f>
        <v>6.2602549106900316</v>
      </c>
      <c r="FR192" s="21">
        <f>EXP(-LN(2)/25)*FR191+(1-EXP(-LN(2)/25))/(LN(2)/25)*Calculateur!FM192*Calculateur!FO192*VLOOKUP('Données projet'!$B$16,Paramètres!$A$1:$I$89,3,0)*0.475*44/12</f>
        <v>0</v>
      </c>
      <c r="FS192" s="21">
        <f>EXP(-LN(2)/2)*FS191+(1-EXP(-LN(2)/2))/(LN(2)/2)*FM192*FP192*VLOOKUP('Données projet'!$B$16,Paramètres!$A$1:$I$89,3,0)*0.475*44/12</f>
        <v>0</v>
      </c>
      <c r="FT192" s="22">
        <f t="shared" si="184"/>
        <v>6.2602549106900316</v>
      </c>
      <c r="FU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19.8100000000004</v>
      </c>
      <c r="GA192" s="17">
        <f>FZ192*VLOOKUP('Données projet'!$B$17,Paramètres!$A$1:$I$89,3,0)*VLOOKUP('Données projet'!$B$17,Paramètres!$A$1:$I$89,5,0)</f>
        <v>18.851196000000382</v>
      </c>
      <c r="GB192" s="13">
        <f t="shared" si="185"/>
        <v>6.172221809210666</v>
      </c>
      <c r="GC192" s="20">
        <f t="shared" si="186"/>
        <v>43.582452684375909</v>
      </c>
      <c r="GD192" s="59">
        <f t="shared" si="134"/>
        <v>333.56009133137979</v>
      </c>
      <c r="GE192" s="59">
        <f ca="1">AVERAGE(OFFSET($GD$3,0,0,'Données projet'!$E$17+1,1))-AVERAGE(OFFSET($H$3,0,0,'Données projet'!$E$17+1,1))</f>
        <v>592.58528889137358</v>
      </c>
      <c r="GF192" s="59">
        <f t="shared" si="158"/>
        <v>311.31528020403709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>
        <f>EXP(-LN(2)/35)*GL191+(1-EXP(-LN(2)/35))/(LN(2)/35)*GH192*GI192*VLOOKUP('Données projet'!$B$17,Paramètres!$A$1:$I$89,3,0)*0.475*44/12</f>
        <v>92.397835365029067</v>
      </c>
      <c r="GM192" s="21">
        <f>EXP(-LN(2)/25)*GM191+(1-EXP(-LN(2)/25))/(LN(2)/25)*Calculateur!GH192*Calculateur!GJ192*VLOOKUP('Données projet'!$B$17,Paramètres!$A$1:$I$89,3,0)*0.475*44/12</f>
        <v>0</v>
      </c>
      <c r="GN192" s="21">
        <f>EXP(-LN(2)/2)*GN191+(1-EXP(-LN(2)/2))/(LN(2)/2)*GH192*GK192*VLOOKUP('Données projet'!$B$17,Paramètres!$A$1:$I$89,3,0)*0.475*44/12</f>
        <v>0</v>
      </c>
      <c r="GO192" s="21">
        <f t="shared" si="187"/>
        <v>92.397835365029067</v>
      </c>
      <c r="GP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328.00000000000006</v>
      </c>
      <c r="GV192" s="17">
        <f>GU192*VLOOKUP('Données projet'!$B$18,Paramètres!$A$1:$I$89,3,0)*VLOOKUP('Données projet'!$B$18,Paramètres!$A$1:$I$89,5,0)</f>
        <v>255.84000000000006</v>
      </c>
      <c r="GW192" s="13">
        <f t="shared" si="188"/>
        <v>61.834803371075836</v>
      </c>
      <c r="GX192" s="20">
        <f t="shared" si="189"/>
        <v>553.28361587129041</v>
      </c>
      <c r="GY192" s="59">
        <f t="shared" si="137"/>
        <v>843.26125451829421</v>
      </c>
      <c r="GZ192" s="59">
        <f ca="1">AVERAGE(OFFSET($GY$3,0,0,'Données projet'!$E$18+1,1))-AVERAGE(OFFSET($H$3,0,0,'Données projet'!$E$18+1,1))</f>
        <v>308.85018589589453</v>
      </c>
      <c r="HA192" s="59">
        <f t="shared" si="160"/>
        <v>302.59481222418219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>
        <f>EXP(-LN(2)/35)*HG191+(1-EXP(-LN(2)/35))/(LN(2)/35)*HC192*HD192*VLOOKUP('Données projet'!$B$18,Paramètres!$A$1:$I$89,3,0)*0.475*44/12</f>
        <v>4.67904285323963</v>
      </c>
      <c r="HH192" s="21">
        <f>EXP(-LN(2)/25)*HH191+(1-EXP(-LN(2)/25))/(LN(2)/25)*Calculateur!HC192*Calculateur!HE192*VLOOKUP('Données projet'!$B$18,Paramètres!$A$1:$I$89,3,0)*0.475*44/12</f>
        <v>0</v>
      </c>
      <c r="HI192" s="21">
        <f>EXP(-LN(2)/2)*HI191+(1-EXP(-LN(2)/2))/(LN(2)/2)*HC192*HF192*VLOOKUP('Données projet'!$B$18,Paramètres!$A$1:$I$89,3,0)*0.475*44/12</f>
        <v>0</v>
      </c>
      <c r="HJ192" s="22">
        <f t="shared" si="190"/>
        <v>4.67904285323963</v>
      </c>
    </row>
    <row r="193" spans="1:218" x14ac:dyDescent="0.35">
      <c r="A193" s="10">
        <f t="shared" si="161"/>
        <v>190</v>
      </c>
      <c r="B193" s="72">
        <f>'Scénario référence'!$B$16*5+'Scénario référence'!$B$17*0+'Scénario référence'!$B$18*5</f>
        <v>5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66">
        <f t="shared" si="110"/>
        <v>183.33333333333334</v>
      </c>
      <c r="I193" s="6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19.8100000000004</v>
      </c>
      <c r="O193" s="13">
        <f>N193*VLOOKUP('Données projet'!$B$9,Paramètres!$A$1:$I$89,3,0)*VLOOKUP('Données projet'!$B$9,Paramètres!$A$1:$I$89,5,0)</f>
        <v>17.924088000000364</v>
      </c>
      <c r="P193" s="13">
        <f t="shared" si="141"/>
        <v>5.9032212091029486</v>
      </c>
      <c r="Q193" s="20">
        <f t="shared" si="162"/>
        <v>41.499230205854936</v>
      </c>
      <c r="R193" s="59">
        <f t="shared" si="109"/>
        <v>331.53508265345721</v>
      </c>
      <c r="S193" s="59">
        <f ca="1">AVERAGE(OFFSET($R$3,0,0,'Données projet'!$E$9+1,1))-AVERAGE(OFFSET($H$3,0,0,'Données projet'!$E$9+1,1))</f>
        <v>567.42635821507474</v>
      </c>
      <c r="T193" s="59">
        <f t="shared" si="142"/>
        <v>299.04735309930152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86.130922457325681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86.130922457325681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19.8100000000004</v>
      </c>
      <c r="AJ193" s="13">
        <f>AI193*VLOOKUP('Données projet'!$B$10,Paramètres!$A$1:$I$89,3,0)*VLOOKUP('Données projet'!$B$10,Paramètres!$A$1:$I$89,5,0)</f>
        <v>20.08734000000041</v>
      </c>
      <c r="AK193" s="13">
        <f t="shared" si="164"/>
        <v>6.5285137703520215</v>
      </c>
      <c r="AL193" s="20">
        <f t="shared" si="165"/>
        <v>46.355945316697152</v>
      </c>
      <c r="AM193" s="59">
        <f t="shared" si="113"/>
        <v>336.39179776429944</v>
      </c>
      <c r="AN193" s="59">
        <f ca="1">AVERAGE(OFFSET($AM$3,0,0,'Données projet'!$E$10+1,1))-AVERAGE(OFFSET($H$3,0,0,'Données projet'!$E$10+1,1))</f>
        <v>626.09203985591455</v>
      </c>
      <c r="AO193" s="59">
        <f t="shared" si="144"/>
        <v>327.65191296575199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96.526033788382207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96.526033788382207</v>
      </c>
      <c r="AY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404.00000000000017</v>
      </c>
      <c r="BE193" s="13">
        <f>BD193*VLOOKUP('Données projet'!$B$11,Paramètres!$A$1:$I$89,3,0)*VLOOKUP('Données projet'!$B$11,Paramètres!$A$1:$I$89,5,0)</f>
        <v>346.63200000000018</v>
      </c>
      <c r="BF193" s="13">
        <f t="shared" si="167"/>
        <v>80.868615263336864</v>
      </c>
      <c r="BG193" s="20">
        <f t="shared" si="168"/>
        <v>744.56357158364528</v>
      </c>
      <c r="BH193" s="59">
        <f t="shared" si="116"/>
        <v>1034.5994240312475</v>
      </c>
      <c r="BI193" s="59">
        <f ca="1">AVERAGE(OFFSET($BH$3,0,0,'Données projet'!$E$11+1,1))-AVERAGE(OFFSET($H$3,0,0,'Données projet'!$E$11+1,1))</f>
        <v>481.23392184981651</v>
      </c>
      <c r="BJ193" s="59">
        <f t="shared" si="146"/>
        <v>275.88160405468193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24.988928630938105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24.988928630938105</v>
      </c>
      <c r="BT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5.2499999999990337</v>
      </c>
      <c r="BZ193" s="13">
        <f>BY193*VLOOKUP('Données projet'!$B$12,Paramètres!$A$1:$I$89,3,0)*VLOOKUP('Données projet'!$B$12,Paramètres!$A$1:$I$89,5,0)</f>
        <v>2.4569999999995478</v>
      </c>
      <c r="CA193" s="13">
        <f t="shared" si="170"/>
        <v>1.0197977774625564</v>
      </c>
      <c r="CB193" s="20">
        <f t="shared" si="171"/>
        <v>6.0554227957464972</v>
      </c>
      <c r="CC193" s="59">
        <f t="shared" si="119"/>
        <v>296.09127524334878</v>
      </c>
      <c r="CD193" s="59">
        <f ca="1">AVERAGE(OFFSET($CC$3,0,0,'Données projet'!$E$12+1,1))-AVERAGE(OFFSET($H$3,0,0,'Données projet'!$E$12+1,1))</f>
        <v>331.86732359395467</v>
      </c>
      <c r="CE193" s="59">
        <f t="shared" si="148"/>
        <v>208.64489375183106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48.835839371401413</v>
      </c>
      <c r="CL193" s="21">
        <f>EXP(-LN(2)/25)*CL192+(1-EXP(-LN(2)/25))/(LN(2)/25)*Calculateur!CG193*Calculateur!CI193*VLOOKUP('Données projet'!$B$12,Paramètres!$A$1:$I$89,3,0)*0.475*44/12</f>
        <v>0</v>
      </c>
      <c r="CM193" s="21">
        <f>EXP(-LN(2)/2)*CM192+(1-EXP(-LN(2)/2))/(LN(2)/2)*CG193*CJ193*VLOOKUP('Données projet'!$B$12,Paramètres!$A$1:$I$89,3,0)*0.475*44/12</f>
        <v>0</v>
      </c>
      <c r="CN193" s="22">
        <f t="shared" si="172"/>
        <v>48.835839371401413</v>
      </c>
      <c r="CO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319</v>
      </c>
      <c r="CU193" s="17">
        <f>CT193*VLOOKUP('Données projet'!$B$13,Paramètres!$A$1:$I$89,3,0)*VLOOKUP('Données projet'!$B$13,Paramètres!$A$1:$I$89,5,0)</f>
        <v>233.89079999999998</v>
      </c>
      <c r="CV193" s="13">
        <f t="shared" si="173"/>
        <v>57.123140349023068</v>
      </c>
      <c r="CW193" s="20">
        <f t="shared" si="174"/>
        <v>506.84927944121517</v>
      </c>
      <c r="CX193" s="59">
        <f t="shared" si="122"/>
        <v>796.88513188881745</v>
      </c>
      <c r="CY193" s="59">
        <f ca="1">AVERAGE(OFFSET($CX$3,0,0,'Données projet'!$E$13+1,1))-AVERAGE(OFFSET($H$3,0,0,'Données projet'!$E$13+1,1))</f>
        <v>352.45777291109863</v>
      </c>
      <c r="CZ193" s="59">
        <f t="shared" si="150"/>
        <v>340.92165104349181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4.5006812983582662</v>
      </c>
      <c r="DG193" s="21">
        <f>EXP(-LN(2)/25)*DG192+(1-EXP(-LN(2)/25))/(LN(2)/25)*Calculateur!DB193*Calculateur!DD193*VLOOKUP('Données projet'!$B$13,Paramètres!$A$1:$I$89,3,0)*0.475*44/12</f>
        <v>0</v>
      </c>
      <c r="DH193" s="21">
        <f>EXP(-LN(2)/2)*DH192+(1-EXP(-LN(2)/2))/(LN(2)/2)*DB193*DE193*VLOOKUP('Données projet'!$B$13,Paramètres!$A$1:$I$89,3,0)*0.475*44/12</f>
        <v>0</v>
      </c>
      <c r="DI193" s="22">
        <f t="shared" si="175"/>
        <v>4.5006812983582662</v>
      </c>
      <c r="DJ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19.8100000000004</v>
      </c>
      <c r="DP193" s="17">
        <f>DO193*VLOOKUP('Données projet'!$B$14,Paramètres!$A$1:$I$89,3,0)*VLOOKUP('Données projet'!$B$14,Paramètres!$A$1:$I$89,5,0)</f>
        <v>13.288548000000269</v>
      </c>
      <c r="DQ193" s="13">
        <f t="shared" si="176"/>
        <v>4.531654695205642</v>
      </c>
      <c r="DR193" s="20">
        <f t="shared" si="177"/>
        <v>31.036853027483627</v>
      </c>
      <c r="DS193" s="59">
        <f t="shared" si="125"/>
        <v>321.07270547508591</v>
      </c>
      <c r="DT193" s="59">
        <f ca="1">AVERAGE(OFFSET($DS$3,0,0,'Données projet'!$E$14+1,1))-AVERAGE(OFFSET($H$3,0,0,'Données projet'!$E$14+1,1))</f>
        <v>441.20130048888439</v>
      </c>
      <c r="DU193" s="59">
        <f t="shared" si="152"/>
        <v>237.47732532183946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78.705842935142371</v>
      </c>
      <c r="EB193" s="21">
        <f>EXP(-LN(2)/25)*EB192+(1-EXP(-LN(2)/25))/(LN(2)/25)*Calculateur!DW193*Calculateur!DY193*VLOOKUP('Données projet'!$B$14,Paramètres!$A$1:$I$89,3,0)*0.475*44/12</f>
        <v>0</v>
      </c>
      <c r="EC193" s="21">
        <f>EXP(-LN(2)/2)*EC192+(1-EXP(-LN(2)/2))/(LN(2)/2)*DW193*DZ193*VLOOKUP('Données projet'!$B$14,Paramètres!$A$1:$I$89,3,0)*0.475*44/12</f>
        <v>0</v>
      </c>
      <c r="ED193" s="22">
        <f t="shared" si="178"/>
        <v>78.705842935142371</v>
      </c>
      <c r="EE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319</v>
      </c>
      <c r="EK193" s="17">
        <f>EJ193*VLOOKUP('Données projet'!$B$15,Paramètres!$A$1:$I$89,3,0)*VLOOKUP('Données projet'!$B$15,Paramètres!$A$1:$I$89,5,0)</f>
        <v>253.79640000000001</v>
      </c>
      <c r="EL193" s="13">
        <f t="shared" si="179"/>
        <v>61.39816832228076</v>
      </c>
      <c r="EM193" s="20">
        <f t="shared" si="180"/>
        <v>548.96387316130563</v>
      </c>
      <c r="EN193" s="59">
        <f t="shared" si="128"/>
        <v>838.99972560890797</v>
      </c>
      <c r="EO193" s="59">
        <f ca="1">AVERAGE(OFFSET($EN$3,0,0,'Données projet'!$E$15+1,1))-AVERAGE(OFFSET($H$3,0,0,'Données projet'!$E$15+1,1))</f>
        <v>377.27600411578322</v>
      </c>
      <c r="EP193" s="59">
        <f t="shared" si="154"/>
        <v>364.58250627635425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>
        <f>EXP(-LN(2)/35)*EV192+(1-EXP(-LN(2)/35))/(LN(2)/35)*ER193*ES193*VLOOKUP('Données projet'!$B$15,Paramètres!$A$1:$I$89,3,0)*0.475*44/12</f>
        <v>6.0194663777646662</v>
      </c>
      <c r="EW193" s="21">
        <f>EXP(-LN(2)/25)*EW192+(1-EXP(-LN(2)/25))/(LN(2)/25)*Calculateur!ER193*Calculateur!ET193*VLOOKUP('Données projet'!$B$15,Paramètres!$A$1:$I$89,3,0)*0.475*44/12</f>
        <v>0</v>
      </c>
      <c r="EX193" s="21">
        <f>EXP(-LN(2)/2)*EX192+(1-EXP(-LN(2)/2))/(LN(2)/2)*ER193*EU193*VLOOKUP('Données projet'!$B$15,Paramètres!$A$1:$I$89,3,0)*0.475*44/12</f>
        <v>0</v>
      </c>
      <c r="EY193" s="22">
        <f t="shared" si="181"/>
        <v>6.0194663777646662</v>
      </c>
      <c r="EZ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319</v>
      </c>
      <c r="FF193" s="17">
        <f>FE193*VLOOKUP('Données projet'!$B$16,Paramètres!$A$1:$I$89,3,0)*VLOOKUP('Données projet'!$B$16,Paramètres!$A$1:$I$89,5,0)</f>
        <v>258.77280000000002</v>
      </c>
      <c r="FG193" s="13">
        <f t="shared" si="182"/>
        <v>62.460716522234691</v>
      </c>
      <c r="FH193" s="20">
        <f t="shared" si="183"/>
        <v>559.48170794289206</v>
      </c>
      <c r="FI193" s="59">
        <f t="shared" si="131"/>
        <v>849.51756039049428</v>
      </c>
      <c r="FJ193" s="59">
        <f ca="1">AVERAGE(OFFSET($FI$3,0,0,'Données projet'!$E$16+1,1))-AVERAGE(OFFSET($H$3,0,0,'Données projet'!$E$16+1,1))</f>
        <v>383.47399633251354</v>
      </c>
      <c r="FK193" s="59">
        <f t="shared" si="156"/>
        <v>370.49129421395628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>
        <f>EXP(-LN(2)/35)*FQ192+(1-EXP(-LN(2)/35))/(LN(2)/35)*FM193*FN193*VLOOKUP('Données projet'!$B$16,Paramètres!$A$1:$I$89,3,0)*0.475*44/12</f>
        <v>6.1374951302698619</v>
      </c>
      <c r="FR193" s="21">
        <f>EXP(-LN(2)/25)*FR192+(1-EXP(-LN(2)/25))/(LN(2)/25)*Calculateur!FM193*Calculateur!FO193*VLOOKUP('Données projet'!$B$16,Paramètres!$A$1:$I$89,3,0)*0.475*44/12</f>
        <v>0</v>
      </c>
      <c r="FS193" s="21">
        <f>EXP(-LN(2)/2)*FS192+(1-EXP(-LN(2)/2))/(LN(2)/2)*FM193*FP193*VLOOKUP('Données projet'!$B$16,Paramètres!$A$1:$I$89,3,0)*0.475*44/12</f>
        <v>0</v>
      </c>
      <c r="FT193" s="22">
        <f t="shared" si="184"/>
        <v>6.1374951302698619</v>
      </c>
      <c r="FU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19.8100000000004</v>
      </c>
      <c r="GA193" s="17">
        <f>FZ193*VLOOKUP('Données projet'!$B$17,Paramètres!$A$1:$I$89,3,0)*VLOOKUP('Données projet'!$B$17,Paramètres!$A$1:$I$89,5,0)</f>
        <v>18.851196000000382</v>
      </c>
      <c r="GB193" s="13">
        <f t="shared" si="185"/>
        <v>6.172221809210666</v>
      </c>
      <c r="GC193" s="20">
        <f t="shared" si="186"/>
        <v>43.582452684375909</v>
      </c>
      <c r="GD193" s="59">
        <f t="shared" si="134"/>
        <v>333.61830513197822</v>
      </c>
      <c r="GE193" s="59">
        <f ca="1">AVERAGE(OFFSET($GD$3,0,0,'Données projet'!$E$17+1,1))-AVERAGE(OFFSET($H$3,0,0,'Données projet'!$E$17+1,1))</f>
        <v>592.58528889137358</v>
      </c>
      <c r="GF193" s="59">
        <f t="shared" si="158"/>
        <v>311.31528020403709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>
        <f>EXP(-LN(2)/35)*GL192+(1-EXP(-LN(2)/35))/(LN(2)/35)*GH193*GI193*VLOOKUP('Données projet'!$B$17,Paramètres!$A$1:$I$89,3,0)*0.475*44/12</f>
        <v>90.585970170635619</v>
      </c>
      <c r="GM193" s="21">
        <f>EXP(-LN(2)/25)*GM192+(1-EXP(-LN(2)/25))/(LN(2)/25)*Calculateur!GH193*Calculateur!GJ193*VLOOKUP('Données projet'!$B$17,Paramètres!$A$1:$I$89,3,0)*0.475*44/12</f>
        <v>0</v>
      </c>
      <c r="GN193" s="21">
        <f>EXP(-LN(2)/2)*GN192+(1-EXP(-LN(2)/2))/(LN(2)/2)*GH193*GK193*VLOOKUP('Données projet'!$B$17,Paramètres!$A$1:$I$89,3,0)*0.475*44/12</f>
        <v>0</v>
      </c>
      <c r="GO193" s="21">
        <f t="shared" si="187"/>
        <v>90.585970170635619</v>
      </c>
      <c r="GP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328.00000000000006</v>
      </c>
      <c r="GV193" s="17">
        <f>GU193*VLOOKUP('Données projet'!$B$18,Paramètres!$A$1:$I$89,3,0)*VLOOKUP('Données projet'!$B$18,Paramètres!$A$1:$I$89,5,0)</f>
        <v>255.84000000000006</v>
      </c>
      <c r="GW193" s="13">
        <f t="shared" si="188"/>
        <v>61.834803371075836</v>
      </c>
      <c r="GX193" s="20">
        <f t="shared" si="189"/>
        <v>553.28361587129041</v>
      </c>
      <c r="GY193" s="59">
        <f t="shared" si="137"/>
        <v>843.31946831889263</v>
      </c>
      <c r="GZ193" s="59">
        <f ca="1">AVERAGE(OFFSET($GY$3,0,0,'Données projet'!$E$18+1,1))-AVERAGE(OFFSET($H$3,0,0,'Données projet'!$E$18+1,1))</f>
        <v>308.85018589589453</v>
      </c>
      <c r="HA193" s="59">
        <f t="shared" si="160"/>
        <v>302.59481222418219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>
        <f>EXP(-LN(2)/35)*HG192+(1-EXP(-LN(2)/35))/(LN(2)/35)*HC193*HD193*VLOOKUP('Données projet'!$B$18,Paramètres!$A$1:$I$89,3,0)*0.475*44/12</f>
        <v>4.5872896768219391</v>
      </c>
      <c r="HH193" s="21">
        <f>EXP(-LN(2)/25)*HH192+(1-EXP(-LN(2)/25))/(LN(2)/25)*Calculateur!HC193*Calculateur!HE193*VLOOKUP('Données projet'!$B$18,Paramètres!$A$1:$I$89,3,0)*0.475*44/12</f>
        <v>0</v>
      </c>
      <c r="HI193" s="21">
        <f>EXP(-LN(2)/2)*HI192+(1-EXP(-LN(2)/2))/(LN(2)/2)*HC193*HF193*VLOOKUP('Données projet'!$B$18,Paramètres!$A$1:$I$89,3,0)*0.475*44/12</f>
        <v>0</v>
      </c>
      <c r="HJ193" s="22">
        <f t="shared" si="190"/>
        <v>4.5872896768219391</v>
      </c>
    </row>
    <row r="194" spans="1:218" x14ac:dyDescent="0.35">
      <c r="A194" s="10">
        <f t="shared" si="161"/>
        <v>191</v>
      </c>
      <c r="B194" s="72">
        <f>'Scénario référence'!$B$16*5+'Scénario référence'!$B$17*0+'Scénario référence'!$B$18*5</f>
        <v>5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66">
        <f t="shared" si="110"/>
        <v>183.33333333333334</v>
      </c>
      <c r="I194" s="6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19.8100000000004</v>
      </c>
      <c r="O194" s="13">
        <f>N194*VLOOKUP('Données projet'!$B$9,Paramètres!$A$1:$I$89,3,0)*VLOOKUP('Données projet'!$B$9,Paramètres!$A$1:$I$89,5,0)</f>
        <v>17.924088000000364</v>
      </c>
      <c r="P194" s="13">
        <f t="shared" si="141"/>
        <v>5.9032212091029486</v>
      </c>
      <c r="Q194" s="20">
        <f t="shared" si="162"/>
        <v>41.499230205854936</v>
      </c>
      <c r="R194" s="59">
        <f t="shared" si="109"/>
        <v>331.59228657476177</v>
      </c>
      <c r="S194" s="59">
        <f ca="1">AVERAGE(OFFSET($R$3,0,0,'Données projet'!$E$9+1,1))-AVERAGE(OFFSET($H$3,0,0,'Données projet'!$E$9+1,1))</f>
        <v>567.42635821507474</v>
      </c>
      <c r="T194" s="59">
        <f t="shared" si="142"/>
        <v>299.04735309930152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84.441947602612856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84.441947602612856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19.8100000000004</v>
      </c>
      <c r="AJ194" s="13">
        <f>AI194*VLOOKUP('Données projet'!$B$10,Paramètres!$A$1:$I$89,3,0)*VLOOKUP('Données projet'!$B$10,Paramètres!$A$1:$I$89,5,0)</f>
        <v>20.08734000000041</v>
      </c>
      <c r="AK194" s="13">
        <f t="shared" si="164"/>
        <v>6.5285137703520215</v>
      </c>
      <c r="AL194" s="20">
        <f t="shared" si="165"/>
        <v>46.355945316697152</v>
      </c>
      <c r="AM194" s="59">
        <f t="shared" si="113"/>
        <v>336.449001685604</v>
      </c>
      <c r="AN194" s="59">
        <f ca="1">AVERAGE(OFFSET($AM$3,0,0,'Données projet'!$E$10+1,1))-AVERAGE(OFFSET($H$3,0,0,'Données projet'!$E$10+1,1))</f>
        <v>626.09203985591455</v>
      </c>
      <c r="AO194" s="59">
        <f t="shared" si="144"/>
        <v>327.65191296575199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94.633217140859216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94.633217140859216</v>
      </c>
      <c r="AY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404.00000000000017</v>
      </c>
      <c r="BE194" s="13">
        <f>BD194*VLOOKUP('Données projet'!$B$11,Paramètres!$A$1:$I$89,3,0)*VLOOKUP('Données projet'!$B$11,Paramètres!$A$1:$I$89,5,0)</f>
        <v>346.63200000000018</v>
      </c>
      <c r="BF194" s="13">
        <f t="shared" si="167"/>
        <v>80.868615263336864</v>
      </c>
      <c r="BG194" s="20">
        <f t="shared" si="168"/>
        <v>744.56357158364528</v>
      </c>
      <c r="BH194" s="59">
        <f t="shared" si="116"/>
        <v>1034.6566279525521</v>
      </c>
      <c r="BI194" s="59">
        <f ca="1">AVERAGE(OFFSET($BH$3,0,0,'Données projet'!$E$11+1,1))-AVERAGE(OFFSET($H$3,0,0,'Données projet'!$E$11+1,1))</f>
        <v>481.23392184981651</v>
      </c>
      <c r="BJ194" s="59">
        <f t="shared" si="146"/>
        <v>275.88160405468193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24.498910982226878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24.498910982226878</v>
      </c>
      <c r="BT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5.2499999999990337</v>
      </c>
      <c r="BZ194" s="13">
        <f>BY194*VLOOKUP('Données projet'!$B$12,Paramètres!$A$1:$I$89,3,0)*VLOOKUP('Données projet'!$B$12,Paramètres!$A$1:$I$89,5,0)</f>
        <v>2.4569999999995478</v>
      </c>
      <c r="CA194" s="13">
        <f t="shared" si="170"/>
        <v>1.0197977774625564</v>
      </c>
      <c r="CB194" s="20">
        <f t="shared" si="171"/>
        <v>6.0554227957464972</v>
      </c>
      <c r="CC194" s="59">
        <f t="shared" si="119"/>
        <v>296.14847916465334</v>
      </c>
      <c r="CD194" s="59">
        <f ca="1">AVERAGE(OFFSET($CC$3,0,0,'Données projet'!$E$12+1,1))-AVERAGE(OFFSET($H$3,0,0,'Données projet'!$E$12+1,1))</f>
        <v>331.86732359395467</v>
      </c>
      <c r="CE194" s="59">
        <f t="shared" si="148"/>
        <v>208.64489375183106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47.878198348249036</v>
      </c>
      <c r="CL194" s="21">
        <f>EXP(-LN(2)/25)*CL193+(1-EXP(-LN(2)/25))/(LN(2)/25)*Calculateur!CG194*Calculateur!CI194*VLOOKUP('Données projet'!$B$12,Paramètres!$A$1:$I$89,3,0)*0.475*44/12</f>
        <v>0</v>
      </c>
      <c r="CM194" s="21">
        <f>EXP(-LN(2)/2)*CM193+(1-EXP(-LN(2)/2))/(LN(2)/2)*CG194*CJ194*VLOOKUP('Données projet'!$B$12,Paramètres!$A$1:$I$89,3,0)*0.475*44/12</f>
        <v>0</v>
      </c>
      <c r="CN194" s="22">
        <f t="shared" si="172"/>
        <v>47.878198348249036</v>
      </c>
      <c r="CO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319</v>
      </c>
      <c r="CU194" s="17">
        <f>CT194*VLOOKUP('Données projet'!$B$13,Paramètres!$A$1:$I$89,3,0)*VLOOKUP('Données projet'!$B$13,Paramètres!$A$1:$I$89,5,0)</f>
        <v>233.89079999999998</v>
      </c>
      <c r="CV194" s="13">
        <f t="shared" si="173"/>
        <v>57.123140349023068</v>
      </c>
      <c r="CW194" s="20">
        <f t="shared" si="174"/>
        <v>506.84927944121517</v>
      </c>
      <c r="CX194" s="59">
        <f t="shared" si="122"/>
        <v>796.94233581012202</v>
      </c>
      <c r="CY194" s="59">
        <f ca="1">AVERAGE(OFFSET($CX$3,0,0,'Données projet'!$E$13+1,1))-AVERAGE(OFFSET($H$3,0,0,'Données projet'!$E$13+1,1))</f>
        <v>352.45777291109863</v>
      </c>
      <c r="CZ194" s="59">
        <f t="shared" si="150"/>
        <v>340.92165104349181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4.4124256832419917</v>
      </c>
      <c r="DG194" s="21">
        <f>EXP(-LN(2)/25)*DG193+(1-EXP(-LN(2)/25))/(LN(2)/25)*Calculateur!DB194*Calculateur!DD194*VLOOKUP('Données projet'!$B$13,Paramètres!$A$1:$I$89,3,0)*0.475*44/12</f>
        <v>0</v>
      </c>
      <c r="DH194" s="21">
        <f>EXP(-LN(2)/2)*DH193+(1-EXP(-LN(2)/2))/(LN(2)/2)*DB194*DE194*VLOOKUP('Données projet'!$B$13,Paramètres!$A$1:$I$89,3,0)*0.475*44/12</f>
        <v>0</v>
      </c>
      <c r="DI194" s="22">
        <f t="shared" si="175"/>
        <v>4.4124256832419917</v>
      </c>
      <c r="DJ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19.8100000000004</v>
      </c>
      <c r="DP194" s="17">
        <f>DO194*VLOOKUP('Données projet'!$B$14,Paramètres!$A$1:$I$89,3,0)*VLOOKUP('Données projet'!$B$14,Paramètres!$A$1:$I$89,5,0)</f>
        <v>13.288548000000269</v>
      </c>
      <c r="DQ194" s="13">
        <f t="shared" si="176"/>
        <v>4.531654695205642</v>
      </c>
      <c r="DR194" s="20">
        <f t="shared" si="177"/>
        <v>31.036853027483627</v>
      </c>
      <c r="DS194" s="59">
        <f t="shared" si="125"/>
        <v>321.12990939639047</v>
      </c>
      <c r="DT194" s="59">
        <f ca="1">AVERAGE(OFFSET($DS$3,0,0,'Données projet'!$E$14+1,1))-AVERAGE(OFFSET($H$3,0,0,'Données projet'!$E$14+1,1))</f>
        <v>441.20130048888439</v>
      </c>
      <c r="DU194" s="59">
        <f t="shared" si="152"/>
        <v>237.47732532183946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77.162469361008235</v>
      </c>
      <c r="EB194" s="21">
        <f>EXP(-LN(2)/25)*EB193+(1-EXP(-LN(2)/25))/(LN(2)/25)*Calculateur!DW194*Calculateur!DY194*VLOOKUP('Données projet'!$B$14,Paramètres!$A$1:$I$89,3,0)*0.475*44/12</f>
        <v>0</v>
      </c>
      <c r="EC194" s="21">
        <f>EXP(-LN(2)/2)*EC193+(1-EXP(-LN(2)/2))/(LN(2)/2)*DW194*DZ194*VLOOKUP('Données projet'!$B$14,Paramètres!$A$1:$I$89,3,0)*0.475*44/12</f>
        <v>0</v>
      </c>
      <c r="ED194" s="22">
        <f t="shared" si="178"/>
        <v>77.162469361008235</v>
      </c>
      <c r="EE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319</v>
      </c>
      <c r="EK194" s="17">
        <f>EJ194*VLOOKUP('Données projet'!$B$15,Paramètres!$A$1:$I$89,3,0)*VLOOKUP('Données projet'!$B$15,Paramètres!$A$1:$I$89,5,0)</f>
        <v>253.79640000000001</v>
      </c>
      <c r="EL194" s="13">
        <f t="shared" si="179"/>
        <v>61.39816832228076</v>
      </c>
      <c r="EM194" s="20">
        <f t="shared" si="180"/>
        <v>548.96387316130563</v>
      </c>
      <c r="EN194" s="59">
        <f t="shared" si="128"/>
        <v>839.05692953021253</v>
      </c>
      <c r="EO194" s="59">
        <f ca="1">AVERAGE(OFFSET($EN$3,0,0,'Données projet'!$E$15+1,1))-AVERAGE(OFFSET($H$3,0,0,'Données projet'!$E$15+1,1))</f>
        <v>377.27600411578322</v>
      </c>
      <c r="EP194" s="59">
        <f t="shared" si="154"/>
        <v>364.58250627635425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>
        <f>EXP(-LN(2)/35)*EV193+(1-EXP(-LN(2)/35))/(LN(2)/35)*ER194*ES194*VLOOKUP('Données projet'!$B$15,Paramètres!$A$1:$I$89,3,0)*0.475*44/12</f>
        <v>5.90142831360866</v>
      </c>
      <c r="EW194" s="21">
        <f>EXP(-LN(2)/25)*EW193+(1-EXP(-LN(2)/25))/(LN(2)/25)*Calculateur!ER194*Calculateur!ET194*VLOOKUP('Données projet'!$B$15,Paramètres!$A$1:$I$89,3,0)*0.475*44/12</f>
        <v>0</v>
      </c>
      <c r="EX194" s="21">
        <f>EXP(-LN(2)/2)*EX193+(1-EXP(-LN(2)/2))/(LN(2)/2)*ER194*EU194*VLOOKUP('Données projet'!$B$15,Paramètres!$A$1:$I$89,3,0)*0.475*44/12</f>
        <v>0</v>
      </c>
      <c r="EY194" s="22">
        <f t="shared" si="181"/>
        <v>5.90142831360866</v>
      </c>
      <c r="EZ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319</v>
      </c>
      <c r="FF194" s="17">
        <f>FE194*VLOOKUP('Données projet'!$B$16,Paramètres!$A$1:$I$89,3,0)*VLOOKUP('Données projet'!$B$16,Paramètres!$A$1:$I$89,5,0)</f>
        <v>258.77280000000002</v>
      </c>
      <c r="FG194" s="13">
        <f t="shared" si="182"/>
        <v>62.460716522234691</v>
      </c>
      <c r="FH194" s="20">
        <f t="shared" si="183"/>
        <v>559.48170794289206</v>
      </c>
      <c r="FI194" s="59">
        <f t="shared" si="131"/>
        <v>849.57476431179884</v>
      </c>
      <c r="FJ194" s="59">
        <f ca="1">AVERAGE(OFFSET($FI$3,0,0,'Données projet'!$E$16+1,1))-AVERAGE(OFFSET($H$3,0,0,'Données projet'!$E$16+1,1))</f>
        <v>383.47399633251354</v>
      </c>
      <c r="FK194" s="59">
        <f t="shared" si="156"/>
        <v>370.49129421395628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>
        <f>EXP(-LN(2)/35)*FQ193+(1-EXP(-LN(2)/35))/(LN(2)/35)*FM194*FN194*VLOOKUP('Données projet'!$B$16,Paramètres!$A$1:$I$89,3,0)*0.475*44/12</f>
        <v>6.0171425942676589</v>
      </c>
      <c r="FR194" s="21">
        <f>EXP(-LN(2)/25)*FR193+(1-EXP(-LN(2)/25))/(LN(2)/25)*Calculateur!FM194*Calculateur!FO194*VLOOKUP('Données projet'!$B$16,Paramètres!$A$1:$I$89,3,0)*0.475*44/12</f>
        <v>0</v>
      </c>
      <c r="FS194" s="21">
        <f>EXP(-LN(2)/2)*FS193+(1-EXP(-LN(2)/2))/(LN(2)/2)*FM194*FP194*VLOOKUP('Données projet'!$B$16,Paramètres!$A$1:$I$89,3,0)*0.475*44/12</f>
        <v>0</v>
      </c>
      <c r="FT194" s="22">
        <f t="shared" si="184"/>
        <v>6.0171425942676589</v>
      </c>
      <c r="FU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19.8100000000004</v>
      </c>
      <c r="GA194" s="17">
        <f>FZ194*VLOOKUP('Données projet'!$B$17,Paramètres!$A$1:$I$89,3,0)*VLOOKUP('Données projet'!$B$17,Paramètres!$A$1:$I$89,5,0)</f>
        <v>18.851196000000382</v>
      </c>
      <c r="GB194" s="13">
        <f t="shared" si="185"/>
        <v>6.172221809210666</v>
      </c>
      <c r="GC194" s="20">
        <f t="shared" si="186"/>
        <v>43.582452684375909</v>
      </c>
      <c r="GD194" s="59">
        <f t="shared" si="134"/>
        <v>333.67550905328278</v>
      </c>
      <c r="GE194" s="59">
        <f ca="1">AVERAGE(OFFSET($GD$3,0,0,'Données projet'!$E$17+1,1))-AVERAGE(OFFSET($H$3,0,0,'Données projet'!$E$17+1,1))</f>
        <v>592.58528889137358</v>
      </c>
      <c r="GF194" s="59">
        <f t="shared" si="158"/>
        <v>311.31528020403709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>
        <f>EXP(-LN(2)/35)*GL193+(1-EXP(-LN(2)/35))/(LN(2)/35)*GH194*GI194*VLOOKUP('Données projet'!$B$17,Paramètres!$A$1:$I$89,3,0)*0.475*44/12</f>
        <v>88.809634547575584</v>
      </c>
      <c r="GM194" s="21">
        <f>EXP(-LN(2)/25)*GM193+(1-EXP(-LN(2)/25))/(LN(2)/25)*Calculateur!GH194*Calculateur!GJ194*VLOOKUP('Données projet'!$B$17,Paramètres!$A$1:$I$89,3,0)*0.475*44/12</f>
        <v>0</v>
      </c>
      <c r="GN194" s="21">
        <f>EXP(-LN(2)/2)*GN193+(1-EXP(-LN(2)/2))/(LN(2)/2)*GH194*GK194*VLOOKUP('Données projet'!$B$17,Paramètres!$A$1:$I$89,3,0)*0.475*44/12</f>
        <v>0</v>
      </c>
      <c r="GO194" s="21">
        <f t="shared" si="187"/>
        <v>88.809634547575584</v>
      </c>
      <c r="GP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328.00000000000006</v>
      </c>
      <c r="GV194" s="17">
        <f>GU194*VLOOKUP('Données projet'!$B$18,Paramètres!$A$1:$I$89,3,0)*VLOOKUP('Données projet'!$B$18,Paramètres!$A$1:$I$89,5,0)</f>
        <v>255.84000000000006</v>
      </c>
      <c r="GW194" s="13">
        <f t="shared" si="188"/>
        <v>61.834803371075836</v>
      </c>
      <c r="GX194" s="20">
        <f t="shared" si="189"/>
        <v>553.28361587129041</v>
      </c>
      <c r="GY194" s="59">
        <f t="shared" si="137"/>
        <v>843.37667224019719</v>
      </c>
      <c r="GZ194" s="59">
        <f ca="1">AVERAGE(OFFSET($GY$3,0,0,'Données projet'!$E$18+1,1))-AVERAGE(OFFSET($H$3,0,0,'Données projet'!$E$18+1,1))</f>
        <v>308.85018589589453</v>
      </c>
      <c r="HA194" s="59">
        <f t="shared" si="160"/>
        <v>302.59481222418219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>
        <f>EXP(-LN(2)/35)*HG193+(1-EXP(-LN(2)/35))/(LN(2)/35)*HC194*HD194*VLOOKUP('Données projet'!$B$18,Paramètres!$A$1:$I$89,3,0)*0.475*44/12</f>
        <v>4.4973357242298873</v>
      </c>
      <c r="HH194" s="21">
        <f>EXP(-LN(2)/25)*HH193+(1-EXP(-LN(2)/25))/(LN(2)/25)*Calculateur!HC194*Calculateur!HE194*VLOOKUP('Données projet'!$B$18,Paramètres!$A$1:$I$89,3,0)*0.475*44/12</f>
        <v>0</v>
      </c>
      <c r="HI194" s="21">
        <f>EXP(-LN(2)/2)*HI193+(1-EXP(-LN(2)/2))/(LN(2)/2)*HC194*HF194*VLOOKUP('Données projet'!$B$18,Paramètres!$A$1:$I$89,3,0)*0.475*44/12</f>
        <v>0</v>
      </c>
      <c r="HJ194" s="22">
        <f t="shared" si="190"/>
        <v>4.4973357242298873</v>
      </c>
    </row>
    <row r="195" spans="1:218" x14ac:dyDescent="0.35">
      <c r="A195" s="10">
        <f t="shared" si="161"/>
        <v>192</v>
      </c>
      <c r="B195" s="72">
        <f>'Scénario référence'!$B$16*5+'Scénario référence'!$B$17*0+'Scénario référence'!$B$18*5</f>
        <v>5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66">
        <f t="shared" si="110"/>
        <v>183.33333333333334</v>
      </c>
      <c r="I195" s="6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19.8100000000004</v>
      </c>
      <c r="O195" s="13">
        <f>N195*VLOOKUP('Données projet'!$B$9,Paramètres!$A$1:$I$89,3,0)*VLOOKUP('Données projet'!$B$9,Paramètres!$A$1:$I$89,5,0)</f>
        <v>17.924088000000364</v>
      </c>
      <c r="P195" s="13">
        <f t="shared" si="141"/>
        <v>5.9032212091029486</v>
      </c>
      <c r="Q195" s="20">
        <f t="shared" si="162"/>
        <v>41.499230205854936</v>
      </c>
      <c r="R195" s="59">
        <f t="shared" ref="R195:R203" si="191">Q195+(I195+J195)*44/12</f>
        <v>331.64849813592059</v>
      </c>
      <c r="S195" s="59">
        <f ca="1">AVERAGE(OFFSET($R$3,0,0,'Données projet'!$E$9+1,1))-AVERAGE(OFFSET($H$3,0,0,'Données projet'!$E$9+1,1))</f>
        <v>567.42635821507474</v>
      </c>
      <c r="T195" s="59">
        <f t="shared" si="142"/>
        <v>299.04735309930152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82.78609251462801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82.78609251462801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19.8100000000004</v>
      </c>
      <c r="AJ195" s="13">
        <f>AI195*VLOOKUP('Données projet'!$B$10,Paramètres!$A$1:$I$89,3,0)*VLOOKUP('Données projet'!$B$10,Paramètres!$A$1:$I$89,5,0)</f>
        <v>20.08734000000041</v>
      </c>
      <c r="AK195" s="13">
        <f t="shared" si="164"/>
        <v>6.5285137703520215</v>
      </c>
      <c r="AL195" s="20">
        <f t="shared" si="165"/>
        <v>46.355945316697152</v>
      </c>
      <c r="AM195" s="59">
        <f t="shared" si="113"/>
        <v>336.50521324676282</v>
      </c>
      <c r="AN195" s="59">
        <f ca="1">AVERAGE(OFFSET($AM$3,0,0,'Données projet'!$E$10+1,1))-AVERAGE(OFFSET($H$3,0,0,'Données projet'!$E$10+1,1))</f>
        <v>626.09203985591455</v>
      </c>
      <c r="AO195" s="59">
        <f t="shared" si="144"/>
        <v>327.65191296575199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92.77751747328999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92.77751747328999</v>
      </c>
      <c r="AY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404.00000000000017</v>
      </c>
      <c r="BE195" s="13">
        <f>BD195*VLOOKUP('Données projet'!$B$11,Paramètres!$A$1:$I$89,3,0)*VLOOKUP('Données projet'!$B$11,Paramètres!$A$1:$I$89,5,0)</f>
        <v>346.63200000000018</v>
      </c>
      <c r="BF195" s="13">
        <f t="shared" si="167"/>
        <v>80.868615263336864</v>
      </c>
      <c r="BG195" s="20">
        <f t="shared" si="168"/>
        <v>744.56357158364528</v>
      </c>
      <c r="BH195" s="59">
        <f t="shared" si="116"/>
        <v>1034.7128395137111</v>
      </c>
      <c r="BI195" s="59">
        <f ca="1">AVERAGE(OFFSET($BH$3,0,0,'Données projet'!$E$11+1,1))-AVERAGE(OFFSET($H$3,0,0,'Données projet'!$E$11+1,1))</f>
        <v>481.23392184981651</v>
      </c>
      <c r="BJ195" s="59">
        <f t="shared" si="146"/>
        <v>275.88160405468193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24.018502280725624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24.018502280725624</v>
      </c>
      <c r="BT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5.2499999999990337</v>
      </c>
      <c r="BZ195" s="13">
        <f>BY195*VLOOKUP('Données projet'!$B$12,Paramètres!$A$1:$I$89,3,0)*VLOOKUP('Données projet'!$B$12,Paramètres!$A$1:$I$89,5,0)</f>
        <v>2.4569999999995478</v>
      </c>
      <c r="CA195" s="13">
        <f t="shared" si="170"/>
        <v>1.0197977774625564</v>
      </c>
      <c r="CB195" s="20">
        <f t="shared" si="171"/>
        <v>6.0554227957464972</v>
      </c>
      <c r="CC195" s="59">
        <f t="shared" si="119"/>
        <v>296.20469072581216</v>
      </c>
      <c r="CD195" s="59">
        <f ca="1">AVERAGE(OFFSET($CC$3,0,0,'Données projet'!$E$12+1,1))-AVERAGE(OFFSET($H$3,0,0,'Données projet'!$E$12+1,1))</f>
        <v>331.86732359395467</v>
      </c>
      <c r="CE195" s="59">
        <f t="shared" si="148"/>
        <v>208.64489375183106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46.939336081457327</v>
      </c>
      <c r="CL195" s="21">
        <f>EXP(-LN(2)/25)*CL194+(1-EXP(-LN(2)/25))/(LN(2)/25)*Calculateur!CG195*Calculateur!CI195*VLOOKUP('Données projet'!$B$12,Paramètres!$A$1:$I$89,3,0)*0.475*44/12</f>
        <v>0</v>
      </c>
      <c r="CM195" s="21">
        <f>EXP(-LN(2)/2)*CM194+(1-EXP(-LN(2)/2))/(LN(2)/2)*CG195*CJ195*VLOOKUP('Données projet'!$B$12,Paramètres!$A$1:$I$89,3,0)*0.475*44/12</f>
        <v>0</v>
      </c>
      <c r="CN195" s="22">
        <f t="shared" si="172"/>
        <v>46.939336081457327</v>
      </c>
      <c r="CO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319</v>
      </c>
      <c r="CU195" s="17">
        <f>CT195*VLOOKUP('Données projet'!$B$13,Paramètres!$A$1:$I$89,3,0)*VLOOKUP('Données projet'!$B$13,Paramètres!$A$1:$I$89,5,0)</f>
        <v>233.89079999999998</v>
      </c>
      <c r="CV195" s="13">
        <f t="shared" si="173"/>
        <v>57.123140349023068</v>
      </c>
      <c r="CW195" s="20">
        <f t="shared" si="174"/>
        <v>506.84927944121517</v>
      </c>
      <c r="CX195" s="59">
        <f t="shared" si="122"/>
        <v>796.99854737128089</v>
      </c>
      <c r="CY195" s="59">
        <f ca="1">AVERAGE(OFFSET($CX$3,0,0,'Données projet'!$E$13+1,1))-AVERAGE(OFFSET($H$3,0,0,'Données projet'!$E$13+1,1))</f>
        <v>352.45777291109863</v>
      </c>
      <c r="CZ195" s="59">
        <f t="shared" si="150"/>
        <v>340.92165104349181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4.3259007069075377</v>
      </c>
      <c r="DG195" s="21">
        <f>EXP(-LN(2)/25)*DG194+(1-EXP(-LN(2)/25))/(LN(2)/25)*Calculateur!DB195*Calculateur!DD195*VLOOKUP('Données projet'!$B$13,Paramètres!$A$1:$I$89,3,0)*0.475*44/12</f>
        <v>0</v>
      </c>
      <c r="DH195" s="21">
        <f>EXP(-LN(2)/2)*DH194+(1-EXP(-LN(2)/2))/(LN(2)/2)*DB195*DE195*VLOOKUP('Données projet'!$B$13,Paramètres!$A$1:$I$89,3,0)*0.475*44/12</f>
        <v>0</v>
      </c>
      <c r="DI195" s="22">
        <f t="shared" si="175"/>
        <v>4.3259007069075377</v>
      </c>
      <c r="DJ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19.8100000000004</v>
      </c>
      <c r="DP195" s="17">
        <f>DO195*VLOOKUP('Données projet'!$B$14,Paramètres!$A$1:$I$89,3,0)*VLOOKUP('Données projet'!$B$14,Paramètres!$A$1:$I$89,5,0)</f>
        <v>13.288548000000269</v>
      </c>
      <c r="DQ195" s="13">
        <f t="shared" si="176"/>
        <v>4.531654695205642</v>
      </c>
      <c r="DR195" s="20">
        <f t="shared" si="177"/>
        <v>31.036853027483627</v>
      </c>
      <c r="DS195" s="59">
        <f t="shared" si="125"/>
        <v>321.18612095754929</v>
      </c>
      <c r="DT195" s="59">
        <f ca="1">AVERAGE(OFFSET($DS$3,0,0,'Données projet'!$E$14+1,1))-AVERAGE(OFFSET($H$3,0,0,'Données projet'!$E$14+1,1))</f>
        <v>441.20130048888439</v>
      </c>
      <c r="DU195" s="59">
        <f t="shared" si="152"/>
        <v>237.47732532183946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75.64936040129794</v>
      </c>
      <c r="EB195" s="21">
        <f>EXP(-LN(2)/25)*EB194+(1-EXP(-LN(2)/25))/(LN(2)/25)*Calculateur!DW195*Calculateur!DY195*VLOOKUP('Données projet'!$B$14,Paramètres!$A$1:$I$89,3,0)*0.475*44/12</f>
        <v>0</v>
      </c>
      <c r="EC195" s="21">
        <f>EXP(-LN(2)/2)*EC194+(1-EXP(-LN(2)/2))/(LN(2)/2)*DW195*DZ195*VLOOKUP('Données projet'!$B$14,Paramètres!$A$1:$I$89,3,0)*0.475*44/12</f>
        <v>0</v>
      </c>
      <c r="ED195" s="22">
        <f t="shared" si="178"/>
        <v>75.64936040129794</v>
      </c>
      <c r="EE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319</v>
      </c>
      <c r="EK195" s="17">
        <f>EJ195*VLOOKUP('Données projet'!$B$15,Paramètres!$A$1:$I$89,3,0)*VLOOKUP('Données projet'!$B$15,Paramètres!$A$1:$I$89,5,0)</f>
        <v>253.79640000000001</v>
      </c>
      <c r="EL195" s="13">
        <f t="shared" si="179"/>
        <v>61.39816832228076</v>
      </c>
      <c r="EM195" s="20">
        <f t="shared" si="180"/>
        <v>548.96387316130563</v>
      </c>
      <c r="EN195" s="59">
        <f t="shared" si="128"/>
        <v>839.11314109137129</v>
      </c>
      <c r="EO195" s="59">
        <f ca="1">AVERAGE(OFFSET($EN$3,0,0,'Données projet'!$E$15+1,1))-AVERAGE(OFFSET($H$3,0,0,'Données projet'!$E$15+1,1))</f>
        <v>377.27600411578322</v>
      </c>
      <c r="EP195" s="59">
        <f t="shared" si="154"/>
        <v>364.58250627635425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>
        <f>EXP(-LN(2)/35)*EV194+(1-EXP(-LN(2)/35))/(LN(2)/35)*ER195*ES195*VLOOKUP('Données projet'!$B$15,Paramètres!$A$1:$I$89,3,0)*0.475*44/12</f>
        <v>5.7857049038946426</v>
      </c>
      <c r="EW195" s="21">
        <f>EXP(-LN(2)/25)*EW194+(1-EXP(-LN(2)/25))/(LN(2)/25)*Calculateur!ER195*Calculateur!ET195*VLOOKUP('Données projet'!$B$15,Paramètres!$A$1:$I$89,3,0)*0.475*44/12</f>
        <v>0</v>
      </c>
      <c r="EX195" s="21">
        <f>EXP(-LN(2)/2)*EX194+(1-EXP(-LN(2)/2))/(LN(2)/2)*ER195*EU195*VLOOKUP('Données projet'!$B$15,Paramètres!$A$1:$I$89,3,0)*0.475*44/12</f>
        <v>0</v>
      </c>
      <c r="EY195" s="22">
        <f t="shared" si="181"/>
        <v>5.7857049038946426</v>
      </c>
      <c r="EZ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319</v>
      </c>
      <c r="FF195" s="17">
        <f>FE195*VLOOKUP('Données projet'!$B$16,Paramètres!$A$1:$I$89,3,0)*VLOOKUP('Données projet'!$B$16,Paramètres!$A$1:$I$89,5,0)</f>
        <v>258.77280000000002</v>
      </c>
      <c r="FG195" s="13">
        <f t="shared" si="182"/>
        <v>62.460716522234691</v>
      </c>
      <c r="FH195" s="20">
        <f t="shared" si="183"/>
        <v>559.48170794289206</v>
      </c>
      <c r="FI195" s="59">
        <f t="shared" si="131"/>
        <v>849.63097587295772</v>
      </c>
      <c r="FJ195" s="59">
        <f ca="1">AVERAGE(OFFSET($FI$3,0,0,'Données projet'!$E$16+1,1))-AVERAGE(OFFSET($H$3,0,0,'Données projet'!$E$16+1,1))</f>
        <v>383.47399633251354</v>
      </c>
      <c r="FK195" s="59">
        <f t="shared" si="156"/>
        <v>370.49129421395628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>
        <f>EXP(-LN(2)/35)*FQ194+(1-EXP(-LN(2)/35))/(LN(2)/35)*FM195*FN195*VLOOKUP('Données projet'!$B$16,Paramètres!$A$1:$I$89,3,0)*0.475*44/12</f>
        <v>5.8991500980886604</v>
      </c>
      <c r="FR195" s="21">
        <f>EXP(-LN(2)/25)*FR194+(1-EXP(-LN(2)/25))/(LN(2)/25)*Calculateur!FM195*Calculateur!FO195*VLOOKUP('Données projet'!$B$16,Paramètres!$A$1:$I$89,3,0)*0.475*44/12</f>
        <v>0</v>
      </c>
      <c r="FS195" s="21">
        <f>EXP(-LN(2)/2)*FS194+(1-EXP(-LN(2)/2))/(LN(2)/2)*FM195*FP195*VLOOKUP('Données projet'!$B$16,Paramètres!$A$1:$I$89,3,0)*0.475*44/12</f>
        <v>0</v>
      </c>
      <c r="FT195" s="22">
        <f t="shared" si="184"/>
        <v>5.8991500980886604</v>
      </c>
      <c r="FU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19.8100000000004</v>
      </c>
      <c r="GA195" s="17">
        <f>FZ195*VLOOKUP('Données projet'!$B$17,Paramètres!$A$1:$I$89,3,0)*VLOOKUP('Données projet'!$B$17,Paramètres!$A$1:$I$89,5,0)</f>
        <v>18.851196000000382</v>
      </c>
      <c r="GB195" s="13">
        <f t="shared" si="185"/>
        <v>6.172221809210666</v>
      </c>
      <c r="GC195" s="20">
        <f t="shared" si="186"/>
        <v>43.582452684375909</v>
      </c>
      <c r="GD195" s="59">
        <f t="shared" si="134"/>
        <v>333.73172061444154</v>
      </c>
      <c r="GE195" s="59">
        <f ca="1">AVERAGE(OFFSET($GD$3,0,0,'Données projet'!$E$17+1,1))-AVERAGE(OFFSET($H$3,0,0,'Données projet'!$E$17+1,1))</f>
        <v>592.58528889137358</v>
      </c>
      <c r="GF195" s="59">
        <f t="shared" si="158"/>
        <v>311.31528020403709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>
        <f>EXP(-LN(2)/35)*GL194+(1-EXP(-LN(2)/35))/(LN(2)/35)*GH195*GI195*VLOOKUP('Données projet'!$B$17,Paramètres!$A$1:$I$89,3,0)*0.475*44/12</f>
        <v>87.068131782625997</v>
      </c>
      <c r="GM195" s="21">
        <f>EXP(-LN(2)/25)*GM194+(1-EXP(-LN(2)/25))/(LN(2)/25)*Calculateur!GH195*Calculateur!GJ195*VLOOKUP('Données projet'!$B$17,Paramètres!$A$1:$I$89,3,0)*0.475*44/12</f>
        <v>0</v>
      </c>
      <c r="GN195" s="21">
        <f>EXP(-LN(2)/2)*GN194+(1-EXP(-LN(2)/2))/(LN(2)/2)*GH195*GK195*VLOOKUP('Données projet'!$B$17,Paramètres!$A$1:$I$89,3,0)*0.475*44/12</f>
        <v>0</v>
      </c>
      <c r="GO195" s="21">
        <f t="shared" si="187"/>
        <v>87.068131782625997</v>
      </c>
      <c r="GP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328.00000000000006</v>
      </c>
      <c r="GV195" s="17">
        <f>GU195*VLOOKUP('Données projet'!$B$18,Paramètres!$A$1:$I$89,3,0)*VLOOKUP('Données projet'!$B$18,Paramètres!$A$1:$I$89,5,0)</f>
        <v>255.84000000000006</v>
      </c>
      <c r="GW195" s="13">
        <f t="shared" si="188"/>
        <v>61.834803371075836</v>
      </c>
      <c r="GX195" s="20">
        <f t="shared" si="189"/>
        <v>553.28361587129041</v>
      </c>
      <c r="GY195" s="59">
        <f t="shared" si="137"/>
        <v>843.43288380135607</v>
      </c>
      <c r="GZ195" s="59">
        <f ca="1">AVERAGE(OFFSET($GY$3,0,0,'Données projet'!$E$18+1,1))-AVERAGE(OFFSET($H$3,0,0,'Données projet'!$E$18+1,1))</f>
        <v>308.85018589589453</v>
      </c>
      <c r="HA195" s="59">
        <f t="shared" si="160"/>
        <v>302.59481222418219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>
        <f>EXP(-LN(2)/35)*HG194+(1-EXP(-LN(2)/35))/(LN(2)/35)*HC195*HD195*VLOOKUP('Données projet'!$B$18,Paramètres!$A$1:$I$89,3,0)*0.475*44/12</f>
        <v>4.4091457137816716</v>
      </c>
      <c r="HH195" s="21">
        <f>EXP(-LN(2)/25)*HH194+(1-EXP(-LN(2)/25))/(LN(2)/25)*Calculateur!HC195*Calculateur!HE195*VLOOKUP('Données projet'!$B$18,Paramètres!$A$1:$I$89,3,0)*0.475*44/12</f>
        <v>0</v>
      </c>
      <c r="HI195" s="21">
        <f>EXP(-LN(2)/2)*HI194+(1-EXP(-LN(2)/2))/(LN(2)/2)*HC195*HF195*VLOOKUP('Données projet'!$B$18,Paramètres!$A$1:$I$89,3,0)*0.475*44/12</f>
        <v>0</v>
      </c>
      <c r="HJ195" s="22">
        <f t="shared" si="190"/>
        <v>4.4091457137816716</v>
      </c>
    </row>
    <row r="196" spans="1:218" x14ac:dyDescent="0.35">
      <c r="A196" s="10">
        <f t="shared" si="161"/>
        <v>193</v>
      </c>
      <c r="B196" s="72">
        <f>'Scénario référence'!$B$16*5+'Scénario référence'!$B$17*0+'Scénario référence'!$B$18*5</f>
        <v>5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66">
        <f t="shared" ref="H196:H203" si="192">(B196+E196+F196)*44/12+(C196+D196)*0.475*44/12</f>
        <v>183.33333333333334</v>
      </c>
      <c r="I196" s="6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19.8100000000004</v>
      </c>
      <c r="O196" s="13">
        <f>N196*VLOOKUP('Données projet'!$B$9,Paramètres!$A$1:$I$89,3,0)*VLOOKUP('Données projet'!$B$9,Paramètres!$A$1:$I$89,5,0)</f>
        <v>17.924088000000364</v>
      </c>
      <c r="P196" s="13">
        <f t="shared" si="141"/>
        <v>5.9032212091029486</v>
      </c>
      <c r="Q196" s="20">
        <f t="shared" si="162"/>
        <v>41.499230205854936</v>
      </c>
      <c r="R196" s="59">
        <f t="shared" si="191"/>
        <v>331.70373455216344</v>
      </c>
      <c r="S196" s="59">
        <f ca="1">AVERAGE(OFFSET($R$3,0,0,'Données projet'!$E$9+1,1))-AVERAGE(OFFSET($H$3,0,0,'Données projet'!$E$9+1,1))</f>
        <v>567.42635821507474</v>
      </c>
      <c r="T196" s="59">
        <f t="shared" si="142"/>
        <v>299.04735309930152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81.162707734946665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81.162707734946665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19.8100000000004</v>
      </c>
      <c r="AJ196" s="13">
        <f>AI196*VLOOKUP('Données projet'!$B$10,Paramètres!$A$1:$I$89,3,0)*VLOOKUP('Données projet'!$B$10,Paramètres!$A$1:$I$89,5,0)</f>
        <v>20.08734000000041</v>
      </c>
      <c r="AK196" s="13">
        <f t="shared" si="164"/>
        <v>6.5285137703520215</v>
      </c>
      <c r="AL196" s="20">
        <f t="shared" si="165"/>
        <v>46.355945316697152</v>
      </c>
      <c r="AM196" s="59">
        <f t="shared" ref="AM196:AM203" si="193">AL196+(AD196+AE196)*44/12</f>
        <v>336.56044966300567</v>
      </c>
      <c r="AN196" s="59">
        <f ca="1">AVERAGE(OFFSET($AM$3,0,0,'Données projet'!$E$10+1,1))-AVERAGE(OFFSET($H$3,0,0,'Données projet'!$E$10+1,1))</f>
        <v>626.09203985591455</v>
      </c>
      <c r="AO196" s="59">
        <f t="shared" si="144"/>
        <v>327.65191296575199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90.958206944336766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90.958206944336766</v>
      </c>
      <c r="AY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404.00000000000017</v>
      </c>
      <c r="BE196" s="13">
        <f>BD196*VLOOKUP('Données projet'!$B$11,Paramètres!$A$1:$I$89,3,0)*VLOOKUP('Données projet'!$B$11,Paramètres!$A$1:$I$89,5,0)</f>
        <v>346.63200000000018</v>
      </c>
      <c r="BF196" s="13">
        <f t="shared" si="167"/>
        <v>80.868615263336864</v>
      </c>
      <c r="BG196" s="20">
        <f t="shared" si="168"/>
        <v>744.56357158364528</v>
      </c>
      <c r="BH196" s="59">
        <f t="shared" ref="BH196:BH203" si="194">BG196+(AY196+AZ196)*44/12</f>
        <v>1034.7680759299537</v>
      </c>
      <c r="BI196" s="59">
        <f ca="1">AVERAGE(OFFSET($BH$3,0,0,'Données projet'!$E$11+1,1))-AVERAGE(OFFSET($H$3,0,0,'Données projet'!$E$11+1,1))</f>
        <v>481.23392184981651</v>
      </c>
      <c r="BJ196" s="59">
        <f t="shared" si="146"/>
        <v>275.88160405468193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23.547514100840434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23.547514100840434</v>
      </c>
      <c r="BT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5.2499999999990337</v>
      </c>
      <c r="BZ196" s="13">
        <f>BY196*VLOOKUP('Données projet'!$B$12,Paramètres!$A$1:$I$89,3,0)*VLOOKUP('Données projet'!$B$12,Paramètres!$A$1:$I$89,5,0)</f>
        <v>2.4569999999995478</v>
      </c>
      <c r="CA196" s="13">
        <f t="shared" si="170"/>
        <v>1.0197977774625564</v>
      </c>
      <c r="CB196" s="20">
        <f t="shared" si="171"/>
        <v>6.0554227957464972</v>
      </c>
      <c r="CC196" s="59">
        <f t="shared" ref="CC196:CC203" si="195">CB196+(BT196+BU196)*44/12</f>
        <v>296.25992714205501</v>
      </c>
      <c r="CD196" s="59">
        <f ca="1">AVERAGE(OFFSET($CC$3,0,0,'Données projet'!$E$12+1,1))-AVERAGE(OFFSET($H$3,0,0,'Données projet'!$E$12+1,1))</f>
        <v>331.86732359395467</v>
      </c>
      <c r="CE196" s="59">
        <f t="shared" si="148"/>
        <v>208.64489375183106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46.018884331067966</v>
      </c>
      <c r="CL196" s="21">
        <f>EXP(-LN(2)/25)*CL195+(1-EXP(-LN(2)/25))/(LN(2)/25)*Calculateur!CG196*Calculateur!CI196*VLOOKUP('Données projet'!$B$12,Paramètres!$A$1:$I$89,3,0)*0.475*44/12</f>
        <v>0</v>
      </c>
      <c r="CM196" s="21">
        <f>EXP(-LN(2)/2)*CM195+(1-EXP(-LN(2)/2))/(LN(2)/2)*CG196*CJ196*VLOOKUP('Données projet'!$B$12,Paramètres!$A$1:$I$89,3,0)*0.475*44/12</f>
        <v>0</v>
      </c>
      <c r="CN196" s="22">
        <f t="shared" si="172"/>
        <v>46.018884331067966</v>
      </c>
      <c r="CO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319</v>
      </c>
      <c r="CU196" s="17">
        <f>CT196*VLOOKUP('Données projet'!$B$13,Paramètres!$A$1:$I$89,3,0)*VLOOKUP('Données projet'!$B$13,Paramètres!$A$1:$I$89,5,0)</f>
        <v>233.89079999999998</v>
      </c>
      <c r="CV196" s="13">
        <f t="shared" si="173"/>
        <v>57.123140349023068</v>
      </c>
      <c r="CW196" s="20">
        <f t="shared" si="174"/>
        <v>506.84927944121517</v>
      </c>
      <c r="CX196" s="59">
        <f t="shared" ref="CX196:CX203" si="196">CW196+(CO196+CP196)*44/12</f>
        <v>797.05378378752368</v>
      </c>
      <c r="CY196" s="59">
        <f ca="1">AVERAGE(OFFSET($CX$3,0,0,'Données projet'!$E$13+1,1))-AVERAGE(OFFSET($H$3,0,0,'Données projet'!$E$13+1,1))</f>
        <v>352.45777291109863</v>
      </c>
      <c r="CZ196" s="59">
        <f t="shared" si="150"/>
        <v>340.92165104349181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4.2410724325839784</v>
      </c>
      <c r="DG196" s="21">
        <f>EXP(-LN(2)/25)*DG195+(1-EXP(-LN(2)/25))/(LN(2)/25)*Calculateur!DB196*Calculateur!DD196*VLOOKUP('Données projet'!$B$13,Paramètres!$A$1:$I$89,3,0)*0.475*44/12</f>
        <v>0</v>
      </c>
      <c r="DH196" s="21">
        <f>EXP(-LN(2)/2)*DH195+(1-EXP(-LN(2)/2))/(LN(2)/2)*DB196*DE196*VLOOKUP('Données projet'!$B$13,Paramètres!$A$1:$I$89,3,0)*0.475*44/12</f>
        <v>0</v>
      </c>
      <c r="DI196" s="22">
        <f t="shared" si="175"/>
        <v>4.2410724325839784</v>
      </c>
      <c r="DJ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19.8100000000004</v>
      </c>
      <c r="DP196" s="17">
        <f>DO196*VLOOKUP('Données projet'!$B$14,Paramètres!$A$1:$I$89,3,0)*VLOOKUP('Données projet'!$B$14,Paramètres!$A$1:$I$89,5,0)</f>
        <v>13.288548000000269</v>
      </c>
      <c r="DQ196" s="13">
        <f t="shared" si="176"/>
        <v>4.531654695205642</v>
      </c>
      <c r="DR196" s="20">
        <f t="shared" si="177"/>
        <v>31.036853027483627</v>
      </c>
      <c r="DS196" s="59">
        <f t="shared" ref="DS196:DS203" si="197">DR196+(DJ196+DK196)*44/12</f>
        <v>321.24135737379214</v>
      </c>
      <c r="DT196" s="59">
        <f ca="1">AVERAGE(OFFSET($DS$3,0,0,'Données projet'!$E$14+1,1))-AVERAGE(OFFSET($H$3,0,0,'Données projet'!$E$14+1,1))</f>
        <v>441.20130048888439</v>
      </c>
      <c r="DU196" s="59">
        <f t="shared" si="152"/>
        <v>237.47732532183946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74.165922585382233</v>
      </c>
      <c r="EB196" s="21">
        <f>EXP(-LN(2)/25)*EB195+(1-EXP(-LN(2)/25))/(LN(2)/25)*Calculateur!DW196*Calculateur!DY196*VLOOKUP('Données projet'!$B$14,Paramètres!$A$1:$I$89,3,0)*0.475*44/12</f>
        <v>0</v>
      </c>
      <c r="EC196" s="21">
        <f>EXP(-LN(2)/2)*EC195+(1-EXP(-LN(2)/2))/(LN(2)/2)*DW196*DZ196*VLOOKUP('Données projet'!$B$14,Paramètres!$A$1:$I$89,3,0)*0.475*44/12</f>
        <v>0</v>
      </c>
      <c r="ED196" s="22">
        <f t="shared" si="178"/>
        <v>74.165922585382233</v>
      </c>
      <c r="EE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319</v>
      </c>
      <c r="EK196" s="17">
        <f>EJ196*VLOOKUP('Données projet'!$B$15,Paramètres!$A$1:$I$89,3,0)*VLOOKUP('Données projet'!$B$15,Paramètres!$A$1:$I$89,5,0)</f>
        <v>253.79640000000001</v>
      </c>
      <c r="EL196" s="13">
        <f t="shared" si="179"/>
        <v>61.39816832228076</v>
      </c>
      <c r="EM196" s="20">
        <f t="shared" si="180"/>
        <v>548.96387316130563</v>
      </c>
      <c r="EN196" s="59">
        <f t="shared" ref="EN196:EN203" si="198">EM196+(EE196+EF196)*44/12</f>
        <v>839.1683775076142</v>
      </c>
      <c r="EO196" s="59">
        <f ca="1">AVERAGE(OFFSET($EN$3,0,0,'Données projet'!$E$15+1,1))-AVERAGE(OFFSET($H$3,0,0,'Données projet'!$E$15+1,1))</f>
        <v>377.27600411578322</v>
      </c>
      <c r="EP196" s="59">
        <f t="shared" si="154"/>
        <v>364.58250627635425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>
        <f>EXP(-LN(2)/35)*EV195+(1-EXP(-LN(2)/35))/(LN(2)/35)*ER196*ES196*VLOOKUP('Données projet'!$B$15,Paramètres!$A$1:$I$89,3,0)*0.475*44/12</f>
        <v>5.6722507596608072</v>
      </c>
      <c r="EW196" s="21">
        <f>EXP(-LN(2)/25)*EW195+(1-EXP(-LN(2)/25))/(LN(2)/25)*Calculateur!ER196*Calculateur!ET196*VLOOKUP('Données projet'!$B$15,Paramètres!$A$1:$I$89,3,0)*0.475*44/12</f>
        <v>0</v>
      </c>
      <c r="EX196" s="21">
        <f>EXP(-LN(2)/2)*EX195+(1-EXP(-LN(2)/2))/(LN(2)/2)*ER196*EU196*VLOOKUP('Données projet'!$B$15,Paramètres!$A$1:$I$89,3,0)*0.475*44/12</f>
        <v>0</v>
      </c>
      <c r="EY196" s="22">
        <f t="shared" si="181"/>
        <v>5.6722507596608072</v>
      </c>
      <c r="EZ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319</v>
      </c>
      <c r="FF196" s="17">
        <f>FE196*VLOOKUP('Données projet'!$B$16,Paramètres!$A$1:$I$89,3,0)*VLOOKUP('Données projet'!$B$16,Paramètres!$A$1:$I$89,5,0)</f>
        <v>258.77280000000002</v>
      </c>
      <c r="FG196" s="13">
        <f t="shared" si="182"/>
        <v>62.460716522234691</v>
      </c>
      <c r="FH196" s="20">
        <f t="shared" si="183"/>
        <v>559.48170794289206</v>
      </c>
      <c r="FI196" s="59">
        <f t="shared" ref="FI196:FI203" si="199">FH196+(EZ196+FA196)*44/12</f>
        <v>849.68621228920051</v>
      </c>
      <c r="FJ196" s="59">
        <f ca="1">AVERAGE(OFFSET($FI$3,0,0,'Données projet'!$E$16+1,1))-AVERAGE(OFFSET($H$3,0,0,'Données projet'!$E$16+1,1))</f>
        <v>383.47399633251354</v>
      </c>
      <c r="FK196" s="59">
        <f t="shared" si="156"/>
        <v>370.49129421395628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>
        <f>EXP(-LN(2)/35)*FQ195+(1-EXP(-LN(2)/35))/(LN(2)/35)*FM196*FN196*VLOOKUP('Données projet'!$B$16,Paramètres!$A$1:$I$89,3,0)*0.475*44/12</f>
        <v>5.783471362791416</v>
      </c>
      <c r="FR196" s="21">
        <f>EXP(-LN(2)/25)*FR195+(1-EXP(-LN(2)/25))/(LN(2)/25)*Calculateur!FM196*Calculateur!FO196*VLOOKUP('Données projet'!$B$16,Paramètres!$A$1:$I$89,3,0)*0.475*44/12</f>
        <v>0</v>
      </c>
      <c r="FS196" s="21">
        <f>EXP(-LN(2)/2)*FS195+(1-EXP(-LN(2)/2))/(LN(2)/2)*FM196*FP196*VLOOKUP('Données projet'!$B$16,Paramètres!$A$1:$I$89,3,0)*0.475*44/12</f>
        <v>0</v>
      </c>
      <c r="FT196" s="22">
        <f t="shared" si="184"/>
        <v>5.783471362791416</v>
      </c>
      <c r="FU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19.8100000000004</v>
      </c>
      <c r="GA196" s="17">
        <f>FZ196*VLOOKUP('Données projet'!$B$17,Paramètres!$A$1:$I$89,3,0)*VLOOKUP('Données projet'!$B$17,Paramètres!$A$1:$I$89,5,0)</f>
        <v>18.851196000000382</v>
      </c>
      <c r="GB196" s="13">
        <f t="shared" si="185"/>
        <v>6.172221809210666</v>
      </c>
      <c r="GC196" s="20">
        <f t="shared" si="186"/>
        <v>43.582452684375909</v>
      </c>
      <c r="GD196" s="59">
        <f t="shared" ref="GD196:GD203" si="200">GC196+(FU196+FV196)*44/12</f>
        <v>333.78695703068445</v>
      </c>
      <c r="GE196" s="59">
        <f ca="1">AVERAGE(OFFSET($GD$3,0,0,'Données projet'!$E$17+1,1))-AVERAGE(OFFSET($H$3,0,0,'Données projet'!$E$17+1,1))</f>
        <v>592.58528889137358</v>
      </c>
      <c r="GF196" s="59">
        <f t="shared" si="158"/>
        <v>311.31528020403709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>
        <f>EXP(-LN(2)/35)*GL195+(1-EXP(-LN(2)/35))/(LN(2)/35)*GH196*GI196*VLOOKUP('Données projet'!$B$17,Paramètres!$A$1:$I$89,3,0)*0.475*44/12</f>
        <v>85.360778824685269</v>
      </c>
      <c r="GM196" s="21">
        <f>EXP(-LN(2)/25)*GM195+(1-EXP(-LN(2)/25))/(LN(2)/25)*Calculateur!GH196*Calculateur!GJ196*VLOOKUP('Données projet'!$B$17,Paramètres!$A$1:$I$89,3,0)*0.475*44/12</f>
        <v>0</v>
      </c>
      <c r="GN196" s="21">
        <f>EXP(-LN(2)/2)*GN195+(1-EXP(-LN(2)/2))/(LN(2)/2)*GH196*GK196*VLOOKUP('Données projet'!$B$17,Paramètres!$A$1:$I$89,3,0)*0.475*44/12</f>
        <v>0</v>
      </c>
      <c r="GO196" s="21">
        <f t="shared" si="187"/>
        <v>85.360778824685269</v>
      </c>
      <c r="GP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328.00000000000006</v>
      </c>
      <c r="GV196" s="17">
        <f>GU196*VLOOKUP('Données projet'!$B$18,Paramètres!$A$1:$I$89,3,0)*VLOOKUP('Données projet'!$B$18,Paramètres!$A$1:$I$89,5,0)</f>
        <v>255.84000000000006</v>
      </c>
      <c r="GW196" s="13">
        <f t="shared" si="188"/>
        <v>61.834803371075836</v>
      </c>
      <c r="GX196" s="20">
        <f t="shared" si="189"/>
        <v>553.28361587129041</v>
      </c>
      <c r="GY196" s="59">
        <f t="shared" ref="GY196:GY203" si="201">GX196+(GP196+GQ196)*44/12</f>
        <v>843.48812021759886</v>
      </c>
      <c r="GZ196" s="59">
        <f ca="1">AVERAGE(OFFSET($GY$3,0,0,'Données projet'!$E$18+1,1))-AVERAGE(OFFSET($H$3,0,0,'Données projet'!$E$18+1,1))</f>
        <v>308.85018589589453</v>
      </c>
      <c r="HA196" s="59">
        <f t="shared" si="160"/>
        <v>302.59481222418219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>
        <f>EXP(-LN(2)/35)*HG195+(1-EXP(-LN(2)/35))/(LN(2)/35)*HC196*HD196*VLOOKUP('Données projet'!$B$18,Paramètres!$A$1:$I$89,3,0)*0.475*44/12</f>
        <v>4.3226850556477512</v>
      </c>
      <c r="HH196" s="21">
        <f>EXP(-LN(2)/25)*HH195+(1-EXP(-LN(2)/25))/(LN(2)/25)*Calculateur!HC196*Calculateur!HE196*VLOOKUP('Données projet'!$B$18,Paramètres!$A$1:$I$89,3,0)*0.475*44/12</f>
        <v>0</v>
      </c>
      <c r="HI196" s="21">
        <f>EXP(-LN(2)/2)*HI195+(1-EXP(-LN(2)/2))/(LN(2)/2)*HC196*HF196*VLOOKUP('Données projet'!$B$18,Paramètres!$A$1:$I$89,3,0)*0.475*44/12</f>
        <v>0</v>
      </c>
      <c r="HJ196" s="22">
        <f t="shared" si="190"/>
        <v>4.3226850556477512</v>
      </c>
    </row>
    <row r="197" spans="1:218" x14ac:dyDescent="0.35">
      <c r="A197" s="10">
        <f t="shared" si="161"/>
        <v>194</v>
      </c>
      <c r="B197" s="72">
        <f>'Scénario référence'!$B$16*5+'Scénario référence'!$B$17*0+'Scénario référence'!$B$18*5</f>
        <v>5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66">
        <f t="shared" si="192"/>
        <v>183.33333333333334</v>
      </c>
      <c r="I197" s="6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19.8100000000004</v>
      </c>
      <c r="O197" s="13">
        <f>N197*VLOOKUP('Données projet'!$B$9,Paramètres!$A$1:$I$89,3,0)*VLOOKUP('Données projet'!$B$9,Paramètres!$A$1:$I$89,5,0)</f>
        <v>17.924088000000364</v>
      </c>
      <c r="P197" s="13">
        <f t="shared" ref="P197:P203" si="203">EXP(-1.0587+0.8836*LN(O197)+0.284)</f>
        <v>5.9032212091029486</v>
      </c>
      <c r="Q197" s="20">
        <f t="shared" si="162"/>
        <v>41.499230205854936</v>
      </c>
      <c r="R197" s="59">
        <f t="shared" si="191"/>
        <v>331.75801274007466</v>
      </c>
      <c r="S197" s="59">
        <f ca="1">AVERAGE(OFFSET($R$3,0,0,'Données projet'!$E$9+1,1))-AVERAGE(OFFSET($H$3,0,0,'Données projet'!$E$9+1,1))</f>
        <v>567.42635821507474</v>
      </c>
      <c r="T197" s="59">
        <f t="shared" ref="T197:T203" si="204">$T$3</f>
        <v>299.04735309930152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79.571156540627925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79.571156540627925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19.8100000000004</v>
      </c>
      <c r="AJ197" s="13">
        <f>AI197*VLOOKUP('Données projet'!$B$10,Paramètres!$A$1:$I$89,3,0)*VLOOKUP('Données projet'!$B$10,Paramètres!$A$1:$I$89,5,0)</f>
        <v>20.08734000000041</v>
      </c>
      <c r="AK197" s="13">
        <f t="shared" si="164"/>
        <v>6.5285137703520215</v>
      </c>
      <c r="AL197" s="20">
        <f t="shared" si="165"/>
        <v>46.355945316697152</v>
      </c>
      <c r="AM197" s="59">
        <f t="shared" si="193"/>
        <v>336.61472785091689</v>
      </c>
      <c r="AN197" s="59">
        <f ca="1">AVERAGE(OFFSET($AM$3,0,0,'Données projet'!$E$10+1,1))-AVERAGE(OFFSET($H$3,0,0,'Données projet'!$E$10+1,1))</f>
        <v>626.09203985591455</v>
      </c>
      <c r="AO197" s="59">
        <f t="shared" ref="AO197:AO203" si="205">$AO$3</f>
        <v>327.65191296575199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89.174571985186461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89.174571985186461</v>
      </c>
      <c r="AY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404.00000000000017</v>
      </c>
      <c r="BE197" s="13">
        <f>BD197*VLOOKUP('Données projet'!$B$11,Paramètres!$A$1:$I$89,3,0)*VLOOKUP('Données projet'!$B$11,Paramètres!$A$1:$I$89,5,0)</f>
        <v>346.63200000000018</v>
      </c>
      <c r="BF197" s="13">
        <f t="shared" si="167"/>
        <v>80.868615263336864</v>
      </c>
      <c r="BG197" s="20">
        <f t="shared" si="168"/>
        <v>744.56357158364528</v>
      </c>
      <c r="BH197" s="59">
        <f t="shared" si="194"/>
        <v>1034.822354117865</v>
      </c>
      <c r="BI197" s="59">
        <f ca="1">AVERAGE(OFFSET($BH$3,0,0,'Données projet'!$E$11+1,1))-AVERAGE(OFFSET($H$3,0,0,'Données projet'!$E$11+1,1))</f>
        <v>481.23392184981651</v>
      </c>
      <c r="BJ197" s="59">
        <f t="shared" ref="BJ197:BJ203" si="206">$BJ$3</f>
        <v>275.88160405468193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23.08576171188837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23.08576171188837</v>
      </c>
      <c r="BT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5.2499999999990337</v>
      </c>
      <c r="BZ197" s="13">
        <f>BY197*VLOOKUP('Données projet'!$B$12,Paramètres!$A$1:$I$89,3,0)*VLOOKUP('Données projet'!$B$12,Paramètres!$A$1:$I$89,5,0)</f>
        <v>2.4569999999995478</v>
      </c>
      <c r="CA197" s="13">
        <f t="shared" si="170"/>
        <v>1.0197977774625564</v>
      </c>
      <c r="CB197" s="20">
        <f t="shared" si="171"/>
        <v>6.0554227957464972</v>
      </c>
      <c r="CC197" s="59">
        <f t="shared" si="195"/>
        <v>296.31420532996623</v>
      </c>
      <c r="CD197" s="59">
        <f ca="1">AVERAGE(OFFSET($CC$3,0,0,'Données projet'!$E$12+1,1))-AVERAGE(OFFSET($H$3,0,0,'Données projet'!$E$12+1,1))</f>
        <v>331.86732359395467</v>
      </c>
      <c r="CE197" s="59">
        <f t="shared" ref="CE197:CE203" si="207">$CE$3</f>
        <v>208.64489375183106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45.116482078083607</v>
      </c>
      <c r="CL197" s="21">
        <f>EXP(-LN(2)/25)*CL196+(1-EXP(-LN(2)/25))/(LN(2)/25)*Calculateur!CG197*Calculateur!CI197*VLOOKUP('Données projet'!$B$12,Paramètres!$A$1:$I$89,3,0)*0.475*44/12</f>
        <v>0</v>
      </c>
      <c r="CM197" s="21">
        <f>EXP(-LN(2)/2)*CM196+(1-EXP(-LN(2)/2))/(LN(2)/2)*CG197*CJ197*VLOOKUP('Données projet'!$B$12,Paramètres!$A$1:$I$89,3,0)*0.475*44/12</f>
        <v>0</v>
      </c>
      <c r="CN197" s="22">
        <f t="shared" si="172"/>
        <v>45.116482078083607</v>
      </c>
      <c r="CO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319</v>
      </c>
      <c r="CU197" s="17">
        <f>CT197*VLOOKUP('Données projet'!$B$13,Paramètres!$A$1:$I$89,3,0)*VLOOKUP('Données projet'!$B$13,Paramètres!$A$1:$I$89,5,0)</f>
        <v>233.89079999999998</v>
      </c>
      <c r="CV197" s="13">
        <f t="shared" si="173"/>
        <v>57.123140349023068</v>
      </c>
      <c r="CW197" s="20">
        <f t="shared" si="174"/>
        <v>506.84927944121517</v>
      </c>
      <c r="CX197" s="59">
        <f t="shared" si="196"/>
        <v>797.10806197543491</v>
      </c>
      <c r="CY197" s="59">
        <f ca="1">AVERAGE(OFFSET($CX$3,0,0,'Données projet'!$E$13+1,1))-AVERAGE(OFFSET($H$3,0,0,'Données projet'!$E$13+1,1))</f>
        <v>352.45777291109863</v>
      </c>
      <c r="CZ197" s="59">
        <f t="shared" ref="CZ197:CZ203" si="208">$CZ$3</f>
        <v>340.92165104349181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4.1579075889797652</v>
      </c>
      <c r="DG197" s="21">
        <f>EXP(-LN(2)/25)*DG196+(1-EXP(-LN(2)/25))/(LN(2)/25)*Calculateur!DB197*Calculateur!DD197*VLOOKUP('Données projet'!$B$13,Paramètres!$A$1:$I$89,3,0)*0.475*44/12</f>
        <v>0</v>
      </c>
      <c r="DH197" s="21">
        <f>EXP(-LN(2)/2)*DH196+(1-EXP(-LN(2)/2))/(LN(2)/2)*DB197*DE197*VLOOKUP('Données projet'!$B$13,Paramètres!$A$1:$I$89,3,0)*0.475*44/12</f>
        <v>0</v>
      </c>
      <c r="DI197" s="22">
        <f t="shared" si="175"/>
        <v>4.1579075889797652</v>
      </c>
      <c r="DJ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19.8100000000004</v>
      </c>
      <c r="DP197" s="17">
        <f>DO197*VLOOKUP('Données projet'!$B$14,Paramètres!$A$1:$I$89,3,0)*VLOOKUP('Données projet'!$B$14,Paramètres!$A$1:$I$89,5,0)</f>
        <v>13.288548000000269</v>
      </c>
      <c r="DQ197" s="13">
        <f t="shared" si="176"/>
        <v>4.531654695205642</v>
      </c>
      <c r="DR197" s="20">
        <f t="shared" si="177"/>
        <v>31.036853027483627</v>
      </c>
      <c r="DS197" s="59">
        <f t="shared" si="197"/>
        <v>321.29563556170336</v>
      </c>
      <c r="DT197" s="59">
        <f ca="1">AVERAGE(OFFSET($DS$3,0,0,'Données projet'!$E$14+1,1))-AVERAGE(OFFSET($H$3,0,0,'Données projet'!$E$14+1,1))</f>
        <v>441.20130048888439</v>
      </c>
      <c r="DU197" s="59">
        <f t="shared" ref="DU197:DU203" si="209">$DU$3</f>
        <v>237.47732532183946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72.711574080228914</v>
      </c>
      <c r="EB197" s="21">
        <f>EXP(-LN(2)/25)*EB196+(1-EXP(-LN(2)/25))/(LN(2)/25)*Calculateur!DW197*Calculateur!DY197*VLOOKUP('Données projet'!$B$14,Paramètres!$A$1:$I$89,3,0)*0.475*44/12</f>
        <v>0</v>
      </c>
      <c r="EC197" s="21">
        <f>EXP(-LN(2)/2)*EC196+(1-EXP(-LN(2)/2))/(LN(2)/2)*DW197*DZ197*VLOOKUP('Données projet'!$B$14,Paramètres!$A$1:$I$89,3,0)*0.475*44/12</f>
        <v>0</v>
      </c>
      <c r="ED197" s="22">
        <f t="shared" si="178"/>
        <v>72.711574080228914</v>
      </c>
      <c r="EE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319</v>
      </c>
      <c r="EK197" s="17">
        <f>EJ197*VLOOKUP('Données projet'!$B$15,Paramètres!$A$1:$I$89,3,0)*VLOOKUP('Données projet'!$B$15,Paramètres!$A$1:$I$89,5,0)</f>
        <v>253.79640000000001</v>
      </c>
      <c r="EL197" s="13">
        <f t="shared" si="179"/>
        <v>61.39816832228076</v>
      </c>
      <c r="EM197" s="20">
        <f t="shared" si="180"/>
        <v>548.96387316130563</v>
      </c>
      <c r="EN197" s="59">
        <f t="shared" si="198"/>
        <v>839.22265569552542</v>
      </c>
      <c r="EO197" s="59">
        <f ca="1">AVERAGE(OFFSET($EN$3,0,0,'Données projet'!$E$15+1,1))-AVERAGE(OFFSET($H$3,0,0,'Données projet'!$E$15+1,1))</f>
        <v>377.27600411578322</v>
      </c>
      <c r="EP197" s="59">
        <f t="shared" ref="EP197:EP203" si="210">$EP$3</f>
        <v>364.58250627635425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>
        <f>EXP(-LN(2)/35)*EV196+(1-EXP(-LN(2)/35))/(LN(2)/35)*ER197*ES197*VLOOKUP('Données projet'!$B$15,Paramètres!$A$1:$I$89,3,0)*0.475*44/12</f>
        <v>5.5610213819952019</v>
      </c>
      <c r="EW197" s="21">
        <f>EXP(-LN(2)/25)*EW196+(1-EXP(-LN(2)/25))/(LN(2)/25)*Calculateur!ER197*Calculateur!ET197*VLOOKUP('Données projet'!$B$15,Paramètres!$A$1:$I$89,3,0)*0.475*44/12</f>
        <v>0</v>
      </c>
      <c r="EX197" s="21">
        <f>EXP(-LN(2)/2)*EX196+(1-EXP(-LN(2)/2))/(LN(2)/2)*ER197*EU197*VLOOKUP('Données projet'!$B$15,Paramètres!$A$1:$I$89,3,0)*0.475*44/12</f>
        <v>0</v>
      </c>
      <c r="EY197" s="22">
        <f t="shared" si="181"/>
        <v>5.5610213819952019</v>
      </c>
      <c r="EZ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319</v>
      </c>
      <c r="FF197" s="17">
        <f>FE197*VLOOKUP('Données projet'!$B$16,Paramètres!$A$1:$I$89,3,0)*VLOOKUP('Données projet'!$B$16,Paramètres!$A$1:$I$89,5,0)</f>
        <v>258.77280000000002</v>
      </c>
      <c r="FG197" s="13">
        <f t="shared" si="182"/>
        <v>62.460716522234691</v>
      </c>
      <c r="FH197" s="20">
        <f t="shared" si="183"/>
        <v>559.48170794289206</v>
      </c>
      <c r="FI197" s="59">
        <f t="shared" si="199"/>
        <v>849.74049047711173</v>
      </c>
      <c r="FJ197" s="59">
        <f ca="1">AVERAGE(OFFSET($FI$3,0,0,'Données projet'!$E$16+1,1))-AVERAGE(OFFSET($H$3,0,0,'Données projet'!$E$16+1,1))</f>
        <v>383.47399633251354</v>
      </c>
      <c r="FK197" s="59">
        <f t="shared" ref="FK197:FK203" si="211">$FK$3</f>
        <v>370.49129421395628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>
        <f>EXP(-LN(2)/35)*FQ196+(1-EXP(-LN(2)/35))/(LN(2)/35)*FM197*FN197*VLOOKUP('Données projet'!$B$16,Paramètres!$A$1:$I$89,3,0)*0.475*44/12</f>
        <v>5.6700610169362893</v>
      </c>
      <c r="FR197" s="21">
        <f>EXP(-LN(2)/25)*FR196+(1-EXP(-LN(2)/25))/(LN(2)/25)*Calculateur!FM197*Calculateur!FO197*VLOOKUP('Données projet'!$B$16,Paramètres!$A$1:$I$89,3,0)*0.475*44/12</f>
        <v>0</v>
      </c>
      <c r="FS197" s="21">
        <f>EXP(-LN(2)/2)*FS196+(1-EXP(-LN(2)/2))/(LN(2)/2)*FM197*FP197*VLOOKUP('Données projet'!$B$16,Paramètres!$A$1:$I$89,3,0)*0.475*44/12</f>
        <v>0</v>
      </c>
      <c r="FT197" s="22">
        <f t="shared" si="184"/>
        <v>5.6700610169362893</v>
      </c>
      <c r="FU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19.8100000000004</v>
      </c>
      <c r="GA197" s="17">
        <f>FZ197*VLOOKUP('Données projet'!$B$17,Paramètres!$A$1:$I$89,3,0)*VLOOKUP('Données projet'!$B$17,Paramètres!$A$1:$I$89,5,0)</f>
        <v>18.851196000000382</v>
      </c>
      <c r="GB197" s="13">
        <f t="shared" si="185"/>
        <v>6.172221809210666</v>
      </c>
      <c r="GC197" s="20">
        <f t="shared" si="186"/>
        <v>43.582452684375909</v>
      </c>
      <c r="GD197" s="59">
        <f t="shared" si="200"/>
        <v>333.84123521859567</v>
      </c>
      <c r="GE197" s="59">
        <f ca="1">AVERAGE(OFFSET($GD$3,0,0,'Données projet'!$E$17+1,1))-AVERAGE(OFFSET($H$3,0,0,'Données projet'!$E$17+1,1))</f>
        <v>592.58528889137358</v>
      </c>
      <c r="GF197" s="59">
        <f t="shared" ref="GF197:GF203" si="212">$GF$3</f>
        <v>311.31528020403709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>
        <f>EXP(-LN(2)/35)*GL196+(1-EXP(-LN(2)/35))/(LN(2)/35)*GH197*GI197*VLOOKUP('Données projet'!$B$17,Paramètres!$A$1:$I$89,3,0)*0.475*44/12</f>
        <v>83.686906016867283</v>
      </c>
      <c r="GM197" s="21">
        <f>EXP(-LN(2)/25)*GM196+(1-EXP(-LN(2)/25))/(LN(2)/25)*Calculateur!GH197*Calculateur!GJ197*VLOOKUP('Données projet'!$B$17,Paramètres!$A$1:$I$89,3,0)*0.475*44/12</f>
        <v>0</v>
      </c>
      <c r="GN197" s="21">
        <f>EXP(-LN(2)/2)*GN196+(1-EXP(-LN(2)/2))/(LN(2)/2)*GH197*GK197*VLOOKUP('Données projet'!$B$17,Paramètres!$A$1:$I$89,3,0)*0.475*44/12</f>
        <v>0</v>
      </c>
      <c r="GO197" s="21">
        <f t="shared" si="187"/>
        <v>83.686906016867283</v>
      </c>
      <c r="GP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328.00000000000006</v>
      </c>
      <c r="GV197" s="17">
        <f>GU197*VLOOKUP('Données projet'!$B$18,Paramètres!$A$1:$I$89,3,0)*VLOOKUP('Données projet'!$B$18,Paramètres!$A$1:$I$89,5,0)</f>
        <v>255.84000000000006</v>
      </c>
      <c r="GW197" s="13">
        <f t="shared" si="188"/>
        <v>61.834803371075836</v>
      </c>
      <c r="GX197" s="20">
        <f t="shared" si="189"/>
        <v>553.28361587129041</v>
      </c>
      <c r="GY197" s="59">
        <f t="shared" si="201"/>
        <v>843.54239840551008</v>
      </c>
      <c r="GZ197" s="59">
        <f ca="1">AVERAGE(OFFSET($GY$3,0,0,'Données projet'!$E$18+1,1))-AVERAGE(OFFSET($H$3,0,0,'Données projet'!$E$18+1,1))</f>
        <v>308.85018589589453</v>
      </c>
      <c r="HA197" s="59">
        <f t="shared" ref="HA197:HA203" si="213">$HA$3</f>
        <v>302.59481222418219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>
        <f>EXP(-LN(2)/35)*HG196+(1-EXP(-LN(2)/35))/(LN(2)/35)*HC197*HD197*VLOOKUP('Données projet'!$B$18,Paramètres!$A$1:$I$89,3,0)*0.475*44/12</f>
        <v>4.237919838284042</v>
      </c>
      <c r="HH197" s="21">
        <f>EXP(-LN(2)/25)*HH196+(1-EXP(-LN(2)/25))/(LN(2)/25)*Calculateur!HC197*Calculateur!HE197*VLOOKUP('Données projet'!$B$18,Paramètres!$A$1:$I$89,3,0)*0.475*44/12</f>
        <v>0</v>
      </c>
      <c r="HI197" s="21">
        <f>EXP(-LN(2)/2)*HI196+(1-EXP(-LN(2)/2))/(LN(2)/2)*HC197*HF197*VLOOKUP('Données projet'!$B$18,Paramètres!$A$1:$I$89,3,0)*0.475*44/12</f>
        <v>0</v>
      </c>
      <c r="HJ197" s="22">
        <f t="shared" si="190"/>
        <v>4.237919838284042</v>
      </c>
    </row>
    <row r="198" spans="1:218" x14ac:dyDescent="0.35">
      <c r="A198" s="10">
        <f t="shared" si="161"/>
        <v>195</v>
      </c>
      <c r="B198" s="72">
        <f>'Scénario référence'!$B$16*5+'Scénario référence'!$B$17*0+'Scénario référence'!$B$18*5</f>
        <v>5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66">
        <f t="shared" si="192"/>
        <v>183.33333333333334</v>
      </c>
      <c r="I198" s="6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19.8100000000004</v>
      </c>
      <c r="O198" s="13">
        <f>N198*VLOOKUP('Données projet'!$B$9,Paramètres!$A$1:$I$89,3,0)*VLOOKUP('Données projet'!$B$9,Paramètres!$A$1:$I$89,5,0)</f>
        <v>17.924088000000364</v>
      </c>
      <c r="P198" s="13">
        <f t="shared" si="203"/>
        <v>5.9032212091029486</v>
      </c>
      <c r="Q198" s="20">
        <f t="shared" si="162"/>
        <v>41.499230205854936</v>
      </c>
      <c r="R198" s="59">
        <f t="shared" si="191"/>
        <v>331.81134932277342</v>
      </c>
      <c r="S198" s="59">
        <f ca="1">AVERAGE(OFFSET($R$3,0,0,'Données projet'!$E$9+1,1))-AVERAGE(OFFSET($H$3,0,0,'Données projet'!$E$9+1,1))</f>
        <v>567.42635821507474</v>
      </c>
      <c r="T198" s="59">
        <f t="shared" si="204"/>
        <v>299.04735309930152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78.010814694479407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78.010814694479407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19.8100000000004</v>
      </c>
      <c r="AJ198" s="13">
        <f>AI198*VLOOKUP('Données projet'!$B$10,Paramètres!$A$1:$I$89,3,0)*VLOOKUP('Données projet'!$B$10,Paramètres!$A$1:$I$89,5,0)</f>
        <v>20.08734000000041</v>
      </c>
      <c r="AK198" s="13">
        <f t="shared" si="164"/>
        <v>6.5285137703520215</v>
      </c>
      <c r="AL198" s="20">
        <f t="shared" si="165"/>
        <v>46.355945316697152</v>
      </c>
      <c r="AM198" s="59">
        <f t="shared" si="193"/>
        <v>336.66806443361565</v>
      </c>
      <c r="AN198" s="59">
        <f ca="1">AVERAGE(OFFSET($AM$3,0,0,'Données projet'!$E$10+1,1))-AVERAGE(OFFSET($H$3,0,0,'Données projet'!$E$10+1,1))</f>
        <v>626.09203985591455</v>
      </c>
      <c r="AO198" s="59">
        <f t="shared" si="205"/>
        <v>327.65191296575199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87.425913019675193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87.425913019675193</v>
      </c>
      <c r="AY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404.00000000000017</v>
      </c>
      <c r="BE198" s="13">
        <f>BD198*VLOOKUP('Données projet'!$B$11,Paramètres!$A$1:$I$89,3,0)*VLOOKUP('Données projet'!$B$11,Paramètres!$A$1:$I$89,5,0)</f>
        <v>346.63200000000018</v>
      </c>
      <c r="BF198" s="13">
        <f t="shared" si="167"/>
        <v>80.868615263336864</v>
      </c>
      <c r="BG198" s="20">
        <f t="shared" si="168"/>
        <v>744.56357158364528</v>
      </c>
      <c r="BH198" s="59">
        <f t="shared" si="194"/>
        <v>1034.8756907005638</v>
      </c>
      <c r="BI198" s="59">
        <f ca="1">AVERAGE(OFFSET($BH$3,0,0,'Données projet'!$E$11+1,1))-AVERAGE(OFFSET($H$3,0,0,'Données projet'!$E$11+1,1))</f>
        <v>481.23392184981651</v>
      </c>
      <c r="BJ198" s="59">
        <f t="shared" si="206"/>
        <v>275.88160405468193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22.633064005642506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22.633064005642506</v>
      </c>
      <c r="BT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5.2499999999990337</v>
      </c>
      <c r="BZ198" s="13">
        <f>BY198*VLOOKUP('Données projet'!$B$12,Paramètres!$A$1:$I$89,3,0)*VLOOKUP('Données projet'!$B$12,Paramètres!$A$1:$I$89,5,0)</f>
        <v>2.4569999999995478</v>
      </c>
      <c r="CA198" s="13">
        <f t="shared" si="170"/>
        <v>1.0197977774625564</v>
      </c>
      <c r="CB198" s="20">
        <f t="shared" si="171"/>
        <v>6.0554227957464972</v>
      </c>
      <c r="CC198" s="59">
        <f t="shared" si="195"/>
        <v>296.36754191266499</v>
      </c>
      <c r="CD198" s="59">
        <f ca="1">AVERAGE(OFFSET($CC$3,0,0,'Données projet'!$E$12+1,1))-AVERAGE(OFFSET($H$3,0,0,'Données projet'!$E$12+1,1))</f>
        <v>331.86732359395467</v>
      </c>
      <c r="CE198" s="59">
        <f t="shared" si="207"/>
        <v>208.64489375183106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44.231775382869245</v>
      </c>
      <c r="CL198" s="21">
        <f>EXP(-LN(2)/25)*CL197+(1-EXP(-LN(2)/25))/(LN(2)/25)*Calculateur!CG198*Calculateur!CI198*VLOOKUP('Données projet'!$B$12,Paramètres!$A$1:$I$89,3,0)*0.475*44/12</f>
        <v>0</v>
      </c>
      <c r="CM198" s="21">
        <f>EXP(-LN(2)/2)*CM197+(1-EXP(-LN(2)/2))/(LN(2)/2)*CG198*CJ198*VLOOKUP('Données projet'!$B$12,Paramètres!$A$1:$I$89,3,0)*0.475*44/12</f>
        <v>0</v>
      </c>
      <c r="CN198" s="22">
        <f t="shared" si="172"/>
        <v>44.231775382869245</v>
      </c>
      <c r="CO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319</v>
      </c>
      <c r="CU198" s="17">
        <f>CT198*VLOOKUP('Données projet'!$B$13,Paramètres!$A$1:$I$89,3,0)*VLOOKUP('Données projet'!$B$13,Paramètres!$A$1:$I$89,5,0)</f>
        <v>233.89079999999998</v>
      </c>
      <c r="CV198" s="13">
        <f t="shared" si="173"/>
        <v>57.123140349023068</v>
      </c>
      <c r="CW198" s="20">
        <f t="shared" si="174"/>
        <v>506.84927944121517</v>
      </c>
      <c r="CX198" s="59">
        <f t="shared" si="196"/>
        <v>797.16139855813367</v>
      </c>
      <c r="CY198" s="59">
        <f ca="1">AVERAGE(OFFSET($CX$3,0,0,'Données projet'!$E$13+1,1))-AVERAGE(OFFSET($H$3,0,0,'Données projet'!$E$13+1,1))</f>
        <v>352.45777291109863</v>
      </c>
      <c r="CZ198" s="59">
        <f t="shared" si="208"/>
        <v>340.92165104349181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4.0763735572330848</v>
      </c>
      <c r="DG198" s="21">
        <f>EXP(-LN(2)/25)*DG197+(1-EXP(-LN(2)/25))/(LN(2)/25)*Calculateur!DB198*Calculateur!DD198*VLOOKUP('Données projet'!$B$13,Paramètres!$A$1:$I$89,3,0)*0.475*44/12</f>
        <v>0</v>
      </c>
      <c r="DH198" s="21">
        <f>EXP(-LN(2)/2)*DH197+(1-EXP(-LN(2)/2))/(LN(2)/2)*DB198*DE198*VLOOKUP('Données projet'!$B$13,Paramètres!$A$1:$I$89,3,0)*0.475*44/12</f>
        <v>0</v>
      </c>
      <c r="DI198" s="22">
        <f t="shared" si="175"/>
        <v>4.0763735572330848</v>
      </c>
      <c r="DJ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19.8100000000004</v>
      </c>
      <c r="DP198" s="17">
        <f>DO198*VLOOKUP('Données projet'!$B$14,Paramètres!$A$1:$I$89,3,0)*VLOOKUP('Données projet'!$B$14,Paramètres!$A$1:$I$89,5,0)</f>
        <v>13.288548000000269</v>
      </c>
      <c r="DQ198" s="13">
        <f t="shared" si="176"/>
        <v>4.531654695205642</v>
      </c>
      <c r="DR198" s="20">
        <f t="shared" si="177"/>
        <v>31.036853027483627</v>
      </c>
      <c r="DS198" s="59">
        <f t="shared" si="197"/>
        <v>321.34897214440213</v>
      </c>
      <c r="DT198" s="59">
        <f ca="1">AVERAGE(OFFSET($DS$3,0,0,'Données projet'!$E$14+1,1))-AVERAGE(OFFSET($H$3,0,0,'Données projet'!$E$14+1,1))</f>
        <v>441.20130048888439</v>
      </c>
      <c r="DU198" s="59">
        <f t="shared" si="209"/>
        <v>237.47732532183946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71.285744462196647</v>
      </c>
      <c r="EB198" s="21">
        <f>EXP(-LN(2)/25)*EB197+(1-EXP(-LN(2)/25))/(LN(2)/25)*Calculateur!DW198*Calculateur!DY198*VLOOKUP('Données projet'!$B$14,Paramètres!$A$1:$I$89,3,0)*0.475*44/12</f>
        <v>0</v>
      </c>
      <c r="EC198" s="21">
        <f>EXP(-LN(2)/2)*EC197+(1-EXP(-LN(2)/2))/(LN(2)/2)*DW198*DZ198*VLOOKUP('Données projet'!$B$14,Paramètres!$A$1:$I$89,3,0)*0.475*44/12</f>
        <v>0</v>
      </c>
      <c r="ED198" s="22">
        <f t="shared" si="178"/>
        <v>71.285744462196647</v>
      </c>
      <c r="EE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319</v>
      </c>
      <c r="EK198" s="17">
        <f>EJ198*VLOOKUP('Données projet'!$B$15,Paramètres!$A$1:$I$89,3,0)*VLOOKUP('Données projet'!$B$15,Paramètres!$A$1:$I$89,5,0)</f>
        <v>253.79640000000001</v>
      </c>
      <c r="EL198" s="13">
        <f t="shared" si="179"/>
        <v>61.39816832228076</v>
      </c>
      <c r="EM198" s="20">
        <f t="shared" si="180"/>
        <v>548.96387316130563</v>
      </c>
      <c r="EN198" s="59">
        <f t="shared" si="198"/>
        <v>839.27599227822407</v>
      </c>
      <c r="EO198" s="59">
        <f ca="1">AVERAGE(OFFSET($EN$3,0,0,'Données projet'!$E$15+1,1))-AVERAGE(OFFSET($H$3,0,0,'Données projet'!$E$15+1,1))</f>
        <v>377.27600411578322</v>
      </c>
      <c r="EP198" s="59">
        <f t="shared" si="210"/>
        <v>364.58250627635425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>
        <f>EXP(-LN(2)/35)*EV197+(1-EXP(-LN(2)/35))/(LN(2)/35)*ER198*ES198*VLOOKUP('Données projet'!$B$15,Paramètres!$A$1:$I$89,3,0)*0.475*44/12</f>
        <v>5.4519731445823982</v>
      </c>
      <c r="EW198" s="21">
        <f>EXP(-LN(2)/25)*EW197+(1-EXP(-LN(2)/25))/(LN(2)/25)*Calculateur!ER198*Calculateur!ET198*VLOOKUP('Données projet'!$B$15,Paramètres!$A$1:$I$89,3,0)*0.475*44/12</f>
        <v>0</v>
      </c>
      <c r="EX198" s="21">
        <f>EXP(-LN(2)/2)*EX197+(1-EXP(-LN(2)/2))/(LN(2)/2)*ER198*EU198*VLOOKUP('Données projet'!$B$15,Paramètres!$A$1:$I$89,3,0)*0.475*44/12</f>
        <v>0</v>
      </c>
      <c r="EY198" s="22">
        <f t="shared" si="181"/>
        <v>5.4519731445823982</v>
      </c>
      <c r="EZ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319</v>
      </c>
      <c r="FF198" s="17">
        <f>FE198*VLOOKUP('Données projet'!$B$16,Paramètres!$A$1:$I$89,3,0)*VLOOKUP('Données projet'!$B$16,Paramètres!$A$1:$I$89,5,0)</f>
        <v>258.77280000000002</v>
      </c>
      <c r="FG198" s="13">
        <f t="shared" si="182"/>
        <v>62.460716522234691</v>
      </c>
      <c r="FH198" s="20">
        <f t="shared" si="183"/>
        <v>559.48170794289206</v>
      </c>
      <c r="FI198" s="59">
        <f t="shared" si="199"/>
        <v>849.79382705981061</v>
      </c>
      <c r="FJ198" s="59">
        <f ca="1">AVERAGE(OFFSET($FI$3,0,0,'Données projet'!$E$16+1,1))-AVERAGE(OFFSET($H$3,0,0,'Données projet'!$E$16+1,1))</f>
        <v>383.47399633251354</v>
      </c>
      <c r="FK198" s="59">
        <f t="shared" si="211"/>
        <v>370.49129421395628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>
        <f>EXP(-LN(2)/35)*FQ197+(1-EXP(-LN(2)/35))/(LN(2)/35)*FM198*FN198*VLOOKUP('Données projet'!$B$16,Paramètres!$A$1:$I$89,3,0)*0.475*44/12</f>
        <v>5.5588745787899008</v>
      </c>
      <c r="FR198" s="21">
        <f>EXP(-LN(2)/25)*FR197+(1-EXP(-LN(2)/25))/(LN(2)/25)*Calculateur!FM198*Calculateur!FO198*VLOOKUP('Données projet'!$B$16,Paramètres!$A$1:$I$89,3,0)*0.475*44/12</f>
        <v>0</v>
      </c>
      <c r="FS198" s="21">
        <f>EXP(-LN(2)/2)*FS197+(1-EXP(-LN(2)/2))/(LN(2)/2)*FM198*FP198*VLOOKUP('Données projet'!$B$16,Paramètres!$A$1:$I$89,3,0)*0.475*44/12</f>
        <v>0</v>
      </c>
      <c r="FT198" s="22">
        <f t="shared" si="184"/>
        <v>5.5588745787899008</v>
      </c>
      <c r="FU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19.8100000000004</v>
      </c>
      <c r="GA198" s="17">
        <f>FZ198*VLOOKUP('Données projet'!$B$17,Paramètres!$A$1:$I$89,3,0)*VLOOKUP('Données projet'!$B$17,Paramètres!$A$1:$I$89,5,0)</f>
        <v>18.851196000000382</v>
      </c>
      <c r="GB198" s="13">
        <f t="shared" si="185"/>
        <v>6.172221809210666</v>
      </c>
      <c r="GC198" s="20">
        <f t="shared" si="186"/>
        <v>43.582452684375909</v>
      </c>
      <c r="GD198" s="59">
        <f t="shared" si="200"/>
        <v>333.89457180129443</v>
      </c>
      <c r="GE198" s="59">
        <f ca="1">AVERAGE(OFFSET($GD$3,0,0,'Données projet'!$E$17+1,1))-AVERAGE(OFFSET($H$3,0,0,'Données projet'!$E$17+1,1))</f>
        <v>592.58528889137358</v>
      </c>
      <c r="GF198" s="59">
        <f t="shared" si="212"/>
        <v>311.31528020403709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>
        <f>EXP(-LN(2)/35)*GL197+(1-EXP(-LN(2)/35))/(LN(2)/35)*GH198*GI198*VLOOKUP('Données projet'!$B$17,Paramètres!$A$1:$I$89,3,0)*0.475*44/12</f>
        <v>82.045856833849015</v>
      </c>
      <c r="GM198" s="21">
        <f>EXP(-LN(2)/25)*GM197+(1-EXP(-LN(2)/25))/(LN(2)/25)*Calculateur!GH198*Calculateur!GJ198*VLOOKUP('Données projet'!$B$17,Paramètres!$A$1:$I$89,3,0)*0.475*44/12</f>
        <v>0</v>
      </c>
      <c r="GN198" s="21">
        <f>EXP(-LN(2)/2)*GN197+(1-EXP(-LN(2)/2))/(LN(2)/2)*GH198*GK198*VLOOKUP('Données projet'!$B$17,Paramètres!$A$1:$I$89,3,0)*0.475*44/12</f>
        <v>0</v>
      </c>
      <c r="GO198" s="21">
        <f t="shared" si="187"/>
        <v>82.045856833849015</v>
      </c>
      <c r="GP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328.00000000000006</v>
      </c>
      <c r="GV198" s="17">
        <f>GU198*VLOOKUP('Données projet'!$B$18,Paramètres!$A$1:$I$89,3,0)*VLOOKUP('Données projet'!$B$18,Paramètres!$A$1:$I$89,5,0)</f>
        <v>255.84000000000006</v>
      </c>
      <c r="GW198" s="13">
        <f t="shared" si="188"/>
        <v>61.834803371075836</v>
      </c>
      <c r="GX198" s="20">
        <f t="shared" si="189"/>
        <v>553.28361587129041</v>
      </c>
      <c r="GY198" s="59">
        <f t="shared" si="201"/>
        <v>843.59573498820896</v>
      </c>
      <c r="GZ198" s="59">
        <f ca="1">AVERAGE(OFFSET($GY$3,0,0,'Données projet'!$E$18+1,1))-AVERAGE(OFFSET($H$3,0,0,'Données projet'!$E$18+1,1))</f>
        <v>308.85018589589453</v>
      </c>
      <c r="HA198" s="59">
        <f t="shared" si="213"/>
        <v>302.59481222418219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>
        <f>EXP(-LN(2)/35)*HG197+(1-EXP(-LN(2)/35))/(LN(2)/35)*HC198*HD198*VLOOKUP('Données projet'!$B$18,Paramètres!$A$1:$I$89,3,0)*0.475*44/12</f>
        <v>4.1548168151311575</v>
      </c>
      <c r="HH198" s="21">
        <f>EXP(-LN(2)/25)*HH197+(1-EXP(-LN(2)/25))/(LN(2)/25)*Calculateur!HC198*Calculateur!HE198*VLOOKUP('Données projet'!$B$18,Paramètres!$A$1:$I$89,3,0)*0.475*44/12</f>
        <v>0</v>
      </c>
      <c r="HI198" s="21">
        <f>EXP(-LN(2)/2)*HI197+(1-EXP(-LN(2)/2))/(LN(2)/2)*HC198*HF198*VLOOKUP('Données projet'!$B$18,Paramètres!$A$1:$I$89,3,0)*0.475*44/12</f>
        <v>0</v>
      </c>
      <c r="HJ198" s="22">
        <f t="shared" si="190"/>
        <v>4.1548168151311575</v>
      </c>
    </row>
    <row r="199" spans="1:218" x14ac:dyDescent="0.35">
      <c r="A199" s="10">
        <f t="shared" si="161"/>
        <v>196</v>
      </c>
      <c r="B199" s="72">
        <f>'Scénario référence'!$B$16*5+'Scénario référence'!$B$17*0+'Scénario référence'!$B$18*5</f>
        <v>5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66">
        <f t="shared" si="192"/>
        <v>183.33333333333334</v>
      </c>
      <c r="I199" s="6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19.8100000000004</v>
      </c>
      <c r="O199" s="13">
        <f>N199*VLOOKUP('Données projet'!$B$9,Paramètres!$A$1:$I$89,3,0)*VLOOKUP('Données projet'!$B$9,Paramètres!$A$1:$I$89,5,0)</f>
        <v>17.924088000000364</v>
      </c>
      <c r="P199" s="13">
        <f t="shared" si="203"/>
        <v>5.9032212091029486</v>
      </c>
      <c r="Q199" s="20">
        <f t="shared" si="162"/>
        <v>41.499230205854936</v>
      </c>
      <c r="R199" s="59">
        <f t="shared" si="191"/>
        <v>331.86376063500512</v>
      </c>
      <c r="S199" s="59">
        <f ca="1">AVERAGE(OFFSET($R$3,0,0,'Données projet'!$E$9+1,1))-AVERAGE(OFFSET($H$3,0,0,'Données projet'!$E$9+1,1))</f>
        <v>567.42635821507474</v>
      </c>
      <c r="T199" s="59">
        <f t="shared" si="204"/>
        <v>299.04735309930152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76.481070200219307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76.481070200219307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19.8100000000004</v>
      </c>
      <c r="AJ199" s="13">
        <f>AI199*VLOOKUP('Données projet'!$B$10,Paramètres!$A$1:$I$89,3,0)*VLOOKUP('Données projet'!$B$10,Paramètres!$A$1:$I$89,5,0)</f>
        <v>20.08734000000041</v>
      </c>
      <c r="AK199" s="13">
        <f t="shared" si="164"/>
        <v>6.5285137703520215</v>
      </c>
      <c r="AL199" s="20">
        <f t="shared" si="165"/>
        <v>46.355945316697152</v>
      </c>
      <c r="AM199" s="59">
        <f t="shared" si="193"/>
        <v>336.72047574584735</v>
      </c>
      <c r="AN199" s="59">
        <f ca="1">AVERAGE(OFFSET($AM$3,0,0,'Données projet'!$E$10+1,1))-AVERAGE(OFFSET($H$3,0,0,'Données projet'!$E$10+1,1))</f>
        <v>626.09203985591455</v>
      </c>
      <c r="AO199" s="59">
        <f t="shared" si="205"/>
        <v>327.65191296575199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85.711544189900948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85.711544189900948</v>
      </c>
      <c r="AY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404.00000000000017</v>
      </c>
      <c r="BE199" s="13">
        <f>BD199*VLOOKUP('Données projet'!$B$11,Paramètres!$A$1:$I$89,3,0)*VLOOKUP('Données projet'!$B$11,Paramètres!$A$1:$I$89,5,0)</f>
        <v>346.63200000000018</v>
      </c>
      <c r="BF199" s="13">
        <f t="shared" si="167"/>
        <v>80.868615263336864</v>
      </c>
      <c r="BG199" s="20">
        <f t="shared" si="168"/>
        <v>744.56357158364528</v>
      </c>
      <c r="BH199" s="59">
        <f t="shared" si="194"/>
        <v>1034.9281020127955</v>
      </c>
      <c r="BI199" s="59">
        <f ca="1">AVERAGE(OFFSET($BH$3,0,0,'Données projet'!$E$11+1,1))-AVERAGE(OFFSET($H$3,0,0,'Données projet'!$E$11+1,1))</f>
        <v>481.23392184981651</v>
      </c>
      <c r="BJ199" s="59">
        <f t="shared" si="206"/>
        <v>275.88160405468193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22.189243425297789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22.189243425297789</v>
      </c>
      <c r="BT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5.2499999999990337</v>
      </c>
      <c r="BZ199" s="13">
        <f>BY199*VLOOKUP('Données projet'!$B$12,Paramètres!$A$1:$I$89,3,0)*VLOOKUP('Données projet'!$B$12,Paramètres!$A$1:$I$89,5,0)</f>
        <v>2.4569999999995478</v>
      </c>
      <c r="CA199" s="13">
        <f t="shared" si="170"/>
        <v>1.0197977774625564</v>
      </c>
      <c r="CB199" s="20">
        <f t="shared" si="171"/>
        <v>6.0554227957464972</v>
      </c>
      <c r="CC199" s="59">
        <f t="shared" si="195"/>
        <v>296.41995322489669</v>
      </c>
      <c r="CD199" s="59">
        <f ca="1">AVERAGE(OFFSET($CC$3,0,0,'Données projet'!$E$12+1,1))-AVERAGE(OFFSET($H$3,0,0,'Données projet'!$E$12+1,1))</f>
        <v>331.86732359395467</v>
      </c>
      <c r="CE199" s="59">
        <f t="shared" si="207"/>
        <v>208.64489375183106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43.364417246330234</v>
      </c>
      <c r="CL199" s="21">
        <f>EXP(-LN(2)/25)*CL198+(1-EXP(-LN(2)/25))/(LN(2)/25)*Calculateur!CG199*Calculateur!CI199*VLOOKUP('Données projet'!$B$12,Paramètres!$A$1:$I$89,3,0)*0.475*44/12</f>
        <v>0</v>
      </c>
      <c r="CM199" s="21">
        <f>EXP(-LN(2)/2)*CM198+(1-EXP(-LN(2)/2))/(LN(2)/2)*CG199*CJ199*VLOOKUP('Données projet'!$B$12,Paramètres!$A$1:$I$89,3,0)*0.475*44/12</f>
        <v>0</v>
      </c>
      <c r="CN199" s="22">
        <f t="shared" si="172"/>
        <v>43.364417246330234</v>
      </c>
      <c r="CO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319</v>
      </c>
      <c r="CU199" s="17">
        <f>CT199*VLOOKUP('Données projet'!$B$13,Paramètres!$A$1:$I$89,3,0)*VLOOKUP('Données projet'!$B$13,Paramètres!$A$1:$I$89,5,0)</f>
        <v>233.89079999999998</v>
      </c>
      <c r="CV199" s="13">
        <f t="shared" si="173"/>
        <v>57.123140349023068</v>
      </c>
      <c r="CW199" s="20">
        <f t="shared" si="174"/>
        <v>506.84927944121517</v>
      </c>
      <c r="CX199" s="59">
        <f t="shared" si="196"/>
        <v>797.21380987036537</v>
      </c>
      <c r="CY199" s="59">
        <f ca="1">AVERAGE(OFFSET($CX$3,0,0,'Données projet'!$E$13+1,1))-AVERAGE(OFFSET($H$3,0,0,'Données projet'!$E$13+1,1))</f>
        <v>352.45777291109863</v>
      </c>
      <c r="CZ199" s="59">
        <f t="shared" si="208"/>
        <v>340.92165104349181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3.996438358118108</v>
      </c>
      <c r="DG199" s="21">
        <f>EXP(-LN(2)/25)*DG198+(1-EXP(-LN(2)/25))/(LN(2)/25)*Calculateur!DB199*Calculateur!DD199*VLOOKUP('Données projet'!$B$13,Paramètres!$A$1:$I$89,3,0)*0.475*44/12</f>
        <v>0</v>
      </c>
      <c r="DH199" s="21">
        <f>EXP(-LN(2)/2)*DH198+(1-EXP(-LN(2)/2))/(LN(2)/2)*DB199*DE199*VLOOKUP('Données projet'!$B$13,Paramètres!$A$1:$I$89,3,0)*0.475*44/12</f>
        <v>0</v>
      </c>
      <c r="DI199" s="22">
        <f t="shared" si="175"/>
        <v>3.996438358118108</v>
      </c>
      <c r="DJ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19.8100000000004</v>
      </c>
      <c r="DP199" s="17">
        <f>DO199*VLOOKUP('Données projet'!$B$14,Paramètres!$A$1:$I$89,3,0)*VLOOKUP('Données projet'!$B$14,Paramètres!$A$1:$I$89,5,0)</f>
        <v>13.288548000000269</v>
      </c>
      <c r="DQ199" s="13">
        <f t="shared" si="176"/>
        <v>4.531654695205642</v>
      </c>
      <c r="DR199" s="20">
        <f t="shared" si="177"/>
        <v>31.036853027483627</v>
      </c>
      <c r="DS199" s="59">
        <f t="shared" si="197"/>
        <v>321.40138345663382</v>
      </c>
      <c r="DT199" s="59">
        <f ca="1">AVERAGE(OFFSET($DS$3,0,0,'Données projet'!$E$14+1,1))-AVERAGE(OFFSET($H$3,0,0,'Données projet'!$E$14+1,1))</f>
        <v>441.20130048888439</v>
      </c>
      <c r="DU199" s="59">
        <f t="shared" si="209"/>
        <v>237.47732532183946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69.887874493303798</v>
      </c>
      <c r="EB199" s="21">
        <f>EXP(-LN(2)/25)*EB198+(1-EXP(-LN(2)/25))/(LN(2)/25)*Calculateur!DW199*Calculateur!DY199*VLOOKUP('Données projet'!$B$14,Paramètres!$A$1:$I$89,3,0)*0.475*44/12</f>
        <v>0</v>
      </c>
      <c r="EC199" s="21">
        <f>EXP(-LN(2)/2)*EC198+(1-EXP(-LN(2)/2))/(LN(2)/2)*DW199*DZ199*VLOOKUP('Données projet'!$B$14,Paramètres!$A$1:$I$89,3,0)*0.475*44/12</f>
        <v>0</v>
      </c>
      <c r="ED199" s="22">
        <f t="shared" si="178"/>
        <v>69.887874493303798</v>
      </c>
      <c r="EE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319</v>
      </c>
      <c r="EK199" s="17">
        <f>EJ199*VLOOKUP('Données projet'!$B$15,Paramètres!$A$1:$I$89,3,0)*VLOOKUP('Données projet'!$B$15,Paramètres!$A$1:$I$89,5,0)</f>
        <v>253.79640000000001</v>
      </c>
      <c r="EL199" s="13">
        <f t="shared" si="179"/>
        <v>61.39816832228076</v>
      </c>
      <c r="EM199" s="20">
        <f t="shared" si="180"/>
        <v>548.96387316130563</v>
      </c>
      <c r="EN199" s="59">
        <f t="shared" si="198"/>
        <v>839.32840359045576</v>
      </c>
      <c r="EO199" s="59">
        <f ca="1">AVERAGE(OFFSET($EN$3,0,0,'Données projet'!$E$15+1,1))-AVERAGE(OFFSET($H$3,0,0,'Données projet'!$E$15+1,1))</f>
        <v>377.27600411578322</v>
      </c>
      <c r="EP199" s="59">
        <f t="shared" si="210"/>
        <v>364.58250627635425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>
        <f>EXP(-LN(2)/35)*EV198+(1-EXP(-LN(2)/35))/(LN(2)/35)*ER199*ES199*VLOOKUP('Données projet'!$B$15,Paramètres!$A$1:$I$89,3,0)*0.475*44/12</f>
        <v>5.345063276592402</v>
      </c>
      <c r="EW199" s="21">
        <f>EXP(-LN(2)/25)*EW198+(1-EXP(-LN(2)/25))/(LN(2)/25)*Calculateur!ER199*Calculateur!ET199*VLOOKUP('Données projet'!$B$15,Paramètres!$A$1:$I$89,3,0)*0.475*44/12</f>
        <v>0</v>
      </c>
      <c r="EX199" s="21">
        <f>EXP(-LN(2)/2)*EX198+(1-EXP(-LN(2)/2))/(LN(2)/2)*ER199*EU199*VLOOKUP('Données projet'!$B$15,Paramètres!$A$1:$I$89,3,0)*0.475*44/12</f>
        <v>0</v>
      </c>
      <c r="EY199" s="22">
        <f t="shared" si="181"/>
        <v>5.345063276592402</v>
      </c>
      <c r="EZ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319</v>
      </c>
      <c r="FF199" s="17">
        <f>FE199*VLOOKUP('Données projet'!$B$16,Paramètres!$A$1:$I$89,3,0)*VLOOKUP('Données projet'!$B$16,Paramètres!$A$1:$I$89,5,0)</f>
        <v>258.77280000000002</v>
      </c>
      <c r="FG199" s="13">
        <f t="shared" si="182"/>
        <v>62.460716522234691</v>
      </c>
      <c r="FH199" s="20">
        <f t="shared" si="183"/>
        <v>559.48170794289206</v>
      </c>
      <c r="FI199" s="59">
        <f t="shared" si="199"/>
        <v>849.84623837204231</v>
      </c>
      <c r="FJ199" s="59">
        <f ca="1">AVERAGE(OFFSET($FI$3,0,0,'Données projet'!$E$16+1,1))-AVERAGE(OFFSET($H$3,0,0,'Données projet'!$E$16+1,1))</f>
        <v>383.47399633251354</v>
      </c>
      <c r="FK199" s="59">
        <f t="shared" si="211"/>
        <v>370.49129421395628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>
        <f>EXP(-LN(2)/35)*FQ198+(1-EXP(-LN(2)/35))/(LN(2)/35)*FM199*FN199*VLOOKUP('Données projet'!$B$16,Paramètres!$A$1:$I$89,3,0)*0.475*44/12</f>
        <v>5.4498684388785321</v>
      </c>
      <c r="FR199" s="21">
        <f>EXP(-LN(2)/25)*FR198+(1-EXP(-LN(2)/25))/(LN(2)/25)*Calculateur!FM199*Calculateur!FO199*VLOOKUP('Données projet'!$B$16,Paramètres!$A$1:$I$89,3,0)*0.475*44/12</f>
        <v>0</v>
      </c>
      <c r="FS199" s="21">
        <f>EXP(-LN(2)/2)*FS198+(1-EXP(-LN(2)/2))/(LN(2)/2)*FM199*FP199*VLOOKUP('Données projet'!$B$16,Paramètres!$A$1:$I$89,3,0)*0.475*44/12</f>
        <v>0</v>
      </c>
      <c r="FT199" s="22">
        <f t="shared" si="184"/>
        <v>5.4498684388785321</v>
      </c>
      <c r="FU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19.8100000000004</v>
      </c>
      <c r="GA199" s="17">
        <f>FZ199*VLOOKUP('Données projet'!$B$17,Paramètres!$A$1:$I$89,3,0)*VLOOKUP('Données projet'!$B$17,Paramètres!$A$1:$I$89,5,0)</f>
        <v>18.851196000000382</v>
      </c>
      <c r="GB199" s="13">
        <f t="shared" si="185"/>
        <v>6.172221809210666</v>
      </c>
      <c r="GC199" s="20">
        <f t="shared" si="186"/>
        <v>43.582452684375909</v>
      </c>
      <c r="GD199" s="59">
        <f t="shared" si="200"/>
        <v>333.94698311352613</v>
      </c>
      <c r="GE199" s="59">
        <f ca="1">AVERAGE(OFFSET($GD$3,0,0,'Données projet'!$E$17+1,1))-AVERAGE(OFFSET($H$3,0,0,'Données projet'!$E$17+1,1))</f>
        <v>592.58528889137358</v>
      </c>
      <c r="GF199" s="59">
        <f t="shared" si="212"/>
        <v>311.31528020403709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>
        <f>EXP(-LN(2)/35)*GL198+(1-EXP(-LN(2)/35))/(LN(2)/35)*GH199*GI199*VLOOKUP('Données projet'!$B$17,Paramètres!$A$1:$I$89,3,0)*0.475*44/12</f>
        <v>80.43698762436857</v>
      </c>
      <c r="GM199" s="21">
        <f>EXP(-LN(2)/25)*GM198+(1-EXP(-LN(2)/25))/(LN(2)/25)*Calculateur!GH199*Calculateur!GJ199*VLOOKUP('Données projet'!$B$17,Paramètres!$A$1:$I$89,3,0)*0.475*44/12</f>
        <v>0</v>
      </c>
      <c r="GN199" s="21">
        <f>EXP(-LN(2)/2)*GN198+(1-EXP(-LN(2)/2))/(LN(2)/2)*GH199*GK199*VLOOKUP('Données projet'!$B$17,Paramètres!$A$1:$I$89,3,0)*0.475*44/12</f>
        <v>0</v>
      </c>
      <c r="GO199" s="21">
        <f t="shared" si="187"/>
        <v>80.43698762436857</v>
      </c>
      <c r="GP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328.00000000000006</v>
      </c>
      <c r="GV199" s="17">
        <f>GU199*VLOOKUP('Données projet'!$B$18,Paramètres!$A$1:$I$89,3,0)*VLOOKUP('Données projet'!$B$18,Paramètres!$A$1:$I$89,5,0)</f>
        <v>255.84000000000006</v>
      </c>
      <c r="GW199" s="13">
        <f t="shared" si="188"/>
        <v>61.834803371075836</v>
      </c>
      <c r="GX199" s="20">
        <f t="shared" si="189"/>
        <v>553.28361587129041</v>
      </c>
      <c r="GY199" s="59">
        <f t="shared" si="201"/>
        <v>843.64814630044066</v>
      </c>
      <c r="GZ199" s="59">
        <f ca="1">AVERAGE(OFFSET($GY$3,0,0,'Données projet'!$E$18+1,1))-AVERAGE(OFFSET($H$3,0,0,'Données projet'!$E$18+1,1))</f>
        <v>308.85018589589453</v>
      </c>
      <c r="HA199" s="59">
        <f t="shared" si="213"/>
        <v>302.59481222418219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>
        <f>EXP(-LN(2)/35)*HG198+(1-EXP(-LN(2)/35))/(LN(2)/35)*HC199*HD199*VLOOKUP('Données projet'!$B$18,Paramètres!$A$1:$I$89,3,0)*0.475*44/12</f>
        <v>4.0733433915744621</v>
      </c>
      <c r="HH199" s="21">
        <f>EXP(-LN(2)/25)*HH198+(1-EXP(-LN(2)/25))/(LN(2)/25)*Calculateur!HC199*Calculateur!HE199*VLOOKUP('Données projet'!$B$18,Paramètres!$A$1:$I$89,3,0)*0.475*44/12</f>
        <v>0</v>
      </c>
      <c r="HI199" s="21">
        <f>EXP(-LN(2)/2)*HI198+(1-EXP(-LN(2)/2))/(LN(2)/2)*HC199*HF199*VLOOKUP('Données projet'!$B$18,Paramètres!$A$1:$I$89,3,0)*0.475*44/12</f>
        <v>0</v>
      </c>
      <c r="HJ199" s="22">
        <f t="shared" si="190"/>
        <v>4.0733433915744621</v>
      </c>
    </row>
    <row r="200" spans="1:218" x14ac:dyDescent="0.35">
      <c r="A200" s="10">
        <f t="shared" si="161"/>
        <v>197</v>
      </c>
      <c r="B200" s="72">
        <f>'Scénario référence'!$B$16*5+'Scénario référence'!$B$17*0+'Scénario référence'!$B$18*5</f>
        <v>5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66">
        <f t="shared" si="192"/>
        <v>183.33333333333334</v>
      </c>
      <c r="I200" s="6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19.8100000000004</v>
      </c>
      <c r="O200" s="13">
        <f>N200*VLOOKUP('Données projet'!$B$9,Paramètres!$A$1:$I$89,3,0)*VLOOKUP('Données projet'!$B$9,Paramètres!$A$1:$I$89,5,0)</f>
        <v>17.924088000000364</v>
      </c>
      <c r="P200" s="13">
        <f t="shared" si="203"/>
        <v>5.9032212091029486</v>
      </c>
      <c r="Q200" s="20">
        <f t="shared" si="162"/>
        <v>41.499230205854936</v>
      </c>
      <c r="R200" s="59">
        <f t="shared" si="191"/>
        <v>331.91526272814372</v>
      </c>
      <c r="S200" s="59">
        <f ca="1">AVERAGE(OFFSET($R$3,0,0,'Données projet'!$E$9+1,1))-AVERAGE(OFFSET($H$3,0,0,'Données projet'!$E$9+1,1))</f>
        <v>567.42635821507474</v>
      </c>
      <c r="T200" s="59">
        <f t="shared" si="204"/>
        <v>299.04735309930152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74.981323062439643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74.981323062439643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19.8100000000004</v>
      </c>
      <c r="AJ200" s="13">
        <f>AI200*VLOOKUP('Données projet'!$B$10,Paramètres!$A$1:$I$89,3,0)*VLOOKUP('Données projet'!$B$10,Paramètres!$A$1:$I$89,5,0)</f>
        <v>20.08734000000041</v>
      </c>
      <c r="AK200" s="13">
        <f t="shared" si="164"/>
        <v>6.5285137703520215</v>
      </c>
      <c r="AL200" s="20">
        <f t="shared" si="165"/>
        <v>46.355945316697152</v>
      </c>
      <c r="AM200" s="59">
        <f t="shared" si="193"/>
        <v>336.77197783898595</v>
      </c>
      <c r="AN200" s="59">
        <f ca="1">AVERAGE(OFFSET($AM$3,0,0,'Données projet'!$E$10+1,1))-AVERAGE(OFFSET($H$3,0,0,'Données projet'!$E$10+1,1))</f>
        <v>626.09203985591455</v>
      </c>
      <c r="AO200" s="59">
        <f t="shared" si="205"/>
        <v>327.65191296575199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84.030793087216836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84.030793087216836</v>
      </c>
      <c r="AY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404.00000000000017</v>
      </c>
      <c r="BE200" s="13">
        <f>BD200*VLOOKUP('Données projet'!$B$11,Paramètres!$A$1:$I$89,3,0)*VLOOKUP('Données projet'!$B$11,Paramètres!$A$1:$I$89,5,0)</f>
        <v>346.63200000000018</v>
      </c>
      <c r="BF200" s="13">
        <f t="shared" si="167"/>
        <v>80.868615263336864</v>
      </c>
      <c r="BG200" s="20">
        <f t="shared" si="168"/>
        <v>744.56357158364528</v>
      </c>
      <c r="BH200" s="59">
        <f t="shared" si="194"/>
        <v>1034.979604105934</v>
      </c>
      <c r="BI200" s="59">
        <f ca="1">AVERAGE(OFFSET($BH$3,0,0,'Données projet'!$E$11+1,1))-AVERAGE(OFFSET($H$3,0,0,'Données projet'!$E$11+1,1))</f>
        <v>481.23392184981651</v>
      </c>
      <c r="BJ200" s="59">
        <f t="shared" si="206"/>
        <v>275.88160405468193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21.754125895829809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21.754125895829809</v>
      </c>
      <c r="BT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5.2499999999990337</v>
      </c>
      <c r="BZ200" s="13">
        <f>BY200*VLOOKUP('Données projet'!$B$12,Paramètres!$A$1:$I$89,3,0)*VLOOKUP('Données projet'!$B$12,Paramètres!$A$1:$I$89,5,0)</f>
        <v>2.4569999999995478</v>
      </c>
      <c r="CA200" s="13">
        <f t="shared" si="170"/>
        <v>1.0197977774625564</v>
      </c>
      <c r="CB200" s="20">
        <f t="shared" si="171"/>
        <v>6.0554227957464972</v>
      </c>
      <c r="CC200" s="59">
        <f t="shared" si="195"/>
        <v>296.47145531803528</v>
      </c>
      <c r="CD200" s="59">
        <f ca="1">AVERAGE(OFFSET($CC$3,0,0,'Données projet'!$E$12+1,1))-AVERAGE(OFFSET($H$3,0,0,'Données projet'!$E$12+1,1))</f>
        <v>331.86732359395467</v>
      </c>
      <c r="CE200" s="59">
        <f t="shared" si="207"/>
        <v>208.64489375183106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42.514067473812531</v>
      </c>
      <c r="CL200" s="21">
        <f>EXP(-LN(2)/25)*CL199+(1-EXP(-LN(2)/25))/(LN(2)/25)*Calculateur!CG200*Calculateur!CI200*VLOOKUP('Données projet'!$B$12,Paramètres!$A$1:$I$89,3,0)*0.475*44/12</f>
        <v>0</v>
      </c>
      <c r="CM200" s="21">
        <f>EXP(-LN(2)/2)*CM199+(1-EXP(-LN(2)/2))/(LN(2)/2)*CG200*CJ200*VLOOKUP('Données projet'!$B$12,Paramètres!$A$1:$I$89,3,0)*0.475*44/12</f>
        <v>0</v>
      </c>
      <c r="CN200" s="22">
        <f t="shared" si="172"/>
        <v>42.514067473812531</v>
      </c>
      <c r="CO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319</v>
      </c>
      <c r="CU200" s="17">
        <f>CT200*VLOOKUP('Données projet'!$B$13,Paramètres!$A$1:$I$89,3,0)*VLOOKUP('Données projet'!$B$13,Paramètres!$A$1:$I$89,5,0)</f>
        <v>233.89079999999998</v>
      </c>
      <c r="CV200" s="13">
        <f t="shared" si="173"/>
        <v>57.123140349023068</v>
      </c>
      <c r="CW200" s="20">
        <f t="shared" si="174"/>
        <v>506.84927944121517</v>
      </c>
      <c r="CX200" s="59">
        <f t="shared" si="196"/>
        <v>797.26531196350402</v>
      </c>
      <c r="CY200" s="59">
        <f ca="1">AVERAGE(OFFSET($CX$3,0,0,'Données projet'!$E$13+1,1))-AVERAGE(OFFSET($H$3,0,0,'Données projet'!$E$13+1,1))</f>
        <v>352.45777291109863</v>
      </c>
      <c r="CZ200" s="59">
        <f t="shared" si="208"/>
        <v>340.92165104349181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3.9180706395021185</v>
      </c>
      <c r="DG200" s="21">
        <f>EXP(-LN(2)/25)*DG199+(1-EXP(-LN(2)/25))/(LN(2)/25)*Calculateur!DB200*Calculateur!DD200*VLOOKUP('Données projet'!$B$13,Paramètres!$A$1:$I$89,3,0)*0.475*44/12</f>
        <v>0</v>
      </c>
      <c r="DH200" s="21">
        <f>EXP(-LN(2)/2)*DH199+(1-EXP(-LN(2)/2))/(LN(2)/2)*DB200*DE200*VLOOKUP('Données projet'!$B$13,Paramètres!$A$1:$I$89,3,0)*0.475*44/12</f>
        <v>0</v>
      </c>
      <c r="DI200" s="22">
        <f t="shared" si="175"/>
        <v>3.9180706395021185</v>
      </c>
      <c r="DJ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19.8100000000004</v>
      </c>
      <c r="DP200" s="17">
        <f>DO200*VLOOKUP('Données projet'!$B$14,Paramètres!$A$1:$I$89,3,0)*VLOOKUP('Données projet'!$B$14,Paramètres!$A$1:$I$89,5,0)</f>
        <v>13.288548000000269</v>
      </c>
      <c r="DQ200" s="13">
        <f t="shared" si="176"/>
        <v>4.531654695205642</v>
      </c>
      <c r="DR200" s="20">
        <f t="shared" si="177"/>
        <v>31.036853027483627</v>
      </c>
      <c r="DS200" s="59">
        <f t="shared" si="197"/>
        <v>321.45288554977242</v>
      </c>
      <c r="DT200" s="59">
        <f ca="1">AVERAGE(OFFSET($DS$3,0,0,'Données projet'!$E$14+1,1))-AVERAGE(OFFSET($H$3,0,0,'Données projet'!$E$14+1,1))</f>
        <v>441.20130048888439</v>
      </c>
      <c r="DU200" s="59">
        <f t="shared" si="209"/>
        <v>237.47732532183946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68.517415901884448</v>
      </c>
      <c r="EB200" s="21">
        <f>EXP(-LN(2)/25)*EB199+(1-EXP(-LN(2)/25))/(LN(2)/25)*Calculateur!DW200*Calculateur!DY200*VLOOKUP('Données projet'!$B$14,Paramètres!$A$1:$I$89,3,0)*0.475*44/12</f>
        <v>0</v>
      </c>
      <c r="EC200" s="21">
        <f>EXP(-LN(2)/2)*EC199+(1-EXP(-LN(2)/2))/(LN(2)/2)*DW200*DZ200*VLOOKUP('Données projet'!$B$14,Paramètres!$A$1:$I$89,3,0)*0.475*44/12</f>
        <v>0</v>
      </c>
      <c r="ED200" s="22">
        <f t="shared" si="178"/>
        <v>68.517415901884448</v>
      </c>
      <c r="EE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319</v>
      </c>
      <c r="EK200" s="17">
        <f>EJ200*VLOOKUP('Données projet'!$B$15,Paramètres!$A$1:$I$89,3,0)*VLOOKUP('Données projet'!$B$15,Paramètres!$A$1:$I$89,5,0)</f>
        <v>253.79640000000001</v>
      </c>
      <c r="EL200" s="13">
        <f t="shared" si="179"/>
        <v>61.39816832228076</v>
      </c>
      <c r="EM200" s="20">
        <f t="shared" si="180"/>
        <v>548.96387316130563</v>
      </c>
      <c r="EN200" s="59">
        <f t="shared" si="198"/>
        <v>839.37990568359442</v>
      </c>
      <c r="EO200" s="59">
        <f ca="1">AVERAGE(OFFSET($EN$3,0,0,'Données projet'!$E$15+1,1))-AVERAGE(OFFSET($H$3,0,0,'Données projet'!$E$15+1,1))</f>
        <v>377.27600411578322</v>
      </c>
      <c r="EP200" s="59">
        <f t="shared" si="210"/>
        <v>364.58250627635425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>
        <f>EXP(-LN(2)/35)*EV199+(1-EXP(-LN(2)/35))/(LN(2)/35)*ER200*ES200*VLOOKUP('Données projet'!$B$15,Paramètres!$A$1:$I$89,3,0)*0.475*44/12</f>
        <v>5.240249845905109</v>
      </c>
      <c r="EW200" s="21">
        <f>EXP(-LN(2)/25)*EW199+(1-EXP(-LN(2)/25))/(LN(2)/25)*Calculateur!ER200*Calculateur!ET200*VLOOKUP('Données projet'!$B$15,Paramètres!$A$1:$I$89,3,0)*0.475*44/12</f>
        <v>0</v>
      </c>
      <c r="EX200" s="21">
        <f>EXP(-LN(2)/2)*EX199+(1-EXP(-LN(2)/2))/(LN(2)/2)*ER200*EU200*VLOOKUP('Données projet'!$B$15,Paramètres!$A$1:$I$89,3,0)*0.475*44/12</f>
        <v>0</v>
      </c>
      <c r="EY200" s="22">
        <f t="shared" si="181"/>
        <v>5.240249845905109</v>
      </c>
      <c r="EZ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319</v>
      </c>
      <c r="FF200" s="17">
        <f>FE200*VLOOKUP('Données projet'!$B$16,Paramètres!$A$1:$I$89,3,0)*VLOOKUP('Données projet'!$B$16,Paramètres!$A$1:$I$89,5,0)</f>
        <v>258.77280000000002</v>
      </c>
      <c r="FG200" s="13">
        <f t="shared" si="182"/>
        <v>62.460716522234691</v>
      </c>
      <c r="FH200" s="20">
        <f t="shared" si="183"/>
        <v>559.48170794289206</v>
      </c>
      <c r="FI200" s="59">
        <f t="shared" si="199"/>
        <v>849.89774046518085</v>
      </c>
      <c r="FJ200" s="59">
        <f ca="1">AVERAGE(OFFSET($FI$3,0,0,'Données projet'!$E$16+1,1))-AVERAGE(OFFSET($H$3,0,0,'Données projet'!$E$16+1,1))</f>
        <v>383.47399633251354</v>
      </c>
      <c r="FK200" s="59">
        <f t="shared" si="211"/>
        <v>370.49129421395628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>
        <f>EXP(-LN(2)/35)*FQ199+(1-EXP(-LN(2)/35))/(LN(2)/35)*FM200*FN200*VLOOKUP('Données projet'!$B$16,Paramètres!$A$1:$I$89,3,0)*0.475*44/12</f>
        <v>5.3429998428836454</v>
      </c>
      <c r="FR200" s="21">
        <f>EXP(-LN(2)/25)*FR199+(1-EXP(-LN(2)/25))/(LN(2)/25)*Calculateur!FM200*Calculateur!FO200*VLOOKUP('Données projet'!$B$16,Paramètres!$A$1:$I$89,3,0)*0.475*44/12</f>
        <v>0</v>
      </c>
      <c r="FS200" s="21">
        <f>EXP(-LN(2)/2)*FS199+(1-EXP(-LN(2)/2))/(LN(2)/2)*FM200*FP200*VLOOKUP('Données projet'!$B$16,Paramètres!$A$1:$I$89,3,0)*0.475*44/12</f>
        <v>0</v>
      </c>
      <c r="FT200" s="22">
        <f t="shared" si="184"/>
        <v>5.3429998428836454</v>
      </c>
      <c r="FU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19.8100000000004</v>
      </c>
      <c r="GA200" s="17">
        <f>FZ200*VLOOKUP('Données projet'!$B$17,Paramètres!$A$1:$I$89,3,0)*VLOOKUP('Données projet'!$B$17,Paramètres!$A$1:$I$89,5,0)</f>
        <v>18.851196000000382</v>
      </c>
      <c r="GB200" s="13">
        <f t="shared" si="185"/>
        <v>6.172221809210666</v>
      </c>
      <c r="GC200" s="20">
        <f t="shared" si="186"/>
        <v>43.582452684375909</v>
      </c>
      <c r="GD200" s="59">
        <f t="shared" si="200"/>
        <v>333.99848520666467</v>
      </c>
      <c r="GE200" s="59">
        <f ca="1">AVERAGE(OFFSET($GD$3,0,0,'Données projet'!$E$17+1,1))-AVERAGE(OFFSET($H$3,0,0,'Données projet'!$E$17+1,1))</f>
        <v>592.58528889137358</v>
      </c>
      <c r="GF200" s="59">
        <f t="shared" si="212"/>
        <v>311.31528020403709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>
        <f>EXP(-LN(2)/35)*GL199+(1-EXP(-LN(2)/35))/(LN(2)/35)*GH200*GI200*VLOOKUP('Données projet'!$B$17,Paramètres!$A$1:$I$89,3,0)*0.475*44/12</f>
        <v>78.859667358772711</v>
      </c>
      <c r="GM200" s="21">
        <f>EXP(-LN(2)/25)*GM199+(1-EXP(-LN(2)/25))/(LN(2)/25)*Calculateur!GH200*Calculateur!GJ200*VLOOKUP('Données projet'!$B$17,Paramètres!$A$1:$I$89,3,0)*0.475*44/12</f>
        <v>0</v>
      </c>
      <c r="GN200" s="21">
        <f>EXP(-LN(2)/2)*GN199+(1-EXP(-LN(2)/2))/(LN(2)/2)*GH200*GK200*VLOOKUP('Données projet'!$B$17,Paramètres!$A$1:$I$89,3,0)*0.475*44/12</f>
        <v>0</v>
      </c>
      <c r="GO200" s="21">
        <f t="shared" si="187"/>
        <v>78.859667358772711</v>
      </c>
      <c r="GP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328.00000000000006</v>
      </c>
      <c r="GV200" s="17">
        <f>GU200*VLOOKUP('Données projet'!$B$18,Paramètres!$A$1:$I$89,3,0)*VLOOKUP('Données projet'!$B$18,Paramètres!$A$1:$I$89,5,0)</f>
        <v>255.84000000000006</v>
      </c>
      <c r="GW200" s="13">
        <f t="shared" si="188"/>
        <v>61.834803371075836</v>
      </c>
      <c r="GX200" s="20">
        <f t="shared" si="189"/>
        <v>553.28361587129041</v>
      </c>
      <c r="GY200" s="59">
        <f t="shared" si="201"/>
        <v>843.6996483935792</v>
      </c>
      <c r="GZ200" s="59">
        <f ca="1">AVERAGE(OFFSET($GY$3,0,0,'Données projet'!$E$18+1,1))-AVERAGE(OFFSET($H$3,0,0,'Données projet'!$E$18+1,1))</f>
        <v>308.85018589589453</v>
      </c>
      <c r="HA200" s="59">
        <f t="shared" si="213"/>
        <v>302.59481222418219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>
        <f>EXP(-LN(2)/35)*HG199+(1-EXP(-LN(2)/35))/(LN(2)/35)*HC200*HD200*VLOOKUP('Données projet'!$B$18,Paramètres!$A$1:$I$89,3,0)*0.475*44/12</f>
        <v>3.9934676121598325</v>
      </c>
      <c r="HH200" s="21">
        <f>EXP(-LN(2)/25)*HH199+(1-EXP(-LN(2)/25))/(LN(2)/25)*Calculateur!HC200*Calculateur!HE200*VLOOKUP('Données projet'!$B$18,Paramètres!$A$1:$I$89,3,0)*0.475*44/12</f>
        <v>0</v>
      </c>
      <c r="HI200" s="21">
        <f>EXP(-LN(2)/2)*HI199+(1-EXP(-LN(2)/2))/(LN(2)/2)*HC200*HF200*VLOOKUP('Données projet'!$B$18,Paramètres!$A$1:$I$89,3,0)*0.475*44/12</f>
        <v>0</v>
      </c>
      <c r="HJ200" s="22">
        <f t="shared" si="190"/>
        <v>3.9934676121598325</v>
      </c>
    </row>
    <row r="201" spans="1:218" x14ac:dyDescent="0.35">
      <c r="A201" s="10">
        <f>A200+1</f>
        <v>198</v>
      </c>
      <c r="B201" s="72">
        <f>'Scénario référence'!$B$16*5+'Scénario référence'!$B$17*0+'Scénario référence'!$B$18*5</f>
        <v>5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66">
        <f t="shared" si="192"/>
        <v>183.33333333333334</v>
      </c>
      <c r="I201" s="6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19.8100000000004</v>
      </c>
      <c r="O201" s="13">
        <f>N201*VLOOKUP('Données projet'!$B$9,Paramètres!$A$1:$I$89,3,0)*VLOOKUP('Données projet'!$B$9,Paramètres!$A$1:$I$89,5,0)</f>
        <v>17.924088000000364</v>
      </c>
      <c r="P201" s="13">
        <f t="shared" si="203"/>
        <v>5.9032212091029486</v>
      </c>
      <c r="Q201" s="20">
        <f t="shared" si="162"/>
        <v>41.499230205854936</v>
      </c>
      <c r="R201" s="59">
        <f t="shared" si="191"/>
        <v>331.96587137510784</v>
      </c>
      <c r="S201" s="59">
        <f ca="1">AVERAGE(OFFSET($R$3,0,0,'Données projet'!$E$9+1,1))-AVERAGE(OFFSET($H$3,0,0,'Données projet'!$E$9+1,1))</f>
        <v>567.42635821507474</v>
      </c>
      <c r="T201" s="59">
        <f t="shared" si="204"/>
        <v>299.04735309930152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73.510985051276407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73.510985051276407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19.8100000000004</v>
      </c>
      <c r="AJ201" s="13">
        <f>AI201*VLOOKUP('Données projet'!$B$10,Paramètres!$A$1:$I$89,3,0)*VLOOKUP('Données projet'!$B$10,Paramètres!$A$1:$I$89,5,0)</f>
        <v>20.08734000000041</v>
      </c>
      <c r="AK201" s="13">
        <f t="shared" si="164"/>
        <v>6.5285137703520215</v>
      </c>
      <c r="AL201" s="20">
        <f t="shared" si="165"/>
        <v>46.355945316697152</v>
      </c>
      <c r="AM201" s="59">
        <f t="shared" si="193"/>
        <v>336.82258648595007</v>
      </c>
      <c r="AN201" s="59">
        <f ca="1">AVERAGE(OFFSET($AM$3,0,0,'Données projet'!$E$10+1,1))-AVERAGE(OFFSET($H$3,0,0,'Données projet'!$E$10+1,1))</f>
        <v>626.09203985591455</v>
      </c>
      <c r="AO201" s="59">
        <f t="shared" si="205"/>
        <v>327.65191296575199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82.383000488499405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82.383000488499405</v>
      </c>
      <c r="AY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404.00000000000017</v>
      </c>
      <c r="BE201" s="13">
        <f>BD201*VLOOKUP('Données projet'!$B$11,Paramètres!$A$1:$I$89,3,0)*VLOOKUP('Données projet'!$B$11,Paramètres!$A$1:$I$89,5,0)</f>
        <v>346.63200000000018</v>
      </c>
      <c r="BF201" s="13">
        <f t="shared" si="167"/>
        <v>80.868615263336864</v>
      </c>
      <c r="BG201" s="20">
        <f t="shared" si="168"/>
        <v>744.56357158364528</v>
      </c>
      <c r="BH201" s="59">
        <f t="shared" si="194"/>
        <v>1035.0302127528983</v>
      </c>
      <c r="BI201" s="59">
        <f ca="1">AVERAGE(OFFSET($BH$3,0,0,'Données projet'!$E$11+1,1))-AVERAGE(OFFSET($H$3,0,0,'Données projet'!$E$11+1,1))</f>
        <v>481.23392184981651</v>
      </c>
      <c r="BJ201" s="59">
        <f t="shared" si="206"/>
        <v>275.88160405468193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21.327540755719205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21.327540755719205</v>
      </c>
      <c r="BT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5.2499999999990337</v>
      </c>
      <c r="BZ201" s="13">
        <f>BY201*VLOOKUP('Données projet'!$B$12,Paramètres!$A$1:$I$89,3,0)*VLOOKUP('Données projet'!$B$12,Paramètres!$A$1:$I$89,5,0)</f>
        <v>2.4569999999995478</v>
      </c>
      <c r="CA201" s="13">
        <f t="shared" si="170"/>
        <v>1.0197977774625564</v>
      </c>
      <c r="CB201" s="20">
        <f t="shared" si="171"/>
        <v>6.0554227957464972</v>
      </c>
      <c r="CC201" s="59">
        <f t="shared" si="195"/>
        <v>296.5220639649994</v>
      </c>
      <c r="CD201" s="59">
        <f ca="1">AVERAGE(OFFSET($CC$3,0,0,'Données projet'!$E$12+1,1))-AVERAGE(OFFSET($H$3,0,0,'Données projet'!$E$12+1,1))</f>
        <v>331.86732359395467</v>
      </c>
      <c r="CE201" s="59">
        <f t="shared" si="207"/>
        <v>208.64489375183106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41.68039254167175</v>
      </c>
      <c r="CL201" s="21">
        <f>EXP(-LN(2)/25)*CL200+(1-EXP(-LN(2)/25))/(LN(2)/25)*Calculateur!CG201*Calculateur!CI201*VLOOKUP('Données projet'!$B$12,Paramètres!$A$1:$I$89,3,0)*0.475*44/12</f>
        <v>0</v>
      </c>
      <c r="CM201" s="21">
        <f>EXP(-LN(2)/2)*CM200+(1-EXP(-LN(2)/2))/(LN(2)/2)*CG201*CJ201*VLOOKUP('Données projet'!$B$12,Paramètres!$A$1:$I$89,3,0)*0.475*44/12</f>
        <v>0</v>
      </c>
      <c r="CN201" s="22">
        <f t="shared" si="172"/>
        <v>41.68039254167175</v>
      </c>
      <c r="CO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319</v>
      </c>
      <c r="CU201" s="17">
        <f>CT201*VLOOKUP('Données projet'!$B$13,Paramètres!$A$1:$I$89,3,0)*VLOOKUP('Données projet'!$B$13,Paramètres!$A$1:$I$89,5,0)</f>
        <v>233.89079999999998</v>
      </c>
      <c r="CV201" s="13">
        <f t="shared" si="173"/>
        <v>57.123140349023068</v>
      </c>
      <c r="CW201" s="20">
        <f t="shared" si="174"/>
        <v>506.84927944121517</v>
      </c>
      <c r="CX201" s="59">
        <f t="shared" si="196"/>
        <v>797.31592061046808</v>
      </c>
      <c r="CY201" s="59">
        <f ca="1">AVERAGE(OFFSET($CX$3,0,0,'Données projet'!$E$13+1,1))-AVERAGE(OFFSET($H$3,0,0,'Données projet'!$E$13+1,1))</f>
        <v>352.45777291109863</v>
      </c>
      <c r="CZ201" s="59">
        <f t="shared" si="208"/>
        <v>340.92165104349181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3.8412396640486004</v>
      </c>
      <c r="DG201" s="21">
        <f>EXP(-LN(2)/25)*DG200+(1-EXP(-LN(2)/25))/(LN(2)/25)*Calculateur!DB201*Calculateur!DD201*VLOOKUP('Données projet'!$B$13,Paramètres!$A$1:$I$89,3,0)*0.475*44/12</f>
        <v>0</v>
      </c>
      <c r="DH201" s="21">
        <f>EXP(-LN(2)/2)*DH200+(1-EXP(-LN(2)/2))/(LN(2)/2)*DB201*DE201*VLOOKUP('Données projet'!$B$13,Paramètres!$A$1:$I$89,3,0)*0.475*44/12</f>
        <v>0</v>
      </c>
      <c r="DI201" s="22">
        <f t="shared" si="175"/>
        <v>3.8412396640486004</v>
      </c>
      <c r="DJ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19.8100000000004</v>
      </c>
      <c r="DP201" s="17">
        <f>DO201*VLOOKUP('Données projet'!$B$14,Paramètres!$A$1:$I$89,3,0)*VLOOKUP('Données projet'!$B$14,Paramètres!$A$1:$I$89,5,0)</f>
        <v>13.288548000000269</v>
      </c>
      <c r="DQ201" s="13">
        <f t="shared" si="176"/>
        <v>4.531654695205642</v>
      </c>
      <c r="DR201" s="20">
        <f t="shared" si="177"/>
        <v>31.036853027483627</v>
      </c>
      <c r="DS201" s="59">
        <f t="shared" si="197"/>
        <v>321.50349419673654</v>
      </c>
      <c r="DT201" s="59">
        <f ca="1">AVERAGE(OFFSET($DS$3,0,0,'Données projet'!$E$14+1,1))-AVERAGE(OFFSET($H$3,0,0,'Données projet'!$E$14+1,1))</f>
        <v>441.20130048888439</v>
      </c>
      <c r="DU201" s="59">
        <f t="shared" si="209"/>
        <v>237.47732532183946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67.173831167545629</v>
      </c>
      <c r="EB201" s="21">
        <f>EXP(-LN(2)/25)*EB200+(1-EXP(-LN(2)/25))/(LN(2)/25)*Calculateur!DW201*Calculateur!DY201*VLOOKUP('Données projet'!$B$14,Paramètres!$A$1:$I$89,3,0)*0.475*44/12</f>
        <v>0</v>
      </c>
      <c r="EC201" s="21">
        <f>EXP(-LN(2)/2)*EC200+(1-EXP(-LN(2)/2))/(LN(2)/2)*DW201*DZ201*VLOOKUP('Données projet'!$B$14,Paramètres!$A$1:$I$89,3,0)*0.475*44/12</f>
        <v>0</v>
      </c>
      <c r="ED201" s="22">
        <f t="shared" si="178"/>
        <v>67.173831167545629</v>
      </c>
      <c r="EE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319</v>
      </c>
      <c r="EK201" s="17">
        <f>EJ201*VLOOKUP('Données projet'!$B$15,Paramètres!$A$1:$I$89,3,0)*VLOOKUP('Données projet'!$B$15,Paramètres!$A$1:$I$89,5,0)</f>
        <v>253.79640000000001</v>
      </c>
      <c r="EL201" s="13">
        <f t="shared" si="179"/>
        <v>61.39816832228076</v>
      </c>
      <c r="EM201" s="20">
        <f t="shared" si="180"/>
        <v>548.96387316130563</v>
      </c>
      <c r="EN201" s="59">
        <f t="shared" si="198"/>
        <v>839.43051433055848</v>
      </c>
      <c r="EO201" s="59">
        <f ca="1">AVERAGE(OFFSET($EN$3,0,0,'Données projet'!$E$15+1,1))-AVERAGE(OFFSET($H$3,0,0,'Données projet'!$E$15+1,1))</f>
        <v>377.27600411578322</v>
      </c>
      <c r="EP201" s="59">
        <f t="shared" si="210"/>
        <v>364.58250627635425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>
        <f>EXP(-LN(2)/35)*EV200+(1-EXP(-LN(2)/35))/(LN(2)/35)*ER201*ES201*VLOOKUP('Données projet'!$B$15,Paramètres!$A$1:$I$89,3,0)*0.475*44/12</f>
        <v>5.1374917426637134</v>
      </c>
      <c r="EW201" s="21">
        <f>EXP(-LN(2)/25)*EW200+(1-EXP(-LN(2)/25))/(LN(2)/25)*Calculateur!ER201*Calculateur!ET201*VLOOKUP('Données projet'!$B$15,Paramètres!$A$1:$I$89,3,0)*0.475*44/12</f>
        <v>0</v>
      </c>
      <c r="EX201" s="21">
        <f>EXP(-LN(2)/2)*EX200+(1-EXP(-LN(2)/2))/(LN(2)/2)*ER201*EU201*VLOOKUP('Données projet'!$B$15,Paramètres!$A$1:$I$89,3,0)*0.475*44/12</f>
        <v>0</v>
      </c>
      <c r="EY201" s="22">
        <f t="shared" si="181"/>
        <v>5.1374917426637134</v>
      </c>
      <c r="EZ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319</v>
      </c>
      <c r="FF201" s="17">
        <f>FE201*VLOOKUP('Données projet'!$B$16,Paramètres!$A$1:$I$89,3,0)*VLOOKUP('Données projet'!$B$16,Paramètres!$A$1:$I$89,5,0)</f>
        <v>258.77280000000002</v>
      </c>
      <c r="FG201" s="13">
        <f t="shared" si="182"/>
        <v>62.460716522234691</v>
      </c>
      <c r="FH201" s="20">
        <f t="shared" si="183"/>
        <v>559.48170794289206</v>
      </c>
      <c r="FI201" s="59">
        <f t="shared" si="199"/>
        <v>849.94834911214502</v>
      </c>
      <c r="FJ201" s="59">
        <f ca="1">AVERAGE(OFFSET($FI$3,0,0,'Données projet'!$E$16+1,1))-AVERAGE(OFFSET($H$3,0,0,'Données projet'!$E$16+1,1))</f>
        <v>383.47399633251354</v>
      </c>
      <c r="FK201" s="59">
        <f t="shared" si="211"/>
        <v>370.49129421395628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>
        <f>EXP(-LN(2)/35)*FQ200+(1-EXP(-LN(2)/35))/(LN(2)/35)*FM201*FN201*VLOOKUP('Données projet'!$B$16,Paramètres!$A$1:$I$89,3,0)*0.475*44/12</f>
        <v>5.2382268748728107</v>
      </c>
      <c r="FR201" s="21">
        <f>EXP(-LN(2)/25)*FR200+(1-EXP(-LN(2)/25))/(LN(2)/25)*Calculateur!FM201*Calculateur!FO201*VLOOKUP('Données projet'!$B$16,Paramètres!$A$1:$I$89,3,0)*0.475*44/12</f>
        <v>0</v>
      </c>
      <c r="FS201" s="21">
        <f>EXP(-LN(2)/2)*FS200+(1-EXP(-LN(2)/2))/(LN(2)/2)*FM201*FP201*VLOOKUP('Données projet'!$B$16,Paramètres!$A$1:$I$89,3,0)*0.475*44/12</f>
        <v>0</v>
      </c>
      <c r="FT201" s="22">
        <f t="shared" si="184"/>
        <v>5.2382268748728107</v>
      </c>
      <c r="FU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19.8100000000004</v>
      </c>
      <c r="GA201" s="17">
        <f>FZ201*VLOOKUP('Données projet'!$B$17,Paramètres!$A$1:$I$89,3,0)*VLOOKUP('Données projet'!$B$17,Paramètres!$A$1:$I$89,5,0)</f>
        <v>18.851196000000382</v>
      </c>
      <c r="GB201" s="13">
        <f t="shared" si="185"/>
        <v>6.172221809210666</v>
      </c>
      <c r="GC201" s="20">
        <f t="shared" si="186"/>
        <v>43.582452684375909</v>
      </c>
      <c r="GD201" s="59">
        <f t="shared" si="200"/>
        <v>334.04909385362885</v>
      </c>
      <c r="GE201" s="59">
        <f ca="1">AVERAGE(OFFSET($GD$3,0,0,'Données projet'!$E$17+1,1))-AVERAGE(OFFSET($H$3,0,0,'Données projet'!$E$17+1,1))</f>
        <v>592.58528889137358</v>
      </c>
      <c r="GF201" s="59">
        <f t="shared" si="212"/>
        <v>311.31528020403709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>
        <f>EXP(-LN(2)/35)*GL200+(1-EXP(-LN(2)/35))/(LN(2)/35)*GH201*GI201*VLOOKUP('Données projet'!$B$17,Paramètres!$A$1:$I$89,3,0)*0.475*44/12</f>
        <v>77.313277381514823</v>
      </c>
      <c r="GM201" s="21">
        <f>EXP(-LN(2)/25)*GM200+(1-EXP(-LN(2)/25))/(LN(2)/25)*Calculateur!GH201*Calculateur!GJ201*VLOOKUP('Données projet'!$B$17,Paramètres!$A$1:$I$89,3,0)*0.475*44/12</f>
        <v>0</v>
      </c>
      <c r="GN201" s="21">
        <f>EXP(-LN(2)/2)*GN200+(1-EXP(-LN(2)/2))/(LN(2)/2)*GH201*GK201*VLOOKUP('Données projet'!$B$17,Paramètres!$A$1:$I$89,3,0)*0.475*44/12</f>
        <v>0</v>
      </c>
      <c r="GO201" s="21">
        <f t="shared" si="187"/>
        <v>77.313277381514823</v>
      </c>
      <c r="GP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328.00000000000006</v>
      </c>
      <c r="GV201" s="17">
        <f>GU201*VLOOKUP('Données projet'!$B$18,Paramètres!$A$1:$I$89,3,0)*VLOOKUP('Données projet'!$B$18,Paramètres!$A$1:$I$89,5,0)</f>
        <v>255.84000000000006</v>
      </c>
      <c r="GW201" s="13">
        <f t="shared" si="188"/>
        <v>61.834803371075836</v>
      </c>
      <c r="GX201" s="20">
        <f t="shared" si="189"/>
        <v>553.28361587129041</v>
      </c>
      <c r="GY201" s="59">
        <f t="shared" si="201"/>
        <v>843.75025704054337</v>
      </c>
      <c r="GZ201" s="59">
        <f ca="1">AVERAGE(OFFSET($GY$3,0,0,'Données projet'!$E$18+1,1))-AVERAGE(OFFSET($H$3,0,0,'Données projet'!$E$18+1,1))</f>
        <v>308.85018589589453</v>
      </c>
      <c r="HA201" s="59">
        <f t="shared" si="213"/>
        <v>302.59481222418219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>
        <f>EXP(-LN(2)/35)*HG200+(1-EXP(-LN(2)/35))/(LN(2)/35)*HC201*HD201*VLOOKUP('Données projet'!$B$18,Paramètres!$A$1:$I$89,3,0)*0.475*44/12</f>
        <v>3.915158148060109</v>
      </c>
      <c r="HH201" s="21">
        <f>EXP(-LN(2)/25)*HH200+(1-EXP(-LN(2)/25))/(LN(2)/25)*Calculateur!HC201*Calculateur!HE201*VLOOKUP('Données projet'!$B$18,Paramètres!$A$1:$I$89,3,0)*0.475*44/12</f>
        <v>0</v>
      </c>
      <c r="HI201" s="21">
        <f>EXP(-LN(2)/2)*HI200+(1-EXP(-LN(2)/2))/(LN(2)/2)*HC201*HF201*VLOOKUP('Données projet'!$B$18,Paramètres!$A$1:$I$89,3,0)*0.475*44/12</f>
        <v>0</v>
      </c>
      <c r="HJ201" s="22">
        <f t="shared" si="190"/>
        <v>3.915158148060109</v>
      </c>
    </row>
    <row r="202" spans="1:218" x14ac:dyDescent="0.35">
      <c r="A202" s="10">
        <f t="shared" si="161"/>
        <v>199</v>
      </c>
      <c r="B202" s="72">
        <f>'Scénario référence'!$B$16*5+'Scénario référence'!$B$17*0+'Scénario référence'!$B$18*5</f>
        <v>5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66">
        <f t="shared" si="192"/>
        <v>183.33333333333334</v>
      </c>
      <c r="I202" s="6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19.8100000000004</v>
      </c>
      <c r="O202" s="13">
        <f>N202*VLOOKUP('Données projet'!$B$9,Paramètres!$A$1:$I$89,3,0)*VLOOKUP('Données projet'!$B$9,Paramètres!$A$1:$I$89,5,0)</f>
        <v>17.924088000000364</v>
      </c>
      <c r="P202" s="13">
        <f t="shared" si="203"/>
        <v>5.9032212091029486</v>
      </c>
      <c r="Q202" s="20">
        <f t="shared" si="162"/>
        <v>41.499230205854936</v>
      </c>
      <c r="R202" s="59">
        <f t="shared" si="191"/>
        <v>332.01560207519105</v>
      </c>
      <c r="S202" s="59">
        <f ca="1">AVERAGE(OFFSET($R$3,0,0,'Données projet'!$E$9+1,1))-AVERAGE(OFFSET($H$3,0,0,'Données projet'!$E$9+1,1))</f>
        <v>567.42635821507474</v>
      </c>
      <c r="T202" s="59">
        <f t="shared" si="204"/>
        <v>299.04735309930152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72.06947947169445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72.06947947169445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19.8100000000004</v>
      </c>
      <c r="AJ202" s="13">
        <f>AI202*VLOOKUP('Données projet'!$B$10,Paramètres!$A$1:$I$89,3,0)*VLOOKUP('Données projet'!$B$10,Paramètres!$A$1:$I$89,5,0)</f>
        <v>20.08734000000041</v>
      </c>
      <c r="AK202" s="13">
        <f t="shared" si="164"/>
        <v>6.5285137703520215</v>
      </c>
      <c r="AL202" s="20">
        <f t="shared" si="165"/>
        <v>46.355945316697152</v>
      </c>
      <c r="AM202" s="59">
        <f t="shared" si="193"/>
        <v>336.87231718603329</v>
      </c>
      <c r="AN202" s="59">
        <f ca="1">AVERAGE(OFFSET($AM$3,0,0,'Données projet'!$E$10+1,1))-AVERAGE(OFFSET($H$3,0,0,'Données projet'!$E$10+1,1))</f>
        <v>626.09203985591455</v>
      </c>
      <c r="AO202" s="59">
        <f t="shared" si="205"/>
        <v>327.65191296575199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80.767520097588587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80.767520097588587</v>
      </c>
      <c r="AY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404.00000000000017</v>
      </c>
      <c r="BE202" s="13">
        <f>BD202*VLOOKUP('Données projet'!$B$11,Paramètres!$A$1:$I$89,3,0)*VLOOKUP('Données projet'!$B$11,Paramètres!$A$1:$I$89,5,0)</f>
        <v>346.63200000000018</v>
      </c>
      <c r="BF202" s="13">
        <f t="shared" si="167"/>
        <v>80.868615263336864</v>
      </c>
      <c r="BG202" s="20">
        <f t="shared" si="168"/>
        <v>744.56357158364528</v>
      </c>
      <c r="BH202" s="59">
        <f t="shared" si="194"/>
        <v>1035.0799434529813</v>
      </c>
      <c r="BI202" s="59">
        <f ca="1">AVERAGE(OFFSET($BH$3,0,0,'Données projet'!$E$11+1,1))-AVERAGE(OFFSET($H$3,0,0,'Données projet'!$E$11+1,1))</f>
        <v>481.23392184981651</v>
      </c>
      <c r="BJ202" s="59">
        <f t="shared" si="206"/>
        <v>275.88160405468193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20.90932069001493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20.90932069001493</v>
      </c>
      <c r="BT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5.2499999999990337</v>
      </c>
      <c r="BZ202" s="13">
        <f>BY202*VLOOKUP('Données projet'!$B$12,Paramètres!$A$1:$I$89,3,0)*VLOOKUP('Données projet'!$B$12,Paramètres!$A$1:$I$89,5,0)</f>
        <v>2.4569999999995478</v>
      </c>
      <c r="CA202" s="13">
        <f t="shared" si="170"/>
        <v>1.0197977774625564</v>
      </c>
      <c r="CB202" s="20">
        <f t="shared" si="171"/>
        <v>6.0554227957464972</v>
      </c>
      <c r="CC202" s="59">
        <f t="shared" si="195"/>
        <v>296.57179466508262</v>
      </c>
      <c r="CD202" s="59">
        <f ca="1">AVERAGE(OFFSET($CC$3,0,0,'Données projet'!$E$12+1,1))-AVERAGE(OFFSET($H$3,0,0,'Données projet'!$E$12+1,1))</f>
        <v>331.86732359395467</v>
      </c>
      <c r="CE202" s="59">
        <f t="shared" si="207"/>
        <v>208.64489375183106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40.86306546645875</v>
      </c>
      <c r="CL202" s="21">
        <f>EXP(-LN(2)/25)*CL201+(1-EXP(-LN(2)/25))/(LN(2)/25)*Calculateur!CG202*Calculateur!CI202*VLOOKUP('Données projet'!$B$12,Paramètres!$A$1:$I$89,3,0)*0.475*44/12</f>
        <v>0</v>
      </c>
      <c r="CM202" s="21">
        <f>EXP(-LN(2)/2)*CM201+(1-EXP(-LN(2)/2))/(LN(2)/2)*CG202*CJ202*VLOOKUP('Données projet'!$B$12,Paramètres!$A$1:$I$89,3,0)*0.475*44/12</f>
        <v>0</v>
      </c>
      <c r="CN202" s="22">
        <f t="shared" si="172"/>
        <v>40.86306546645875</v>
      </c>
      <c r="CO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319</v>
      </c>
      <c r="CU202" s="17">
        <f>CT202*VLOOKUP('Données projet'!$B$13,Paramètres!$A$1:$I$89,3,0)*VLOOKUP('Données projet'!$B$13,Paramètres!$A$1:$I$89,5,0)</f>
        <v>233.89079999999998</v>
      </c>
      <c r="CV202" s="13">
        <f t="shared" si="173"/>
        <v>57.123140349023068</v>
      </c>
      <c r="CW202" s="20">
        <f t="shared" si="174"/>
        <v>506.84927944121517</v>
      </c>
      <c r="CX202" s="59">
        <f t="shared" si="196"/>
        <v>797.36565131055136</v>
      </c>
      <c r="CY202" s="59">
        <f ca="1">AVERAGE(OFFSET($CX$3,0,0,'Données projet'!$E$13+1,1))-AVERAGE(OFFSET($H$3,0,0,'Données projet'!$E$13+1,1))</f>
        <v>352.45777291109863</v>
      </c>
      <c r="CZ202" s="59">
        <f t="shared" si="208"/>
        <v>340.92165104349181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3.7659152971614578</v>
      </c>
      <c r="DG202" s="21">
        <f>EXP(-LN(2)/25)*DG201+(1-EXP(-LN(2)/25))/(LN(2)/25)*Calculateur!DB202*Calculateur!DD202*VLOOKUP('Données projet'!$B$13,Paramètres!$A$1:$I$89,3,0)*0.475*44/12</f>
        <v>0</v>
      </c>
      <c r="DH202" s="21">
        <f>EXP(-LN(2)/2)*DH201+(1-EXP(-LN(2)/2))/(LN(2)/2)*DB202*DE202*VLOOKUP('Données projet'!$B$13,Paramètres!$A$1:$I$89,3,0)*0.475*44/12</f>
        <v>0</v>
      </c>
      <c r="DI202" s="22">
        <f t="shared" si="175"/>
        <v>3.7659152971614578</v>
      </c>
      <c r="DJ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19.8100000000004</v>
      </c>
      <c r="DP202" s="17">
        <f>DO202*VLOOKUP('Données projet'!$B$14,Paramètres!$A$1:$I$89,3,0)*VLOOKUP('Données projet'!$B$14,Paramètres!$A$1:$I$89,5,0)</f>
        <v>13.288548000000269</v>
      </c>
      <c r="DQ202" s="13">
        <f t="shared" si="176"/>
        <v>4.531654695205642</v>
      </c>
      <c r="DR202" s="20">
        <f t="shared" si="177"/>
        <v>31.036853027483627</v>
      </c>
      <c r="DS202" s="59">
        <f t="shared" si="197"/>
        <v>321.55322489681976</v>
      </c>
      <c r="DT202" s="59">
        <f ca="1">AVERAGE(OFFSET($DS$3,0,0,'Données projet'!$E$14+1,1))-AVERAGE(OFFSET($H$3,0,0,'Données projet'!$E$14+1,1))</f>
        <v>441.20130048888439</v>
      </c>
      <c r="DU202" s="59">
        <f t="shared" si="209"/>
        <v>237.47732532183946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65.856593310341424</v>
      </c>
      <c r="EB202" s="21">
        <f>EXP(-LN(2)/25)*EB201+(1-EXP(-LN(2)/25))/(LN(2)/25)*Calculateur!DW202*Calculateur!DY202*VLOOKUP('Données projet'!$B$14,Paramètres!$A$1:$I$89,3,0)*0.475*44/12</f>
        <v>0</v>
      </c>
      <c r="EC202" s="21">
        <f>EXP(-LN(2)/2)*EC201+(1-EXP(-LN(2)/2))/(LN(2)/2)*DW202*DZ202*VLOOKUP('Données projet'!$B$14,Paramètres!$A$1:$I$89,3,0)*0.475*44/12</f>
        <v>0</v>
      </c>
      <c r="ED202" s="22">
        <f t="shared" si="178"/>
        <v>65.856593310341424</v>
      </c>
      <c r="EE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319</v>
      </c>
      <c r="EK202" s="17">
        <f>EJ202*VLOOKUP('Données projet'!$B$15,Paramètres!$A$1:$I$89,3,0)*VLOOKUP('Données projet'!$B$15,Paramètres!$A$1:$I$89,5,0)</f>
        <v>253.79640000000001</v>
      </c>
      <c r="EL202" s="13">
        <f t="shared" si="179"/>
        <v>61.39816832228076</v>
      </c>
      <c r="EM202" s="20">
        <f t="shared" si="180"/>
        <v>548.96387316130563</v>
      </c>
      <c r="EN202" s="59">
        <f t="shared" si="198"/>
        <v>839.48024503064175</v>
      </c>
      <c r="EO202" s="59">
        <f ca="1">AVERAGE(OFFSET($EN$3,0,0,'Données projet'!$E$15+1,1))-AVERAGE(OFFSET($H$3,0,0,'Données projet'!$E$15+1,1))</f>
        <v>377.27600411578322</v>
      </c>
      <c r="EP202" s="59">
        <f t="shared" si="210"/>
        <v>364.58250627635425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>
        <f>EXP(-LN(2)/35)*EV201+(1-EXP(-LN(2)/35))/(LN(2)/35)*ER202*ES202*VLOOKUP('Données projet'!$B$15,Paramètres!$A$1:$I$89,3,0)*0.475*44/12</f>
        <v>5.036748663150628</v>
      </c>
      <c r="EW202" s="21">
        <f>EXP(-LN(2)/25)*EW201+(1-EXP(-LN(2)/25))/(LN(2)/25)*Calculateur!ER202*Calculateur!ET202*VLOOKUP('Données projet'!$B$15,Paramètres!$A$1:$I$89,3,0)*0.475*44/12</f>
        <v>0</v>
      </c>
      <c r="EX202" s="21">
        <f>EXP(-LN(2)/2)*EX201+(1-EXP(-LN(2)/2))/(LN(2)/2)*ER202*EU202*VLOOKUP('Données projet'!$B$15,Paramètres!$A$1:$I$89,3,0)*0.475*44/12</f>
        <v>0</v>
      </c>
      <c r="EY202" s="22">
        <f t="shared" si="181"/>
        <v>5.036748663150628</v>
      </c>
      <c r="EZ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319</v>
      </c>
      <c r="FF202" s="17">
        <f>FE202*VLOOKUP('Données projet'!$B$16,Paramètres!$A$1:$I$89,3,0)*VLOOKUP('Données projet'!$B$16,Paramètres!$A$1:$I$89,5,0)</f>
        <v>258.77280000000002</v>
      </c>
      <c r="FG202" s="13">
        <f t="shared" si="182"/>
        <v>62.460716522234691</v>
      </c>
      <c r="FH202" s="20">
        <f t="shared" si="183"/>
        <v>559.48170794289206</v>
      </c>
      <c r="FI202" s="59">
        <f t="shared" si="199"/>
        <v>849.99807981222818</v>
      </c>
      <c r="FJ202" s="59">
        <f ca="1">AVERAGE(OFFSET($FI$3,0,0,'Données projet'!$E$16+1,1))-AVERAGE(OFFSET($H$3,0,0,'Données projet'!$E$16+1,1))</f>
        <v>383.47399633251354</v>
      </c>
      <c r="FK202" s="59">
        <f t="shared" si="211"/>
        <v>370.49129421395628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>
        <f>EXP(-LN(2)/35)*FQ201+(1-EXP(-LN(2)/35))/(LN(2)/35)*FM202*FN202*VLOOKUP('Données projet'!$B$16,Paramètres!$A$1:$I$89,3,0)*0.475*44/12</f>
        <v>5.1355084408594678</v>
      </c>
      <c r="FR202" s="21">
        <f>EXP(-LN(2)/25)*FR201+(1-EXP(-LN(2)/25))/(LN(2)/25)*Calculateur!FM202*Calculateur!FO202*VLOOKUP('Données projet'!$B$16,Paramètres!$A$1:$I$89,3,0)*0.475*44/12</f>
        <v>0</v>
      </c>
      <c r="FS202" s="21">
        <f>EXP(-LN(2)/2)*FS201+(1-EXP(-LN(2)/2))/(LN(2)/2)*FM202*FP202*VLOOKUP('Données projet'!$B$16,Paramètres!$A$1:$I$89,3,0)*0.475*44/12</f>
        <v>0</v>
      </c>
      <c r="FT202" s="22">
        <f t="shared" si="184"/>
        <v>5.1355084408594678</v>
      </c>
      <c r="FU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19.8100000000004</v>
      </c>
      <c r="GA202" s="17">
        <f>FZ202*VLOOKUP('Données projet'!$B$17,Paramètres!$A$1:$I$89,3,0)*VLOOKUP('Données projet'!$B$17,Paramètres!$A$1:$I$89,5,0)</f>
        <v>18.851196000000382</v>
      </c>
      <c r="GB202" s="13">
        <f t="shared" si="185"/>
        <v>6.172221809210666</v>
      </c>
      <c r="GC202" s="20">
        <f t="shared" si="186"/>
        <v>43.582452684375909</v>
      </c>
      <c r="GD202" s="59">
        <f t="shared" si="200"/>
        <v>334.09882455371201</v>
      </c>
      <c r="GE202" s="59">
        <f ca="1">AVERAGE(OFFSET($GD$3,0,0,'Données projet'!$E$17+1,1))-AVERAGE(OFFSET($H$3,0,0,'Données projet'!$E$17+1,1))</f>
        <v>592.58528889137358</v>
      </c>
      <c r="GF202" s="59">
        <f t="shared" si="212"/>
        <v>311.31528020403709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>
        <f>EXP(-LN(2)/35)*GL201+(1-EXP(-LN(2)/35))/(LN(2)/35)*GH202*GI202*VLOOKUP('Données projet'!$B$17,Paramètres!$A$1:$I$89,3,0)*0.475*44/12</f>
        <v>75.797211168506209</v>
      </c>
      <c r="GM202" s="21">
        <f>EXP(-LN(2)/25)*GM201+(1-EXP(-LN(2)/25))/(LN(2)/25)*Calculateur!GH202*Calculateur!GJ202*VLOOKUP('Données projet'!$B$17,Paramètres!$A$1:$I$89,3,0)*0.475*44/12</f>
        <v>0</v>
      </c>
      <c r="GN202" s="21">
        <f>EXP(-LN(2)/2)*GN201+(1-EXP(-LN(2)/2))/(LN(2)/2)*GH202*GK202*VLOOKUP('Données projet'!$B$17,Paramètres!$A$1:$I$89,3,0)*0.475*44/12</f>
        <v>0</v>
      </c>
      <c r="GO202" s="21">
        <f t="shared" si="187"/>
        <v>75.797211168506209</v>
      </c>
      <c r="GP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328.00000000000006</v>
      </c>
      <c r="GV202" s="17">
        <f>GU202*VLOOKUP('Données projet'!$B$18,Paramètres!$A$1:$I$89,3,0)*VLOOKUP('Données projet'!$B$18,Paramètres!$A$1:$I$89,5,0)</f>
        <v>255.84000000000006</v>
      </c>
      <c r="GW202" s="13">
        <f t="shared" si="188"/>
        <v>61.834803371075836</v>
      </c>
      <c r="GX202" s="20">
        <f t="shared" si="189"/>
        <v>553.28361587129041</v>
      </c>
      <c r="GY202" s="59">
        <f t="shared" si="201"/>
        <v>843.79998774062653</v>
      </c>
      <c r="GZ202" s="59">
        <f ca="1">AVERAGE(OFFSET($GY$3,0,0,'Données projet'!$E$18+1,1))-AVERAGE(OFFSET($H$3,0,0,'Données projet'!$E$18+1,1))</f>
        <v>308.85018589589453</v>
      </c>
      <c r="HA202" s="59">
        <f t="shared" si="213"/>
        <v>302.59481222418219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>
        <f>EXP(-LN(2)/35)*HG201+(1-EXP(-LN(2)/35))/(LN(2)/35)*HC202*HD202*VLOOKUP('Données projet'!$B$18,Paramètres!$A$1:$I$89,3,0)*0.475*44/12</f>
        <v>3.838384284787324</v>
      </c>
      <c r="HH202" s="21">
        <f>EXP(-LN(2)/25)*HH201+(1-EXP(-LN(2)/25))/(LN(2)/25)*Calculateur!HC202*Calculateur!HE202*VLOOKUP('Données projet'!$B$18,Paramètres!$A$1:$I$89,3,0)*0.475*44/12</f>
        <v>0</v>
      </c>
      <c r="HI202" s="21">
        <f>EXP(-LN(2)/2)*HI201+(1-EXP(-LN(2)/2))/(LN(2)/2)*HC202*HF202*VLOOKUP('Données projet'!$B$18,Paramètres!$A$1:$I$89,3,0)*0.475*44/12</f>
        <v>0</v>
      </c>
      <c r="HJ202" s="22">
        <f t="shared" si="190"/>
        <v>3.838384284787324</v>
      </c>
    </row>
    <row r="203" spans="1:218" ht="15" thickBot="1" x14ac:dyDescent="0.4">
      <c r="A203" s="10">
        <f>A202+1</f>
        <v>200</v>
      </c>
      <c r="B203" s="72">
        <f>'Scénario référence'!$B$16*5+'Scénario référence'!$B$17*0+'Scénario référence'!$B$18*5</f>
        <v>5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66">
        <f t="shared" si="192"/>
        <v>183.33333333333334</v>
      </c>
      <c r="I203" s="6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19.8100000000004</v>
      </c>
      <c r="O203" s="13">
        <f>N203*VLOOKUP('Données projet'!$B$9,Paramètres!$A$1:$I$89,3,0)*VLOOKUP('Données projet'!$B$9,Paramètres!$A$1:$I$89,5,0)</f>
        <v>17.924088000000364</v>
      </c>
      <c r="P203" s="13">
        <f t="shared" si="203"/>
        <v>5.9032212091029486</v>
      </c>
      <c r="Q203" s="20">
        <f t="shared" si="162"/>
        <v>41.499230205854936</v>
      </c>
      <c r="R203" s="59">
        <f t="shared" si="191"/>
        <v>332.06447005880904</v>
      </c>
      <c r="S203" s="59">
        <f ca="1">AVERAGE(OFFSET($R$3,0,0,'Données projet'!$E$9+1,1))-AVERAGE(OFFSET($H$3,0,0,'Données projet'!$E$9+1,1))</f>
        <v>567.42635821507474</v>
      </c>
      <c r="T203" s="59">
        <f t="shared" si="204"/>
        <v>299.04735309930152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70.656240937296502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70.656240937296502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19.8100000000004</v>
      </c>
      <c r="AJ203" s="13">
        <f>AI203*VLOOKUP('Données projet'!$B$10,Paramètres!$A$1:$I$89,3,0)*VLOOKUP('Données projet'!$B$10,Paramètres!$A$1:$I$89,5,0)</f>
        <v>20.08734000000041</v>
      </c>
      <c r="AK203" s="13">
        <f t="shared" si="164"/>
        <v>6.5285137703520215</v>
      </c>
      <c r="AL203" s="20">
        <f t="shared" si="165"/>
        <v>46.355945316697152</v>
      </c>
      <c r="AM203" s="59">
        <f t="shared" si="193"/>
        <v>336.92118516965127</v>
      </c>
      <c r="AN203" s="59">
        <f ca="1">AVERAGE(OFFSET($AM$3,0,0,'Données projet'!$E$10+1,1))-AVERAGE(OFFSET($H$3,0,0,'Données projet'!$E$10+1,1))</f>
        <v>626.09203985591455</v>
      </c>
      <c r="AO203" s="59">
        <f t="shared" si="205"/>
        <v>327.65191296575199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79.183718291797788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79.183718291797788</v>
      </c>
      <c r="AY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404.00000000000017</v>
      </c>
      <c r="BE203" s="13">
        <f>BD203*VLOOKUP('Données projet'!$B$11,Paramètres!$A$1:$I$89,3,0)*VLOOKUP('Données projet'!$B$11,Paramètres!$A$1:$I$89,5,0)</f>
        <v>346.63200000000018</v>
      </c>
      <c r="BF203" s="13">
        <f t="shared" si="167"/>
        <v>80.868615263336864</v>
      </c>
      <c r="BG203" s="20">
        <f t="shared" si="168"/>
        <v>744.56357158364528</v>
      </c>
      <c r="BH203" s="59">
        <f t="shared" si="194"/>
        <v>1035.1288114365993</v>
      </c>
      <c r="BI203" s="59">
        <f ca="1">AVERAGE(OFFSET($BH$3,0,0,'Données projet'!$E$11+1,1))-AVERAGE(OFFSET($H$3,0,0,'Données projet'!$E$11+1,1))</f>
        <v>481.23392184981651</v>
      </c>
      <c r="BJ203" s="59">
        <f t="shared" si="206"/>
        <v>275.88160405468193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20.49930166471006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20.49930166471006</v>
      </c>
      <c r="BT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5.2499999999990337</v>
      </c>
      <c r="BZ203" s="13">
        <f>BY203*VLOOKUP('Données projet'!$B$12,Paramètres!$A$1:$I$89,3,0)*VLOOKUP('Données projet'!$B$12,Paramètres!$A$1:$I$89,5,0)</f>
        <v>2.4569999999995478</v>
      </c>
      <c r="CA203" s="13">
        <f t="shared" si="170"/>
        <v>1.0197977774625564</v>
      </c>
      <c r="CB203" s="20">
        <f t="shared" si="171"/>
        <v>6.0554227957464972</v>
      </c>
      <c r="CC203" s="59">
        <f t="shared" si="195"/>
        <v>296.6206626487006</v>
      </c>
      <c r="CD203" s="59">
        <f ca="1">AVERAGE(OFFSET($CC$3,0,0,'Données projet'!$E$12+1,1))-AVERAGE(OFFSET($H$3,0,0,'Données projet'!$E$12+1,1))</f>
        <v>331.86732359395467</v>
      </c>
      <c r="CE203" s="59">
        <f t="shared" si="207"/>
        <v>208.64489375183106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40.061765676670383</v>
      </c>
      <c r="CL203" s="21">
        <f>EXP(-LN(2)/25)*CL202+(1-EXP(-LN(2)/25))/(LN(2)/25)*Calculateur!CG203*Calculateur!CI203*VLOOKUP('Données projet'!$B$12,Paramètres!$A$1:$I$89,3,0)*0.475*44/12</f>
        <v>0</v>
      </c>
      <c r="CM203" s="21">
        <f>EXP(-LN(2)/2)*CM202+(1-EXP(-LN(2)/2))/(LN(2)/2)*CG203*CJ203*VLOOKUP('Données projet'!$B$12,Paramètres!$A$1:$I$89,3,0)*0.475*44/12</f>
        <v>0</v>
      </c>
      <c r="CN203" s="22">
        <f t="shared" si="172"/>
        <v>40.061765676670383</v>
      </c>
      <c r="CO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319</v>
      </c>
      <c r="CU203" s="17">
        <f>CT203*VLOOKUP('Données projet'!$B$13,Paramètres!$A$1:$I$89,3,0)*VLOOKUP('Données projet'!$B$13,Paramètres!$A$1:$I$89,5,0)</f>
        <v>233.89079999999998</v>
      </c>
      <c r="CV203" s="13">
        <f t="shared" si="173"/>
        <v>57.123140349023068</v>
      </c>
      <c r="CW203" s="20">
        <f t="shared" si="174"/>
        <v>506.84927944121517</v>
      </c>
      <c r="CX203" s="59">
        <f t="shared" si="196"/>
        <v>797.41451929416928</v>
      </c>
      <c r="CY203" s="59">
        <f ca="1">AVERAGE(OFFSET($CX$3,0,0,'Données projet'!$E$13+1,1))-AVERAGE(OFFSET($H$3,0,0,'Données projet'!$E$13+1,1))</f>
        <v>352.45777291109863</v>
      </c>
      <c r="CZ203" s="59">
        <f t="shared" si="208"/>
        <v>340.92165104349181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3.6920679951656448</v>
      </c>
      <c r="DG203" s="21">
        <f>EXP(-LN(2)/25)*DG202+(1-EXP(-LN(2)/25))/(LN(2)/25)*Calculateur!DB203*Calculateur!DD203*VLOOKUP('Données projet'!$B$13,Paramètres!$A$1:$I$89,3,0)*0.475*44/12</f>
        <v>0</v>
      </c>
      <c r="DH203" s="21">
        <f>EXP(-LN(2)/2)*DH202+(1-EXP(-LN(2)/2))/(LN(2)/2)*DB203*DE203*VLOOKUP('Données projet'!$B$13,Paramètres!$A$1:$I$89,3,0)*0.475*44/12</f>
        <v>0</v>
      </c>
      <c r="DI203" s="22">
        <f t="shared" si="175"/>
        <v>3.6920679951656448</v>
      </c>
      <c r="DJ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19.8100000000004</v>
      </c>
      <c r="DP203" s="17">
        <f>DO203*VLOOKUP('Données projet'!$B$14,Paramètres!$A$1:$I$89,3,0)*VLOOKUP('Données projet'!$B$14,Paramètres!$A$1:$I$89,5,0)</f>
        <v>13.288548000000269</v>
      </c>
      <c r="DQ203" s="13">
        <f t="shared" si="176"/>
        <v>4.531654695205642</v>
      </c>
      <c r="DR203" s="20">
        <f t="shared" si="177"/>
        <v>31.036853027483627</v>
      </c>
      <c r="DS203" s="59">
        <f t="shared" si="197"/>
        <v>321.60209288043774</v>
      </c>
      <c r="DT203" s="59">
        <f ca="1">AVERAGE(OFFSET($DS$3,0,0,'Données projet'!$E$14+1,1))-AVERAGE(OFFSET($H$3,0,0,'Données projet'!$E$14+1,1))</f>
        <v>441.20130048888439</v>
      </c>
      <c r="DU203" s="59">
        <f t="shared" si="209"/>
        <v>237.47732532183946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64.565185684081229</v>
      </c>
      <c r="EB203" s="21">
        <f>EXP(-LN(2)/25)*EB202+(1-EXP(-LN(2)/25))/(LN(2)/25)*Calculateur!DW203*Calculateur!DY203*VLOOKUP('Données projet'!$B$14,Paramètres!$A$1:$I$89,3,0)*0.475*44/12</f>
        <v>0</v>
      </c>
      <c r="EC203" s="21">
        <f>EXP(-LN(2)/2)*EC202+(1-EXP(-LN(2)/2))/(LN(2)/2)*DW203*DZ203*VLOOKUP('Données projet'!$B$14,Paramètres!$A$1:$I$89,3,0)*0.475*44/12</f>
        <v>0</v>
      </c>
      <c r="ED203" s="22">
        <f t="shared" si="178"/>
        <v>64.565185684081229</v>
      </c>
      <c r="EE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319</v>
      </c>
      <c r="EK203" s="17">
        <f>EJ203*VLOOKUP('Données projet'!$B$15,Paramètres!$A$1:$I$89,3,0)*VLOOKUP('Données projet'!$B$15,Paramètres!$A$1:$I$89,5,0)</f>
        <v>253.79640000000001</v>
      </c>
      <c r="EL203" s="13">
        <f t="shared" si="179"/>
        <v>61.39816832228076</v>
      </c>
      <c r="EM203" s="20">
        <f t="shared" si="180"/>
        <v>548.96387316130563</v>
      </c>
      <c r="EN203" s="59">
        <f t="shared" si="198"/>
        <v>839.52911301425979</v>
      </c>
      <c r="EO203" s="59">
        <f ca="1">AVERAGE(OFFSET($EN$3,0,0,'Données projet'!$E$15+1,1))-AVERAGE(OFFSET($H$3,0,0,'Données projet'!$E$15+1,1))</f>
        <v>377.27600411578322</v>
      </c>
      <c r="EP203" s="59">
        <f t="shared" si="210"/>
        <v>364.58250627635425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>
        <f>EXP(-LN(2)/35)*EV202+(1-EXP(-LN(2)/35))/(LN(2)/35)*ER203*ES203*VLOOKUP('Données projet'!$B$15,Paramètres!$A$1:$I$89,3,0)*0.475*44/12</f>
        <v>4.937981093979583</v>
      </c>
      <c r="EW203" s="21">
        <f>EXP(-LN(2)/25)*EW202+(1-EXP(-LN(2)/25))/(LN(2)/25)*Calculateur!ER203*Calculateur!ET203*VLOOKUP('Données projet'!$B$15,Paramètres!$A$1:$I$89,3,0)*0.475*44/12</f>
        <v>0</v>
      </c>
      <c r="EX203" s="21">
        <f>EXP(-LN(2)/2)*EX202+(1-EXP(-LN(2)/2))/(LN(2)/2)*ER203*EU203*VLOOKUP('Données projet'!$B$15,Paramètres!$A$1:$I$89,3,0)*0.475*44/12</f>
        <v>0</v>
      </c>
      <c r="EY203" s="22">
        <f t="shared" si="181"/>
        <v>4.937981093979583</v>
      </c>
      <c r="EZ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319</v>
      </c>
      <c r="FF203" s="17">
        <f>FE203*VLOOKUP('Données projet'!$B$16,Paramètres!$A$1:$I$89,3,0)*VLOOKUP('Données projet'!$B$16,Paramètres!$A$1:$I$89,5,0)</f>
        <v>258.77280000000002</v>
      </c>
      <c r="FG203" s="13">
        <f t="shared" si="182"/>
        <v>62.460716522234691</v>
      </c>
      <c r="FH203" s="20">
        <f t="shared" si="183"/>
        <v>559.48170794289206</v>
      </c>
      <c r="FI203" s="59">
        <f t="shared" si="199"/>
        <v>850.04694779584611</v>
      </c>
      <c r="FJ203" s="59">
        <f ca="1">AVERAGE(OFFSET($FI$3,0,0,'Données projet'!$E$16+1,1))-AVERAGE(OFFSET($H$3,0,0,'Données projet'!$E$16+1,1))</f>
        <v>383.47399633251354</v>
      </c>
      <c r="FK203" s="59">
        <f t="shared" si="211"/>
        <v>370.49129421395628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>
        <f>EXP(-LN(2)/35)*FQ202+(1-EXP(-LN(2)/35))/(LN(2)/35)*FM203*FN203*VLOOKUP('Données projet'!$B$16,Paramètres!$A$1:$I$89,3,0)*0.475*44/12</f>
        <v>5.0348042526850687</v>
      </c>
      <c r="FR203" s="21">
        <f>EXP(-LN(2)/25)*FR202+(1-EXP(-LN(2)/25))/(LN(2)/25)*Calculateur!FM203*Calculateur!FO203*VLOOKUP('Données projet'!$B$16,Paramètres!$A$1:$I$89,3,0)*0.475*44/12</f>
        <v>0</v>
      </c>
      <c r="FS203" s="21">
        <f>EXP(-LN(2)/2)*FS202+(1-EXP(-LN(2)/2))/(LN(2)/2)*FM203*FP203*VLOOKUP('Données projet'!$B$16,Paramètres!$A$1:$I$89,3,0)*0.475*44/12</f>
        <v>0</v>
      </c>
      <c r="FT203" s="22">
        <f t="shared" si="184"/>
        <v>5.0348042526850687</v>
      </c>
      <c r="FU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19.8100000000004</v>
      </c>
      <c r="GA203" s="17">
        <f>FZ203*VLOOKUP('Données projet'!$B$17,Paramètres!$A$1:$I$89,3,0)*VLOOKUP('Données projet'!$B$17,Paramètres!$A$1:$I$89,5,0)</f>
        <v>18.851196000000382</v>
      </c>
      <c r="GB203" s="13">
        <f t="shared" si="185"/>
        <v>6.172221809210666</v>
      </c>
      <c r="GC203" s="20">
        <f t="shared" si="186"/>
        <v>43.582452684375909</v>
      </c>
      <c r="GD203" s="59">
        <f t="shared" si="200"/>
        <v>334.14769253733004</v>
      </c>
      <c r="GE203" s="59">
        <f ca="1">AVERAGE(OFFSET($GD$3,0,0,'Données projet'!$E$17+1,1))-AVERAGE(OFFSET($H$3,0,0,'Données projet'!$E$17+1,1))</f>
        <v>592.58528889137358</v>
      </c>
      <c r="GF203" s="59">
        <f t="shared" si="212"/>
        <v>311.31528020403709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>
        <f>EXP(-LN(2)/35)*GL202+(1-EXP(-LN(2)/35))/(LN(2)/35)*GH203*GI203*VLOOKUP('Données projet'!$B$17,Paramètres!$A$1:$I$89,3,0)*0.475*44/12</f>
        <v>74.310874089225607</v>
      </c>
      <c r="GM203" s="21">
        <f>EXP(-LN(2)/25)*GM202+(1-EXP(-LN(2)/25))/(LN(2)/25)*Calculateur!GH203*Calculateur!GJ203*VLOOKUP('Données projet'!$B$17,Paramètres!$A$1:$I$89,3,0)*0.475*44/12</f>
        <v>0</v>
      </c>
      <c r="GN203" s="21">
        <f>EXP(-LN(2)/2)*GN202+(1-EXP(-LN(2)/2))/(LN(2)/2)*GH203*GK203*VLOOKUP('Données projet'!$B$17,Paramètres!$A$1:$I$89,3,0)*0.475*44/12</f>
        <v>0</v>
      </c>
      <c r="GO203" s="21">
        <f t="shared" si="187"/>
        <v>74.310874089225607</v>
      </c>
      <c r="GP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328.00000000000006</v>
      </c>
      <c r="GV203" s="17">
        <f>GU203*VLOOKUP('Données projet'!$B$18,Paramètres!$A$1:$I$89,3,0)*VLOOKUP('Données projet'!$B$18,Paramètres!$A$1:$I$89,5,0)</f>
        <v>255.84000000000006</v>
      </c>
      <c r="GW203" s="13">
        <f t="shared" si="188"/>
        <v>61.834803371075836</v>
      </c>
      <c r="GX203" s="20">
        <f t="shared" si="189"/>
        <v>553.28361587129041</v>
      </c>
      <c r="GY203" s="59">
        <f t="shared" si="201"/>
        <v>843.84885572424446</v>
      </c>
      <c r="GZ203" s="59">
        <f ca="1">AVERAGE(OFFSET($GY$3,0,0,'Données projet'!$E$18+1,1))-AVERAGE(OFFSET($H$3,0,0,'Données projet'!$E$18+1,1))</f>
        <v>308.85018589589453</v>
      </c>
      <c r="HA203" s="59">
        <f t="shared" si="213"/>
        <v>302.59481222418219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>
        <f>EXP(-LN(2)/35)*HG202+(1-EXP(-LN(2)/35))/(LN(2)/35)*HC203*HD203*VLOOKUP('Données projet'!$B$18,Paramètres!$A$1:$I$89,3,0)*0.475*44/12</f>
        <v>3.7631159101458858</v>
      </c>
      <c r="HH203" s="21">
        <f>EXP(-LN(2)/25)*HH202+(1-EXP(-LN(2)/25))/(LN(2)/25)*Calculateur!HC203*Calculateur!HE203*VLOOKUP('Données projet'!$B$18,Paramètres!$A$1:$I$89,3,0)*0.475*44/12</f>
        <v>0</v>
      </c>
      <c r="HI203" s="21">
        <f>EXP(-LN(2)/2)*HI202+(1-EXP(-LN(2)/2))/(LN(2)/2)*HC203*HF203*VLOOKUP('Données projet'!$B$18,Paramètres!$A$1:$I$89,3,0)*0.475*44/12</f>
        <v>0</v>
      </c>
      <c r="HJ203" s="22">
        <f t="shared" si="190"/>
        <v>3.7631159101458858</v>
      </c>
    </row>
    <row r="204" spans="1:218" ht="15" thickBot="1" x14ac:dyDescent="0.4">
      <c r="B204" s="10"/>
      <c r="C204" s="75"/>
      <c r="D204" s="76"/>
      <c r="E204" s="76"/>
      <c r="F204" s="76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5"/>
      <c r="I204" s="75"/>
      <c r="J204" s="75"/>
      <c r="K204" s="83" t="s">
        <v>293</v>
      </c>
      <c r="L204" s="77"/>
      <c r="M204" s="77"/>
      <c r="N204" s="77"/>
      <c r="O204" s="75"/>
      <c r="P204" s="75"/>
      <c r="Q204" s="76"/>
      <c r="R204" s="78"/>
      <c r="S204" s="78"/>
      <c r="T204" s="78"/>
      <c r="U204" s="77"/>
      <c r="V204" s="77"/>
      <c r="W204" s="79"/>
      <c r="X204" s="79"/>
      <c r="Y204" s="79"/>
      <c r="Z204" s="75"/>
      <c r="AA204" s="75"/>
      <c r="AB204" s="75"/>
      <c r="AC204" s="75"/>
      <c r="AD204" s="75"/>
      <c r="AE204" s="75"/>
      <c r="AF204" s="80" t="s">
        <v>293</v>
      </c>
      <c r="BA204" s="80" t="s">
        <v>293</v>
      </c>
      <c r="BV204" s="80" t="s">
        <v>293</v>
      </c>
      <c r="CQ204" s="80" t="s">
        <v>293</v>
      </c>
      <c r="DL204" s="80" t="s">
        <v>293</v>
      </c>
      <c r="EG204" s="80" t="s">
        <v>293</v>
      </c>
      <c r="FB204" s="80" t="s">
        <v>293</v>
      </c>
      <c r="FW204" s="80" t="s">
        <v>293</v>
      </c>
      <c r="GR204" s="80" t="s">
        <v>293</v>
      </c>
    </row>
    <row r="205" spans="1:218" ht="15" thickBot="1" x14ac:dyDescent="0.4">
      <c r="B205" s="10"/>
      <c r="C205" s="75"/>
      <c r="D205" s="76"/>
      <c r="E205" s="76"/>
      <c r="F205" s="76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5"/>
      <c r="I205" s="75"/>
      <c r="J205" s="75"/>
      <c r="K205" s="81">
        <f>EXP(LN('Données projet'!B36)/'Données projet'!A36)</f>
        <v>1.1736311550493581</v>
      </c>
      <c r="L205" s="77"/>
      <c r="M205" s="77"/>
      <c r="N205" s="77"/>
      <c r="O205" s="75"/>
      <c r="P205" s="75"/>
      <c r="Q205" s="76"/>
      <c r="R205" s="78"/>
      <c r="S205" s="78"/>
      <c r="T205" s="78"/>
      <c r="U205" s="77"/>
      <c r="V205" s="77"/>
      <c r="W205" s="79"/>
      <c r="X205" s="79"/>
      <c r="Y205" s="79"/>
      <c r="Z205" s="75"/>
      <c r="AA205" s="75"/>
      <c r="AB205" s="75"/>
      <c r="AC205" s="75"/>
      <c r="AD205" s="75"/>
      <c r="AE205" s="75"/>
      <c r="AF205" s="82">
        <f>EXP(LN('Données projet'!B62)/'Données projet'!A62)</f>
        <v>1.1736311550493581</v>
      </c>
      <c r="BA205" s="81">
        <f>EXP(LN('Données projet'!B88)/'Données projet'!A88)</f>
        <v>1.189207115002721</v>
      </c>
      <c r="BV205" s="81">
        <f>EXP(LN('Données projet'!B114)/'Données projet'!A114)</f>
        <v>1.1808012106418171</v>
      </c>
      <c r="CQ205" s="81">
        <f>EXP(LN('Données projet'!B140)/'Données projet'!A140)</f>
        <v>1.2709816152101407</v>
      </c>
      <c r="DL205" s="81">
        <f>EXP(LN('Données projet'!B166)/'Données projet'!A166)</f>
        <v>1.1736311550493581</v>
      </c>
      <c r="EG205" s="81">
        <f>EXP(LN('Données projet'!B192)/'Données projet'!A192)</f>
        <v>1.2709816152101407</v>
      </c>
      <c r="FB205" s="81">
        <f>EXP(LN('Données projet'!B218)/'Données projet'!A218)</f>
        <v>1.2709816152101407</v>
      </c>
      <c r="FW205" s="81">
        <f>EXP(LN('Données projet'!B244)/'Données projet'!A244)</f>
        <v>1.1736311550493581</v>
      </c>
      <c r="GR205" s="81">
        <f>EXP(LN('Données projet'!B270)/'Données projet'!A270)</f>
        <v>1.2788040393997409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53125" defaultRowHeight="14.5" x14ac:dyDescent="0.35"/>
  <cols>
    <col min="1" max="1" width="23.453125" style="4" bestFit="1" customWidth="1"/>
    <col min="2" max="2" width="27.6328125" style="4" bestFit="1" customWidth="1"/>
    <col min="3" max="3" width="11.81640625" style="4" bestFit="1" customWidth="1"/>
    <col min="4" max="4" width="40" style="4" bestFit="1" customWidth="1"/>
    <col min="5" max="5" width="11.81640625" style="4" bestFit="1" customWidth="1"/>
    <col min="6" max="6" width="13.6328125" style="4" bestFit="1" customWidth="1"/>
    <col min="7" max="7" width="11.453125" style="4" bestFit="1" customWidth="1"/>
    <col min="8" max="8" width="39" style="4" bestFit="1" customWidth="1"/>
    <col min="9" max="9" width="16.6328125" style="4" customWidth="1"/>
    <col min="10" max="14" width="11.453125" style="4"/>
    <col min="15" max="15" width="23.453125" style="4" bestFit="1" customWidth="1"/>
    <col min="16" max="16384" width="11.453125" style="4"/>
  </cols>
  <sheetData>
    <row r="1" spans="1:16" ht="44" thickBot="1" x14ac:dyDescent="0.4">
      <c r="A1" s="109" t="s">
        <v>0</v>
      </c>
      <c r="B1" s="110" t="s">
        <v>106</v>
      </c>
      <c r="C1" s="111" t="s">
        <v>144</v>
      </c>
      <c r="D1" s="110" t="s">
        <v>100</v>
      </c>
      <c r="E1" s="111" t="s">
        <v>145</v>
      </c>
      <c r="F1" s="111" t="s">
        <v>100</v>
      </c>
      <c r="G1" s="111" t="s">
        <v>146</v>
      </c>
      <c r="H1" s="111" t="s">
        <v>100</v>
      </c>
      <c r="I1" s="112" t="s">
        <v>147</v>
      </c>
      <c r="J1" s="77"/>
      <c r="K1" s="77"/>
      <c r="L1" s="77"/>
      <c r="M1" s="77"/>
      <c r="N1" s="77"/>
    </row>
    <row r="2" spans="1:16" x14ac:dyDescent="0.35">
      <c r="A2" s="113" t="s">
        <v>1</v>
      </c>
      <c r="B2" s="114" t="s">
        <v>53</v>
      </c>
      <c r="C2" s="115">
        <v>0.62</v>
      </c>
      <c r="D2" s="115" t="s">
        <v>161</v>
      </c>
      <c r="E2" s="115">
        <v>1.56</v>
      </c>
      <c r="F2" s="115" t="s">
        <v>274</v>
      </c>
      <c r="G2" s="116">
        <v>0.43</v>
      </c>
      <c r="H2" s="117" t="s">
        <v>278</v>
      </c>
      <c r="I2" s="118">
        <v>0.25</v>
      </c>
      <c r="J2" s="77"/>
      <c r="K2" s="77"/>
      <c r="L2" s="77"/>
      <c r="M2" s="77"/>
      <c r="N2" s="77"/>
      <c r="O2" s="290" t="s">
        <v>238</v>
      </c>
      <c r="P2" s="119">
        <v>0</v>
      </c>
    </row>
    <row r="3" spans="1:16" ht="15" thickBot="1" x14ac:dyDescent="0.4">
      <c r="A3" s="120" t="s">
        <v>2</v>
      </c>
      <c r="B3" s="121" t="s">
        <v>54</v>
      </c>
      <c r="C3" s="122">
        <v>0.64</v>
      </c>
      <c r="D3" s="122" t="s">
        <v>161</v>
      </c>
      <c r="E3" s="122">
        <v>1.56</v>
      </c>
      <c r="F3" s="123" t="s">
        <v>274</v>
      </c>
      <c r="G3" s="124">
        <v>0.43</v>
      </c>
      <c r="H3" s="122" t="s">
        <v>278</v>
      </c>
      <c r="I3" s="125">
        <v>0.25</v>
      </c>
      <c r="J3" s="77"/>
      <c r="K3" s="77"/>
      <c r="L3" s="77"/>
      <c r="M3" s="77"/>
      <c r="N3" s="77"/>
      <c r="O3" s="291"/>
      <c r="P3" s="126">
        <v>0.2</v>
      </c>
    </row>
    <row r="4" spans="1:16" ht="15" thickBot="1" x14ac:dyDescent="0.4">
      <c r="A4" s="120" t="s">
        <v>98</v>
      </c>
      <c r="B4" s="121" t="s">
        <v>99</v>
      </c>
      <c r="C4" s="122">
        <v>0.42</v>
      </c>
      <c r="D4" s="122" t="s">
        <v>161</v>
      </c>
      <c r="E4" s="122">
        <v>1.56</v>
      </c>
      <c r="F4" s="123" t="s">
        <v>274</v>
      </c>
      <c r="G4" s="124">
        <v>0.43</v>
      </c>
      <c r="H4" s="122" t="s">
        <v>278</v>
      </c>
      <c r="I4" s="125">
        <v>0.25</v>
      </c>
      <c r="J4" s="77"/>
      <c r="K4" s="77"/>
      <c r="L4" s="77"/>
      <c r="M4" s="77"/>
      <c r="N4" s="77"/>
    </row>
    <row r="5" spans="1:16" x14ac:dyDescent="0.35">
      <c r="A5" s="120" t="s">
        <v>4</v>
      </c>
      <c r="B5" s="121" t="s">
        <v>55</v>
      </c>
      <c r="C5" s="122">
        <v>0.42</v>
      </c>
      <c r="D5" s="122" t="s">
        <v>161</v>
      </c>
      <c r="E5" s="122">
        <v>1.56</v>
      </c>
      <c r="F5" s="123" t="s">
        <v>274</v>
      </c>
      <c r="G5" s="124">
        <v>0.43</v>
      </c>
      <c r="H5" s="122" t="s">
        <v>278</v>
      </c>
      <c r="I5" s="125">
        <v>0.25</v>
      </c>
      <c r="J5" s="77"/>
      <c r="K5" s="77"/>
      <c r="L5" s="77"/>
      <c r="M5" s="77"/>
      <c r="N5" s="77"/>
      <c r="O5" s="290" t="s">
        <v>237</v>
      </c>
      <c r="P5" s="119">
        <v>0</v>
      </c>
    </row>
    <row r="6" spans="1:16" x14ac:dyDescent="0.35">
      <c r="A6" s="120" t="s">
        <v>3</v>
      </c>
      <c r="B6" s="121" t="s">
        <v>97</v>
      </c>
      <c r="C6" s="122">
        <v>0.42</v>
      </c>
      <c r="D6" s="122" t="s">
        <v>161</v>
      </c>
      <c r="E6" s="122">
        <v>1.56</v>
      </c>
      <c r="F6" s="123" t="s">
        <v>274</v>
      </c>
      <c r="G6" s="124">
        <v>0.43</v>
      </c>
      <c r="H6" s="122" t="s">
        <v>278</v>
      </c>
      <c r="I6" s="125">
        <v>0.25</v>
      </c>
      <c r="J6" s="77"/>
      <c r="K6" s="77"/>
      <c r="L6" s="77"/>
      <c r="M6" s="77"/>
      <c r="N6" s="77"/>
      <c r="O6" s="292"/>
      <c r="P6" s="127">
        <v>0.05</v>
      </c>
    </row>
    <row r="7" spans="1:16" x14ac:dyDescent="0.35">
      <c r="A7" s="120" t="s">
        <v>5</v>
      </c>
      <c r="B7" s="121" t="s">
        <v>56</v>
      </c>
      <c r="C7" s="122">
        <v>0.52</v>
      </c>
      <c r="D7" s="122" t="s">
        <v>161</v>
      </c>
      <c r="E7" s="122">
        <v>1.56</v>
      </c>
      <c r="F7" s="123" t="s">
        <v>274</v>
      </c>
      <c r="G7" s="124">
        <v>0.43</v>
      </c>
      <c r="H7" s="122" t="s">
        <v>278</v>
      </c>
      <c r="I7" s="125">
        <v>0.25</v>
      </c>
      <c r="J7" s="77"/>
      <c r="K7" s="77"/>
      <c r="L7" s="77"/>
      <c r="M7" s="77"/>
      <c r="N7" s="77"/>
      <c r="O7" s="292"/>
      <c r="P7" s="127">
        <v>0.1</v>
      </c>
    </row>
    <row r="8" spans="1:16" ht="15" thickBot="1" x14ac:dyDescent="0.4">
      <c r="A8" s="120" t="s">
        <v>164</v>
      </c>
      <c r="B8" s="121" t="s">
        <v>57</v>
      </c>
      <c r="C8" s="122">
        <v>0.36</v>
      </c>
      <c r="D8" s="122" t="s">
        <v>161</v>
      </c>
      <c r="E8" s="122">
        <v>1.3</v>
      </c>
      <c r="F8" s="123" t="s">
        <v>274</v>
      </c>
      <c r="G8" s="124">
        <v>0.55000000000000004</v>
      </c>
      <c r="H8" s="122" t="s">
        <v>153</v>
      </c>
      <c r="I8" s="125">
        <v>0.43</v>
      </c>
      <c r="J8" s="77"/>
      <c r="K8" s="77"/>
      <c r="L8" s="77"/>
      <c r="M8" s="77"/>
      <c r="N8" s="77"/>
      <c r="O8" s="291"/>
      <c r="P8" s="126">
        <v>0.15</v>
      </c>
    </row>
    <row r="9" spans="1:16" ht="15" thickBot="1" x14ac:dyDescent="0.4">
      <c r="A9" s="120" t="s">
        <v>6</v>
      </c>
      <c r="B9" s="121" t="s">
        <v>58</v>
      </c>
      <c r="C9" s="122">
        <v>0.61</v>
      </c>
      <c r="D9" s="122" t="s">
        <v>161</v>
      </c>
      <c r="E9" s="122">
        <v>1.56</v>
      </c>
      <c r="F9" s="123" t="s">
        <v>274</v>
      </c>
      <c r="G9" s="124">
        <v>0.43</v>
      </c>
      <c r="H9" s="122" t="s">
        <v>278</v>
      </c>
      <c r="I9" s="125">
        <v>0.25</v>
      </c>
      <c r="J9" s="77"/>
      <c r="K9" s="77"/>
      <c r="L9" s="77"/>
      <c r="M9" s="77"/>
      <c r="N9" s="77"/>
    </row>
    <row r="10" spans="1:16" x14ac:dyDescent="0.35">
      <c r="A10" s="120" t="s">
        <v>7</v>
      </c>
      <c r="B10" s="121" t="s">
        <v>59</v>
      </c>
      <c r="C10" s="122">
        <v>0.66</v>
      </c>
      <c r="D10" s="122" t="s">
        <v>161</v>
      </c>
      <c r="E10" s="122">
        <v>1.56</v>
      </c>
      <c r="F10" s="123" t="s">
        <v>274</v>
      </c>
      <c r="G10" s="124">
        <v>0.43</v>
      </c>
      <c r="H10" s="122" t="s">
        <v>278</v>
      </c>
      <c r="I10" s="125">
        <v>0.25</v>
      </c>
      <c r="J10" s="77"/>
      <c r="K10" s="77"/>
      <c r="L10" s="77"/>
      <c r="M10" s="77"/>
      <c r="N10" s="77"/>
      <c r="O10" s="290" t="s">
        <v>236</v>
      </c>
      <c r="P10" s="119">
        <v>0</v>
      </c>
    </row>
    <row r="11" spans="1:16" ht="15" thickBot="1" x14ac:dyDescent="0.4">
      <c r="A11" s="120" t="s">
        <v>8</v>
      </c>
      <c r="B11" s="121" t="s">
        <v>60</v>
      </c>
      <c r="C11" s="122">
        <v>0.47</v>
      </c>
      <c r="D11" s="122" t="s">
        <v>161</v>
      </c>
      <c r="E11" s="122">
        <v>1.56</v>
      </c>
      <c r="F11" s="123" t="s">
        <v>274</v>
      </c>
      <c r="G11" s="124">
        <v>0.43</v>
      </c>
      <c r="H11" s="122" t="s">
        <v>278</v>
      </c>
      <c r="I11" s="125">
        <v>0.25</v>
      </c>
      <c r="J11" s="77"/>
      <c r="K11" s="77"/>
      <c r="L11" s="77"/>
      <c r="M11" s="77"/>
      <c r="N11" s="77"/>
      <c r="O11" s="291"/>
      <c r="P11" s="126">
        <v>0.1</v>
      </c>
    </row>
    <row r="12" spans="1:16" x14ac:dyDescent="0.35">
      <c r="A12" s="120" t="s">
        <v>9</v>
      </c>
      <c r="B12" s="121" t="s">
        <v>61</v>
      </c>
      <c r="C12" s="122">
        <v>0.67</v>
      </c>
      <c r="D12" s="122" t="s">
        <v>161</v>
      </c>
      <c r="E12" s="122">
        <v>1.56</v>
      </c>
      <c r="F12" s="123" t="s">
        <v>274</v>
      </c>
      <c r="G12" s="124">
        <v>0.43</v>
      </c>
      <c r="H12" s="122" t="s">
        <v>152</v>
      </c>
      <c r="I12" s="125">
        <v>0.25</v>
      </c>
      <c r="J12" s="77"/>
      <c r="K12" s="77"/>
      <c r="L12" s="77"/>
      <c r="M12" s="77"/>
      <c r="N12" s="77"/>
    </row>
    <row r="13" spans="1:16" x14ac:dyDescent="0.35">
      <c r="A13" s="120" t="s">
        <v>10</v>
      </c>
      <c r="B13" s="121" t="s">
        <v>62</v>
      </c>
      <c r="C13" s="122">
        <v>0.7</v>
      </c>
      <c r="D13" s="122" t="s">
        <v>161</v>
      </c>
      <c r="E13" s="122">
        <v>1.56</v>
      </c>
      <c r="F13" s="123" t="s">
        <v>274</v>
      </c>
      <c r="G13" s="124">
        <v>0.43</v>
      </c>
      <c r="H13" s="122" t="s">
        <v>152</v>
      </c>
      <c r="I13" s="125">
        <v>0.25</v>
      </c>
      <c r="J13" s="77"/>
      <c r="K13" s="77"/>
      <c r="L13" s="77"/>
      <c r="M13" s="77"/>
      <c r="N13" s="77"/>
    </row>
    <row r="14" spans="1:16" x14ac:dyDescent="0.35">
      <c r="A14" s="120" t="s">
        <v>11</v>
      </c>
      <c r="B14" s="121" t="s">
        <v>63</v>
      </c>
      <c r="C14" s="122">
        <v>0.54</v>
      </c>
      <c r="D14" s="122" t="s">
        <v>161</v>
      </c>
      <c r="E14" s="122">
        <v>1.56</v>
      </c>
      <c r="F14" s="123" t="s">
        <v>274</v>
      </c>
      <c r="G14" s="124">
        <v>0.43</v>
      </c>
      <c r="H14" s="122" t="s">
        <v>152</v>
      </c>
      <c r="I14" s="125">
        <v>0.25</v>
      </c>
      <c r="J14" s="77"/>
      <c r="K14" s="77"/>
      <c r="L14" s="77"/>
      <c r="M14" s="77"/>
      <c r="N14" s="77"/>
    </row>
    <row r="15" spans="1:16" x14ac:dyDescent="0.35">
      <c r="A15" s="120" t="s">
        <v>12</v>
      </c>
      <c r="B15" s="121" t="s">
        <v>64</v>
      </c>
      <c r="C15" s="122">
        <v>0.65</v>
      </c>
      <c r="D15" s="122" t="s">
        <v>161</v>
      </c>
      <c r="E15" s="122">
        <v>1.56</v>
      </c>
      <c r="F15" s="123" t="s">
        <v>274</v>
      </c>
      <c r="G15" s="124">
        <v>0.43</v>
      </c>
      <c r="H15" s="122" t="s">
        <v>152</v>
      </c>
      <c r="I15" s="125">
        <v>0.25</v>
      </c>
      <c r="J15" s="77"/>
      <c r="K15" s="77"/>
      <c r="L15" s="77"/>
      <c r="M15" s="77"/>
      <c r="N15" s="77"/>
    </row>
    <row r="16" spans="1:16" x14ac:dyDescent="0.35">
      <c r="A16" s="120" t="s">
        <v>13</v>
      </c>
      <c r="B16" s="121" t="s">
        <v>65</v>
      </c>
      <c r="C16" s="122">
        <v>0.56000000000000005</v>
      </c>
      <c r="D16" s="122" t="s">
        <v>161</v>
      </c>
      <c r="E16" s="122">
        <v>1.56</v>
      </c>
      <c r="F16" s="123" t="s">
        <v>274</v>
      </c>
      <c r="G16" s="124">
        <v>0.43</v>
      </c>
      <c r="H16" s="122" t="s">
        <v>152</v>
      </c>
      <c r="I16" s="125">
        <v>0.25</v>
      </c>
      <c r="J16" s="77"/>
      <c r="K16" s="77"/>
      <c r="L16" s="77"/>
      <c r="M16" s="77"/>
      <c r="N16" s="77"/>
    </row>
    <row r="17" spans="1:14" x14ac:dyDescent="0.35">
      <c r="A17" s="120" t="s">
        <v>14</v>
      </c>
      <c r="B17" s="121" t="s">
        <v>66</v>
      </c>
      <c r="C17" s="122">
        <v>0.57999999999999996</v>
      </c>
      <c r="D17" s="122" t="s">
        <v>161</v>
      </c>
      <c r="E17" s="122">
        <v>1.56</v>
      </c>
      <c r="F17" s="123" t="s">
        <v>274</v>
      </c>
      <c r="G17" s="124">
        <v>0.43</v>
      </c>
      <c r="H17" s="122" t="s">
        <v>152</v>
      </c>
      <c r="I17" s="125">
        <v>0.25</v>
      </c>
      <c r="J17" s="77"/>
      <c r="K17" s="77"/>
      <c r="L17" s="77"/>
      <c r="M17" s="77"/>
      <c r="N17" s="77"/>
    </row>
    <row r="18" spans="1:14" x14ac:dyDescent="0.35">
      <c r="A18" s="120" t="s">
        <v>15</v>
      </c>
      <c r="B18" s="121" t="s">
        <v>67</v>
      </c>
      <c r="C18" s="122">
        <v>0.64</v>
      </c>
      <c r="D18" s="122" t="s">
        <v>161</v>
      </c>
      <c r="E18" s="122">
        <v>1.56</v>
      </c>
      <c r="F18" s="123" t="s">
        <v>274</v>
      </c>
      <c r="G18" s="124">
        <v>0.43</v>
      </c>
      <c r="H18" s="122" t="s">
        <v>152</v>
      </c>
      <c r="I18" s="125">
        <v>0.25</v>
      </c>
      <c r="J18" s="77"/>
      <c r="K18" s="77"/>
      <c r="L18" s="77"/>
      <c r="M18" s="77"/>
      <c r="N18" s="77"/>
    </row>
    <row r="19" spans="1:14" x14ac:dyDescent="0.35">
      <c r="A19" s="120" t="s">
        <v>16</v>
      </c>
      <c r="B19" s="121" t="s">
        <v>68</v>
      </c>
      <c r="C19" s="122">
        <v>0.73</v>
      </c>
      <c r="D19" s="122" t="s">
        <v>161</v>
      </c>
      <c r="E19" s="122">
        <v>1.56</v>
      </c>
      <c r="F19" s="123" t="s">
        <v>274</v>
      </c>
      <c r="G19" s="124">
        <v>0.43</v>
      </c>
      <c r="H19" s="122" t="s">
        <v>152</v>
      </c>
      <c r="I19" s="125">
        <v>0.25</v>
      </c>
      <c r="J19" s="77"/>
      <c r="K19" s="77"/>
      <c r="L19" s="77"/>
      <c r="M19" s="77"/>
      <c r="N19" s="77"/>
    </row>
    <row r="20" spans="1:14" x14ac:dyDescent="0.35">
      <c r="A20" s="120" t="s">
        <v>52</v>
      </c>
      <c r="B20" s="121" t="s">
        <v>69</v>
      </c>
      <c r="C20" s="122">
        <v>0.69</v>
      </c>
      <c r="D20" s="122" t="s">
        <v>131</v>
      </c>
      <c r="E20" s="122">
        <v>1.56</v>
      </c>
      <c r="F20" s="123" t="s">
        <v>274</v>
      </c>
      <c r="G20" s="124">
        <v>0.43</v>
      </c>
      <c r="H20" s="122" t="s">
        <v>282</v>
      </c>
      <c r="I20" s="125">
        <v>0.25</v>
      </c>
      <c r="J20" s="77"/>
      <c r="K20" s="77"/>
      <c r="L20" s="77"/>
      <c r="M20" s="77"/>
      <c r="N20" s="77"/>
    </row>
    <row r="21" spans="1:14" x14ac:dyDescent="0.35">
      <c r="A21" s="120" t="s">
        <v>154</v>
      </c>
      <c r="B21" s="121" t="s">
        <v>155</v>
      </c>
      <c r="C21" s="122">
        <v>0.36</v>
      </c>
      <c r="D21" s="122" t="s">
        <v>161</v>
      </c>
      <c r="E21" s="122">
        <v>1.3</v>
      </c>
      <c r="F21" s="123" t="s">
        <v>274</v>
      </c>
      <c r="G21" s="124">
        <v>0.55000000000000004</v>
      </c>
      <c r="H21" s="122" t="s">
        <v>153</v>
      </c>
      <c r="I21" s="125">
        <v>0.43</v>
      </c>
      <c r="J21" s="77"/>
      <c r="K21" s="77"/>
      <c r="L21" s="77"/>
      <c r="M21" s="77"/>
      <c r="N21" s="77"/>
    </row>
    <row r="22" spans="1:14" x14ac:dyDescent="0.35">
      <c r="A22" s="120" t="s">
        <v>17</v>
      </c>
      <c r="B22" s="121" t="s">
        <v>70</v>
      </c>
      <c r="C22" s="122">
        <v>0.4</v>
      </c>
      <c r="D22" s="122" t="s">
        <v>161</v>
      </c>
      <c r="E22" s="122">
        <v>1.3</v>
      </c>
      <c r="F22" s="123" t="s">
        <v>274</v>
      </c>
      <c r="G22" s="124">
        <v>0.55000000000000004</v>
      </c>
      <c r="H22" s="122" t="s">
        <v>153</v>
      </c>
      <c r="I22" s="125">
        <v>0.43</v>
      </c>
      <c r="J22" s="77"/>
      <c r="K22" s="77"/>
      <c r="L22" s="77"/>
      <c r="M22" s="77"/>
      <c r="N22" s="77"/>
    </row>
    <row r="23" spans="1:14" x14ac:dyDescent="0.35">
      <c r="A23" s="120" t="s">
        <v>18</v>
      </c>
      <c r="B23" s="121" t="s">
        <v>71</v>
      </c>
      <c r="C23" s="122">
        <v>0.43</v>
      </c>
      <c r="D23" s="122" t="s">
        <v>161</v>
      </c>
      <c r="E23" s="122">
        <v>1.3</v>
      </c>
      <c r="F23" s="123" t="s">
        <v>274</v>
      </c>
      <c r="G23" s="124">
        <v>0.55000000000000004</v>
      </c>
      <c r="H23" s="122" t="s">
        <v>153</v>
      </c>
      <c r="I23" s="125">
        <v>0.43</v>
      </c>
      <c r="J23" s="77"/>
      <c r="K23" s="77"/>
      <c r="L23" s="77"/>
      <c r="M23" s="77"/>
      <c r="N23" s="77"/>
    </row>
    <row r="24" spans="1:14" x14ac:dyDescent="0.35">
      <c r="A24" s="120" t="s">
        <v>19</v>
      </c>
      <c r="B24" s="121" t="s">
        <v>72</v>
      </c>
      <c r="C24" s="122">
        <v>0.37</v>
      </c>
      <c r="D24" s="122" t="s">
        <v>161</v>
      </c>
      <c r="E24" s="122">
        <v>1.3</v>
      </c>
      <c r="F24" s="123" t="s">
        <v>274</v>
      </c>
      <c r="G24" s="124">
        <v>0.55000000000000004</v>
      </c>
      <c r="H24" s="122" t="s">
        <v>152</v>
      </c>
      <c r="I24" s="125">
        <v>0.43</v>
      </c>
      <c r="J24" s="77"/>
      <c r="K24" s="77"/>
      <c r="L24" s="77"/>
      <c r="M24" s="77"/>
      <c r="N24" s="77"/>
    </row>
    <row r="25" spans="1:14" x14ac:dyDescent="0.35">
      <c r="A25" s="120" t="s">
        <v>20</v>
      </c>
      <c r="B25" s="121" t="s">
        <v>73</v>
      </c>
      <c r="C25" s="122">
        <v>0.36</v>
      </c>
      <c r="D25" s="122" t="s">
        <v>161</v>
      </c>
      <c r="E25" s="122">
        <v>1.3</v>
      </c>
      <c r="F25" s="123" t="s">
        <v>274</v>
      </c>
      <c r="G25" s="124">
        <v>0.55000000000000004</v>
      </c>
      <c r="H25" s="122" t="s">
        <v>152</v>
      </c>
      <c r="I25" s="125">
        <v>0.43</v>
      </c>
      <c r="J25" s="77"/>
      <c r="K25" s="77"/>
      <c r="L25" s="77"/>
      <c r="M25" s="77"/>
      <c r="N25" s="77"/>
    </row>
    <row r="26" spans="1:14" x14ac:dyDescent="0.35">
      <c r="A26" s="120" t="s">
        <v>21</v>
      </c>
      <c r="B26" s="121" t="s">
        <v>74</v>
      </c>
      <c r="C26" s="122">
        <v>0.56000000000000005</v>
      </c>
      <c r="D26" s="122" t="s">
        <v>161</v>
      </c>
      <c r="E26" s="122">
        <v>1.56</v>
      </c>
      <c r="F26" s="123" t="s">
        <v>274</v>
      </c>
      <c r="G26" s="124">
        <v>0.53</v>
      </c>
      <c r="H26" s="122" t="s">
        <v>275</v>
      </c>
      <c r="I26" s="125">
        <v>0.25</v>
      </c>
      <c r="J26" s="77"/>
      <c r="K26" s="77"/>
      <c r="L26" s="77"/>
      <c r="M26" s="77"/>
      <c r="N26" s="77"/>
    </row>
    <row r="27" spans="1:14" x14ac:dyDescent="0.35">
      <c r="A27" s="120" t="s">
        <v>22</v>
      </c>
      <c r="B27" s="121" t="s">
        <v>75</v>
      </c>
      <c r="C27" s="122">
        <v>0.51</v>
      </c>
      <c r="D27" s="122" t="s">
        <v>161</v>
      </c>
      <c r="E27" s="122">
        <v>1.56</v>
      </c>
      <c r="F27" s="123" t="s">
        <v>274</v>
      </c>
      <c r="G27" s="124">
        <v>0.53</v>
      </c>
      <c r="H27" s="122" t="s">
        <v>275</v>
      </c>
      <c r="I27" s="125">
        <v>0.25</v>
      </c>
      <c r="J27" s="77"/>
      <c r="K27" s="77"/>
      <c r="L27" s="77"/>
      <c r="M27" s="77"/>
      <c r="N27" s="77"/>
    </row>
    <row r="28" spans="1:14" x14ac:dyDescent="0.35">
      <c r="A28" s="120" t="s">
        <v>23</v>
      </c>
      <c r="B28" s="121" t="s">
        <v>76</v>
      </c>
      <c r="C28" s="122">
        <v>0.51</v>
      </c>
      <c r="D28" s="122" t="s">
        <v>161</v>
      </c>
      <c r="E28" s="122">
        <v>1.56</v>
      </c>
      <c r="F28" s="123" t="s">
        <v>274</v>
      </c>
      <c r="G28" s="124">
        <v>0.53</v>
      </c>
      <c r="H28" s="122" t="s">
        <v>275</v>
      </c>
      <c r="I28" s="125">
        <v>0.25</v>
      </c>
      <c r="J28" s="77"/>
      <c r="K28" s="77"/>
      <c r="L28" s="77"/>
      <c r="M28" s="77"/>
      <c r="N28" s="77"/>
    </row>
    <row r="29" spans="1:14" x14ac:dyDescent="0.35">
      <c r="A29" s="120" t="s">
        <v>24</v>
      </c>
      <c r="B29" s="121" t="s">
        <v>24</v>
      </c>
      <c r="C29" s="122">
        <v>0.56000000000000005</v>
      </c>
      <c r="D29" s="122" t="s">
        <v>161</v>
      </c>
      <c r="E29" s="122">
        <v>1.56</v>
      </c>
      <c r="F29" s="123" t="s">
        <v>274</v>
      </c>
      <c r="G29" s="124">
        <v>0.53</v>
      </c>
      <c r="H29" s="122" t="s">
        <v>275</v>
      </c>
      <c r="I29" s="125">
        <v>0.25</v>
      </c>
      <c r="J29" s="77"/>
      <c r="K29" s="77"/>
      <c r="L29" s="77"/>
      <c r="M29" s="77"/>
      <c r="N29" s="77"/>
    </row>
    <row r="30" spans="1:14" x14ac:dyDescent="0.35">
      <c r="A30" s="120" t="s">
        <v>25</v>
      </c>
      <c r="B30" s="121" t="s">
        <v>77</v>
      </c>
      <c r="C30" s="122">
        <v>0.55000000000000004</v>
      </c>
      <c r="D30" s="122" t="s">
        <v>161</v>
      </c>
      <c r="E30" s="122">
        <v>1.56</v>
      </c>
      <c r="F30" s="123" t="s">
        <v>274</v>
      </c>
      <c r="G30" s="124">
        <v>0.53</v>
      </c>
      <c r="H30" s="122" t="s">
        <v>152</v>
      </c>
      <c r="I30" s="125">
        <v>0.25</v>
      </c>
      <c r="J30" s="77"/>
      <c r="K30" s="77"/>
      <c r="L30" s="77"/>
      <c r="M30" s="77"/>
      <c r="N30" s="77"/>
    </row>
    <row r="31" spans="1:14" x14ac:dyDescent="0.35">
      <c r="A31" s="120" t="s">
        <v>26</v>
      </c>
      <c r="B31" s="121" t="s">
        <v>78</v>
      </c>
      <c r="C31" s="122">
        <v>0.56000000000000005</v>
      </c>
      <c r="D31" s="122" t="s">
        <v>161</v>
      </c>
      <c r="E31" s="122">
        <v>1.56</v>
      </c>
      <c r="F31" s="123" t="s">
        <v>274</v>
      </c>
      <c r="G31" s="124">
        <v>0.43</v>
      </c>
      <c r="H31" s="122" t="s">
        <v>278</v>
      </c>
      <c r="I31" s="125">
        <v>0.25</v>
      </c>
      <c r="J31" s="77"/>
      <c r="K31" s="77"/>
      <c r="L31" s="77"/>
      <c r="M31" s="77"/>
      <c r="N31" s="77"/>
    </row>
    <row r="32" spans="1:14" x14ac:dyDescent="0.35">
      <c r="A32" s="120" t="s">
        <v>27</v>
      </c>
      <c r="B32" s="121" t="s">
        <v>79</v>
      </c>
      <c r="C32" s="122">
        <v>0.48</v>
      </c>
      <c r="D32" s="122" t="s">
        <v>161</v>
      </c>
      <c r="E32" s="122">
        <v>1.3</v>
      </c>
      <c r="F32" s="123" t="s">
        <v>274</v>
      </c>
      <c r="G32" s="124">
        <v>0.6</v>
      </c>
      <c r="H32" s="122" t="s">
        <v>281</v>
      </c>
      <c r="I32" s="125">
        <v>0.43</v>
      </c>
      <c r="J32" s="77"/>
      <c r="K32" s="77"/>
      <c r="L32" s="77"/>
      <c r="M32" s="77"/>
      <c r="N32" s="77"/>
    </row>
    <row r="33" spans="1:14" x14ac:dyDescent="0.35">
      <c r="A33" s="120" t="s">
        <v>28</v>
      </c>
      <c r="B33" s="121" t="s">
        <v>80</v>
      </c>
      <c r="C33" s="122">
        <v>0.42</v>
      </c>
      <c r="D33" s="122" t="s">
        <v>161</v>
      </c>
      <c r="E33" s="122">
        <v>1.3</v>
      </c>
      <c r="F33" s="123" t="s">
        <v>274</v>
      </c>
      <c r="G33" s="124">
        <v>0.6</v>
      </c>
      <c r="H33" s="122" t="s">
        <v>281</v>
      </c>
      <c r="I33" s="125">
        <v>0.43</v>
      </c>
      <c r="J33" s="77"/>
      <c r="K33" s="77"/>
      <c r="L33" s="77"/>
      <c r="M33" s="77"/>
      <c r="N33" s="77"/>
    </row>
    <row r="34" spans="1:14" x14ac:dyDescent="0.35">
      <c r="A34" s="120" t="s">
        <v>81</v>
      </c>
      <c r="B34" s="121" t="s">
        <v>163</v>
      </c>
      <c r="C34" s="122">
        <v>0.42</v>
      </c>
      <c r="D34" s="122" t="s">
        <v>103</v>
      </c>
      <c r="E34" s="122">
        <v>1.3</v>
      </c>
      <c r="F34" s="123" t="s">
        <v>274</v>
      </c>
      <c r="G34" s="124">
        <v>0.6</v>
      </c>
      <c r="H34" s="121" t="s">
        <v>280</v>
      </c>
      <c r="I34" s="125">
        <v>0.43</v>
      </c>
      <c r="J34" s="77"/>
      <c r="K34" s="77"/>
      <c r="L34" s="77"/>
      <c r="M34" s="77"/>
      <c r="N34" s="77"/>
    </row>
    <row r="35" spans="1:14" x14ac:dyDescent="0.35">
      <c r="A35" s="120" t="s">
        <v>29</v>
      </c>
      <c r="B35" s="121" t="s">
        <v>82</v>
      </c>
      <c r="C35" s="122">
        <v>0.5</v>
      </c>
      <c r="D35" s="122" t="s">
        <v>161</v>
      </c>
      <c r="E35" s="122">
        <v>1.56</v>
      </c>
      <c r="F35" s="123" t="s">
        <v>274</v>
      </c>
      <c r="G35" s="124">
        <v>0.43</v>
      </c>
      <c r="H35" s="122" t="s">
        <v>278</v>
      </c>
      <c r="I35" s="125">
        <v>0.25</v>
      </c>
      <c r="J35" s="77"/>
      <c r="K35" s="77"/>
      <c r="L35" s="77"/>
      <c r="M35" s="77"/>
      <c r="N35" s="77"/>
    </row>
    <row r="36" spans="1:14" x14ac:dyDescent="0.35">
      <c r="A36" s="120" t="s">
        <v>102</v>
      </c>
      <c r="B36" s="121" t="s">
        <v>101</v>
      </c>
      <c r="C36" s="122">
        <v>0.55000000000000004</v>
      </c>
      <c r="D36" s="122" t="s">
        <v>161</v>
      </c>
      <c r="E36" s="122">
        <v>1.56</v>
      </c>
      <c r="F36" s="123" t="s">
        <v>274</v>
      </c>
      <c r="G36" s="124">
        <v>0.53</v>
      </c>
      <c r="H36" s="122" t="s">
        <v>275</v>
      </c>
      <c r="I36" s="125">
        <v>0.25</v>
      </c>
      <c r="J36" s="77"/>
      <c r="K36" s="77"/>
      <c r="L36" s="77"/>
      <c r="M36" s="77"/>
      <c r="N36" s="77"/>
    </row>
    <row r="37" spans="1:14" x14ac:dyDescent="0.35">
      <c r="A37" s="120" t="s">
        <v>30</v>
      </c>
      <c r="B37" s="121" t="s">
        <v>104</v>
      </c>
      <c r="C37" s="122">
        <v>0.52</v>
      </c>
      <c r="D37" s="122" t="s">
        <v>161</v>
      </c>
      <c r="E37" s="122">
        <v>1.56</v>
      </c>
      <c r="F37" s="123" t="s">
        <v>274</v>
      </c>
      <c r="G37" s="124">
        <v>0.53</v>
      </c>
      <c r="H37" s="122" t="s">
        <v>275</v>
      </c>
      <c r="I37" s="125">
        <v>0.25</v>
      </c>
      <c r="J37" s="77"/>
      <c r="K37" s="77"/>
      <c r="L37" s="77"/>
      <c r="M37" s="77"/>
      <c r="N37" s="77"/>
    </row>
    <row r="38" spans="1:14" x14ac:dyDescent="0.35">
      <c r="A38" s="120" t="s">
        <v>31</v>
      </c>
      <c r="B38" s="121" t="s">
        <v>105</v>
      </c>
      <c r="C38" s="122">
        <v>0.52</v>
      </c>
      <c r="D38" s="122" t="s">
        <v>161</v>
      </c>
      <c r="E38" s="122">
        <v>1.56</v>
      </c>
      <c r="F38" s="123" t="s">
        <v>274</v>
      </c>
      <c r="G38" s="124">
        <v>0.43</v>
      </c>
      <c r="H38" s="122" t="s">
        <v>278</v>
      </c>
      <c r="I38" s="125">
        <v>0.25</v>
      </c>
      <c r="J38" s="77"/>
      <c r="K38" s="77"/>
      <c r="L38" s="77"/>
      <c r="M38" s="77"/>
      <c r="N38" s="77"/>
    </row>
    <row r="39" spans="1:14" x14ac:dyDescent="0.35">
      <c r="A39" s="120" t="s">
        <v>107</v>
      </c>
      <c r="B39" s="121" t="s">
        <v>132</v>
      </c>
      <c r="C39" s="122">
        <v>0.313</v>
      </c>
      <c r="D39" s="122" t="s">
        <v>130</v>
      </c>
      <c r="E39" s="122">
        <v>1.56</v>
      </c>
      <c r="F39" s="123" t="s">
        <v>274</v>
      </c>
      <c r="G39" s="124">
        <v>0.6</v>
      </c>
      <c r="H39" s="122" t="s">
        <v>283</v>
      </c>
      <c r="I39" s="125">
        <v>1.03</v>
      </c>
      <c r="J39" s="77"/>
      <c r="K39" s="77"/>
      <c r="L39" s="77"/>
      <c r="M39" s="77"/>
      <c r="N39" s="77"/>
    </row>
    <row r="40" spans="1:14" x14ac:dyDescent="0.35">
      <c r="A40" s="120" t="s">
        <v>108</v>
      </c>
      <c r="B40" s="121" t="s">
        <v>132</v>
      </c>
      <c r="C40" s="122">
        <v>0.35199999999999998</v>
      </c>
      <c r="D40" s="122" t="s">
        <v>130</v>
      </c>
      <c r="E40" s="122">
        <v>1.56</v>
      </c>
      <c r="F40" s="123" t="s">
        <v>274</v>
      </c>
      <c r="G40" s="124">
        <v>0.6</v>
      </c>
      <c r="H40" s="122" t="s">
        <v>283</v>
      </c>
      <c r="I40" s="125">
        <v>1.03</v>
      </c>
      <c r="J40" s="77"/>
      <c r="K40" s="77"/>
      <c r="L40" s="77"/>
      <c r="M40" s="77"/>
      <c r="N40" s="77"/>
    </row>
    <row r="41" spans="1:14" x14ac:dyDescent="0.35">
      <c r="A41" s="120" t="s">
        <v>121</v>
      </c>
      <c r="B41" s="121" t="s">
        <v>132</v>
      </c>
      <c r="C41" s="122">
        <v>0.32200000000000001</v>
      </c>
      <c r="D41" s="122" t="s">
        <v>130</v>
      </c>
      <c r="E41" s="122">
        <v>1.56</v>
      </c>
      <c r="F41" s="123" t="s">
        <v>274</v>
      </c>
      <c r="G41" s="124">
        <v>0.6</v>
      </c>
      <c r="H41" s="122" t="s">
        <v>283</v>
      </c>
      <c r="I41" s="125">
        <v>1.03</v>
      </c>
      <c r="J41" s="77"/>
      <c r="K41" s="77"/>
      <c r="L41" s="77"/>
      <c r="M41" s="77"/>
      <c r="N41" s="77"/>
    </row>
    <row r="42" spans="1:14" x14ac:dyDescent="0.35">
      <c r="A42" s="120" t="s">
        <v>122</v>
      </c>
      <c r="B42" s="121" t="s">
        <v>132</v>
      </c>
      <c r="C42" s="122">
        <v>0.311</v>
      </c>
      <c r="D42" s="122" t="s">
        <v>130</v>
      </c>
      <c r="E42" s="122">
        <v>1.56</v>
      </c>
      <c r="F42" s="123" t="s">
        <v>274</v>
      </c>
      <c r="G42" s="124">
        <v>0.6</v>
      </c>
      <c r="H42" s="122" t="s">
        <v>283</v>
      </c>
      <c r="I42" s="125">
        <v>1.03</v>
      </c>
      <c r="J42" s="77"/>
      <c r="K42" s="77"/>
      <c r="L42" s="77"/>
      <c r="M42" s="77"/>
      <c r="N42" s="77"/>
    </row>
    <row r="43" spans="1:14" x14ac:dyDescent="0.35">
      <c r="A43" s="120" t="s">
        <v>109</v>
      </c>
      <c r="B43" s="121" t="s">
        <v>132</v>
      </c>
      <c r="C43" s="122">
        <v>0.33900000000000002</v>
      </c>
      <c r="D43" s="122" t="s">
        <v>130</v>
      </c>
      <c r="E43" s="122">
        <v>1.56</v>
      </c>
      <c r="F43" s="123" t="s">
        <v>274</v>
      </c>
      <c r="G43" s="124">
        <v>0.6</v>
      </c>
      <c r="H43" s="122" t="s">
        <v>283</v>
      </c>
      <c r="I43" s="125">
        <v>1.03</v>
      </c>
      <c r="J43" s="77"/>
      <c r="K43" s="77"/>
      <c r="L43" s="77"/>
      <c r="M43" s="77"/>
      <c r="N43" s="77"/>
    </row>
    <row r="44" spans="1:14" x14ac:dyDescent="0.35">
      <c r="A44" s="120" t="s">
        <v>123</v>
      </c>
      <c r="B44" s="121" t="s">
        <v>132</v>
      </c>
      <c r="C44" s="122">
        <v>0.33600000000000002</v>
      </c>
      <c r="D44" s="122" t="s">
        <v>130</v>
      </c>
      <c r="E44" s="122">
        <v>1.56</v>
      </c>
      <c r="F44" s="123" t="s">
        <v>274</v>
      </c>
      <c r="G44" s="124">
        <v>0.6</v>
      </c>
      <c r="H44" s="122" t="s">
        <v>283</v>
      </c>
      <c r="I44" s="125">
        <v>1.03</v>
      </c>
      <c r="J44" s="77"/>
      <c r="K44" s="77"/>
      <c r="L44" s="77"/>
      <c r="M44" s="77"/>
      <c r="N44" s="77"/>
    </row>
    <row r="45" spans="1:14" x14ac:dyDescent="0.35">
      <c r="A45" s="120" t="s">
        <v>110</v>
      </c>
      <c r="B45" s="121" t="s">
        <v>132</v>
      </c>
      <c r="C45" s="122">
        <v>0.32900000000000001</v>
      </c>
      <c r="D45" s="122" t="s">
        <v>130</v>
      </c>
      <c r="E45" s="122">
        <v>1.56</v>
      </c>
      <c r="F45" s="123" t="s">
        <v>274</v>
      </c>
      <c r="G45" s="124">
        <v>0.6</v>
      </c>
      <c r="H45" s="122" t="s">
        <v>283</v>
      </c>
      <c r="I45" s="125">
        <v>1.03</v>
      </c>
      <c r="J45" s="77"/>
      <c r="K45" s="77"/>
      <c r="L45" s="77"/>
      <c r="M45" s="77"/>
      <c r="N45" s="77"/>
    </row>
    <row r="46" spans="1:14" x14ac:dyDescent="0.35">
      <c r="A46" s="120" t="s">
        <v>124</v>
      </c>
      <c r="B46" s="121" t="s">
        <v>132</v>
      </c>
      <c r="C46" s="122">
        <v>0.34300000000000003</v>
      </c>
      <c r="D46" s="122" t="s">
        <v>130</v>
      </c>
      <c r="E46" s="122">
        <v>1.56</v>
      </c>
      <c r="F46" s="123" t="s">
        <v>274</v>
      </c>
      <c r="G46" s="124">
        <v>0.6</v>
      </c>
      <c r="H46" s="122" t="s">
        <v>283</v>
      </c>
      <c r="I46" s="125">
        <v>1.03</v>
      </c>
      <c r="J46" s="77"/>
      <c r="K46" s="77"/>
      <c r="L46" s="77"/>
      <c r="M46" s="77"/>
      <c r="N46" s="77"/>
    </row>
    <row r="47" spans="1:14" x14ac:dyDescent="0.35">
      <c r="A47" s="120" t="s">
        <v>125</v>
      </c>
      <c r="B47" s="121" t="s">
        <v>132</v>
      </c>
      <c r="C47" s="122">
        <v>0.32500000000000001</v>
      </c>
      <c r="D47" s="122" t="s">
        <v>130</v>
      </c>
      <c r="E47" s="122">
        <v>1.56</v>
      </c>
      <c r="F47" s="123" t="s">
        <v>274</v>
      </c>
      <c r="G47" s="124">
        <v>0.6</v>
      </c>
      <c r="H47" s="122" t="s">
        <v>283</v>
      </c>
      <c r="I47" s="125">
        <v>1.03</v>
      </c>
      <c r="J47" s="77"/>
      <c r="K47" s="77"/>
      <c r="L47" s="77"/>
      <c r="M47" s="77"/>
      <c r="N47" s="77"/>
    </row>
    <row r="48" spans="1:14" x14ac:dyDescent="0.35">
      <c r="A48" s="120" t="s">
        <v>126</v>
      </c>
      <c r="B48" s="121" t="s">
        <v>132</v>
      </c>
      <c r="C48" s="122">
        <v>0.32</v>
      </c>
      <c r="D48" s="122" t="s">
        <v>130</v>
      </c>
      <c r="E48" s="122">
        <v>1.56</v>
      </c>
      <c r="F48" s="123" t="s">
        <v>274</v>
      </c>
      <c r="G48" s="124">
        <v>0.6</v>
      </c>
      <c r="H48" s="122" t="s">
        <v>283</v>
      </c>
      <c r="I48" s="125">
        <v>1.03</v>
      </c>
      <c r="J48" s="77"/>
      <c r="K48" s="77"/>
      <c r="L48" s="77"/>
      <c r="M48" s="77"/>
      <c r="N48" s="77"/>
    </row>
    <row r="49" spans="1:14" x14ac:dyDescent="0.35">
      <c r="A49" s="120" t="s">
        <v>111</v>
      </c>
      <c r="B49" s="121" t="s">
        <v>132</v>
      </c>
      <c r="C49" s="122">
        <v>0.28199999999999997</v>
      </c>
      <c r="D49" s="122" t="s">
        <v>130</v>
      </c>
      <c r="E49" s="122">
        <v>1.56</v>
      </c>
      <c r="F49" s="123" t="s">
        <v>274</v>
      </c>
      <c r="G49" s="124">
        <v>0.6</v>
      </c>
      <c r="H49" s="122" t="s">
        <v>283</v>
      </c>
      <c r="I49" s="125">
        <v>1.03</v>
      </c>
      <c r="J49" s="77"/>
      <c r="K49" s="77"/>
      <c r="L49" s="77"/>
      <c r="M49" s="77"/>
      <c r="N49" s="77"/>
    </row>
    <row r="50" spans="1:14" x14ac:dyDescent="0.35">
      <c r="A50" s="120" t="s">
        <v>127</v>
      </c>
      <c r="B50" s="121" t="s">
        <v>132</v>
      </c>
      <c r="C50" s="122">
        <v>0.32800000000000001</v>
      </c>
      <c r="D50" s="122" t="s">
        <v>130</v>
      </c>
      <c r="E50" s="122">
        <v>1.56</v>
      </c>
      <c r="F50" s="123" t="s">
        <v>274</v>
      </c>
      <c r="G50" s="124">
        <v>0.6</v>
      </c>
      <c r="H50" s="122" t="s">
        <v>283</v>
      </c>
      <c r="I50" s="125">
        <v>1.03</v>
      </c>
      <c r="J50" s="77"/>
      <c r="K50" s="77"/>
      <c r="L50" s="77"/>
      <c r="M50" s="77"/>
      <c r="N50" s="77"/>
    </row>
    <row r="51" spans="1:14" x14ac:dyDescent="0.35">
      <c r="A51" s="120" t="s">
        <v>112</v>
      </c>
      <c r="B51" s="121" t="s">
        <v>132</v>
      </c>
      <c r="C51" s="122">
        <v>0.32600000000000001</v>
      </c>
      <c r="D51" s="122" t="s">
        <v>130</v>
      </c>
      <c r="E51" s="122">
        <v>1.56</v>
      </c>
      <c r="F51" s="123" t="s">
        <v>274</v>
      </c>
      <c r="G51" s="124">
        <v>0.6</v>
      </c>
      <c r="H51" s="122" t="s">
        <v>283</v>
      </c>
      <c r="I51" s="125">
        <v>1.03</v>
      </c>
      <c r="J51" s="77"/>
      <c r="K51" s="77"/>
      <c r="L51" s="77"/>
      <c r="M51" s="77"/>
      <c r="N51" s="77"/>
    </row>
    <row r="52" spans="1:14" x14ac:dyDescent="0.35">
      <c r="A52" s="120" t="s">
        <v>113</v>
      </c>
      <c r="B52" s="121" t="s">
        <v>132</v>
      </c>
      <c r="C52" s="122">
        <v>0.35899999999999999</v>
      </c>
      <c r="D52" s="122" t="s">
        <v>130</v>
      </c>
      <c r="E52" s="122">
        <v>1.56</v>
      </c>
      <c r="F52" s="123" t="s">
        <v>274</v>
      </c>
      <c r="G52" s="124">
        <v>0.6</v>
      </c>
      <c r="H52" s="122" t="s">
        <v>283</v>
      </c>
      <c r="I52" s="125">
        <v>1.03</v>
      </c>
      <c r="J52" s="77"/>
      <c r="K52" s="77"/>
      <c r="L52" s="77"/>
      <c r="M52" s="77"/>
      <c r="N52" s="77"/>
    </row>
    <row r="53" spans="1:14" x14ac:dyDescent="0.35">
      <c r="A53" s="120" t="s">
        <v>114</v>
      </c>
      <c r="B53" s="121" t="s">
        <v>132</v>
      </c>
      <c r="C53" s="122">
        <v>0.34599999999999997</v>
      </c>
      <c r="D53" s="122" t="s">
        <v>130</v>
      </c>
      <c r="E53" s="122">
        <v>1.56</v>
      </c>
      <c r="F53" s="123" t="s">
        <v>274</v>
      </c>
      <c r="G53" s="124">
        <v>0.6</v>
      </c>
      <c r="H53" s="122" t="s">
        <v>283</v>
      </c>
      <c r="I53" s="125">
        <v>1.03</v>
      </c>
      <c r="J53" s="77"/>
      <c r="K53" s="77"/>
      <c r="L53" s="77"/>
      <c r="M53" s="77"/>
      <c r="N53" s="77"/>
    </row>
    <row r="54" spans="1:14" x14ac:dyDescent="0.35">
      <c r="A54" s="120" t="s">
        <v>115</v>
      </c>
      <c r="B54" s="121" t="s">
        <v>132</v>
      </c>
      <c r="C54" s="122">
        <v>0.32600000000000001</v>
      </c>
      <c r="D54" s="122" t="s">
        <v>130</v>
      </c>
      <c r="E54" s="122">
        <v>1.56</v>
      </c>
      <c r="F54" s="123" t="s">
        <v>274</v>
      </c>
      <c r="G54" s="124">
        <v>0.6</v>
      </c>
      <c r="H54" s="122" t="s">
        <v>283</v>
      </c>
      <c r="I54" s="125">
        <v>1.03</v>
      </c>
      <c r="J54" s="77"/>
      <c r="K54" s="77"/>
      <c r="L54" s="77"/>
      <c r="M54" s="77"/>
      <c r="N54" s="77"/>
    </row>
    <row r="55" spans="1:14" x14ac:dyDescent="0.35">
      <c r="A55" s="120" t="s">
        <v>116</v>
      </c>
      <c r="B55" s="121" t="s">
        <v>132</v>
      </c>
      <c r="C55" s="122">
        <v>0.30499999999999999</v>
      </c>
      <c r="D55" s="122" t="s">
        <v>130</v>
      </c>
      <c r="E55" s="122">
        <v>1.56</v>
      </c>
      <c r="F55" s="123" t="s">
        <v>274</v>
      </c>
      <c r="G55" s="124">
        <v>0.6</v>
      </c>
      <c r="H55" s="122" t="s">
        <v>283</v>
      </c>
      <c r="I55" s="125">
        <v>1.03</v>
      </c>
      <c r="J55" s="77"/>
      <c r="K55" s="77"/>
      <c r="L55" s="77"/>
      <c r="M55" s="77"/>
      <c r="N55" s="77"/>
    </row>
    <row r="56" spans="1:14" x14ac:dyDescent="0.35">
      <c r="A56" s="120" t="s">
        <v>128</v>
      </c>
      <c r="B56" s="121" t="s">
        <v>132</v>
      </c>
      <c r="C56" s="122">
        <v>0.32300000000000001</v>
      </c>
      <c r="D56" s="122" t="s">
        <v>130</v>
      </c>
      <c r="E56" s="122">
        <v>1.56</v>
      </c>
      <c r="F56" s="123" t="s">
        <v>274</v>
      </c>
      <c r="G56" s="124">
        <v>0.6</v>
      </c>
      <c r="H56" s="122" t="s">
        <v>283</v>
      </c>
      <c r="I56" s="125">
        <v>1.03</v>
      </c>
      <c r="J56" s="77"/>
      <c r="K56" s="77"/>
      <c r="L56" s="77"/>
      <c r="M56" s="77"/>
      <c r="N56" s="77"/>
    </row>
    <row r="57" spans="1:14" x14ac:dyDescent="0.35">
      <c r="A57" s="120" t="s">
        <v>129</v>
      </c>
      <c r="B57" s="121" t="s">
        <v>132</v>
      </c>
      <c r="C57" s="122">
        <v>0.36699999999999999</v>
      </c>
      <c r="D57" s="122" t="s">
        <v>130</v>
      </c>
      <c r="E57" s="122">
        <v>1.56</v>
      </c>
      <c r="F57" s="123" t="s">
        <v>274</v>
      </c>
      <c r="G57" s="124">
        <v>0.6</v>
      </c>
      <c r="H57" s="122" t="s">
        <v>283</v>
      </c>
      <c r="I57" s="125">
        <v>1.03</v>
      </c>
      <c r="J57" s="77"/>
      <c r="K57" s="77"/>
      <c r="L57" s="77"/>
      <c r="M57" s="77"/>
      <c r="N57" s="77"/>
    </row>
    <row r="58" spans="1:14" x14ac:dyDescent="0.35">
      <c r="A58" s="120" t="s">
        <v>117</v>
      </c>
      <c r="B58" s="121" t="s">
        <v>132</v>
      </c>
      <c r="C58" s="122">
        <v>0.36</v>
      </c>
      <c r="D58" s="122" t="s">
        <v>130</v>
      </c>
      <c r="E58" s="122">
        <v>1.56</v>
      </c>
      <c r="F58" s="123" t="s">
        <v>274</v>
      </c>
      <c r="G58" s="124">
        <v>0.6</v>
      </c>
      <c r="H58" s="122" t="s">
        <v>283</v>
      </c>
      <c r="I58" s="125">
        <v>1.03</v>
      </c>
      <c r="J58" s="77"/>
      <c r="K58" s="77"/>
      <c r="L58" s="77"/>
      <c r="M58" s="77"/>
      <c r="N58" s="77"/>
    </row>
    <row r="59" spans="1:14" x14ac:dyDescent="0.35">
      <c r="A59" s="120" t="s">
        <v>118</v>
      </c>
      <c r="B59" s="121" t="s">
        <v>132</v>
      </c>
      <c r="C59" s="122">
        <v>0.36799999999999999</v>
      </c>
      <c r="D59" s="122" t="s">
        <v>130</v>
      </c>
      <c r="E59" s="122">
        <v>1.56</v>
      </c>
      <c r="F59" s="123" t="s">
        <v>274</v>
      </c>
      <c r="G59" s="124">
        <v>0.6</v>
      </c>
      <c r="H59" s="122" t="s">
        <v>283</v>
      </c>
      <c r="I59" s="125">
        <v>1.03</v>
      </c>
      <c r="J59" s="77"/>
      <c r="K59" s="77"/>
      <c r="L59" s="77"/>
      <c r="M59" s="77"/>
      <c r="N59" s="77"/>
    </row>
    <row r="60" spans="1:14" x14ac:dyDescent="0.35">
      <c r="A60" s="120" t="s">
        <v>119</v>
      </c>
      <c r="B60" s="121" t="s">
        <v>132</v>
      </c>
      <c r="C60" s="122">
        <v>0.30599999999999999</v>
      </c>
      <c r="D60" s="122" t="s">
        <v>130</v>
      </c>
      <c r="E60" s="122">
        <v>1.56</v>
      </c>
      <c r="F60" s="123" t="s">
        <v>274</v>
      </c>
      <c r="G60" s="124">
        <v>0.6</v>
      </c>
      <c r="H60" s="122" t="s">
        <v>283</v>
      </c>
      <c r="I60" s="125">
        <v>1.03</v>
      </c>
      <c r="J60" s="77"/>
      <c r="K60" s="77"/>
      <c r="L60" s="77"/>
      <c r="M60" s="77"/>
      <c r="N60" s="77"/>
    </row>
    <row r="61" spans="1:14" x14ac:dyDescent="0.35">
      <c r="A61" s="120" t="s">
        <v>120</v>
      </c>
      <c r="B61" s="121" t="s">
        <v>132</v>
      </c>
      <c r="C61" s="122">
        <v>0.313</v>
      </c>
      <c r="D61" s="122" t="s">
        <v>130</v>
      </c>
      <c r="E61" s="122">
        <v>1.56</v>
      </c>
      <c r="F61" s="123" t="s">
        <v>274</v>
      </c>
      <c r="G61" s="124">
        <v>0.6</v>
      </c>
      <c r="H61" s="122" t="s">
        <v>283</v>
      </c>
      <c r="I61" s="125">
        <v>1.03</v>
      </c>
      <c r="J61" s="77"/>
      <c r="K61" s="77"/>
      <c r="L61" s="77"/>
      <c r="M61" s="77"/>
      <c r="N61" s="77"/>
    </row>
    <row r="62" spans="1:14" x14ac:dyDescent="0.35">
      <c r="A62" s="120" t="s">
        <v>32</v>
      </c>
      <c r="B62" s="121" t="s">
        <v>133</v>
      </c>
      <c r="C62" s="122">
        <v>0.37</v>
      </c>
      <c r="D62" s="122" t="s">
        <v>161</v>
      </c>
      <c r="E62" s="122">
        <v>1.56</v>
      </c>
      <c r="F62" s="123" t="s">
        <v>274</v>
      </c>
      <c r="G62" s="124">
        <v>0.6</v>
      </c>
      <c r="H62" s="122" t="s">
        <v>283</v>
      </c>
      <c r="I62" s="125">
        <v>1.03</v>
      </c>
      <c r="J62" s="77"/>
      <c r="K62" s="77"/>
      <c r="L62" s="77"/>
      <c r="M62" s="77"/>
      <c r="N62" s="77"/>
    </row>
    <row r="63" spans="1:14" x14ac:dyDescent="0.35">
      <c r="A63" s="120" t="s">
        <v>90</v>
      </c>
      <c r="B63" s="121" t="s">
        <v>83</v>
      </c>
      <c r="C63" s="122">
        <v>0.45</v>
      </c>
      <c r="D63" s="122" t="s">
        <v>161</v>
      </c>
      <c r="E63" s="122">
        <v>1.3</v>
      </c>
      <c r="F63" s="123" t="s">
        <v>274</v>
      </c>
      <c r="G63" s="124">
        <v>0.45</v>
      </c>
      <c r="H63" s="122" t="s">
        <v>276</v>
      </c>
      <c r="I63" s="125">
        <v>0.43</v>
      </c>
      <c r="J63" s="77"/>
      <c r="K63" s="77"/>
      <c r="L63" s="77"/>
      <c r="M63" s="77"/>
      <c r="N63" s="77"/>
    </row>
    <row r="64" spans="1:14" x14ac:dyDescent="0.35">
      <c r="A64" s="120" t="s">
        <v>33</v>
      </c>
      <c r="B64" s="121" t="s">
        <v>134</v>
      </c>
      <c r="C64" s="122">
        <v>0.39</v>
      </c>
      <c r="D64" s="122" t="s">
        <v>161</v>
      </c>
      <c r="E64" s="122">
        <v>1.3</v>
      </c>
      <c r="F64" s="123" t="s">
        <v>274</v>
      </c>
      <c r="G64" s="124">
        <v>0.45</v>
      </c>
      <c r="H64" s="122" t="s">
        <v>276</v>
      </c>
      <c r="I64" s="125">
        <v>0.43</v>
      </c>
      <c r="J64" s="77"/>
      <c r="K64" s="77"/>
      <c r="L64" s="77"/>
      <c r="M64" s="77"/>
      <c r="N64" s="77"/>
    </row>
    <row r="65" spans="1:14" x14ac:dyDescent="0.35">
      <c r="A65" s="120" t="s">
        <v>34</v>
      </c>
      <c r="B65" s="121" t="s">
        <v>135</v>
      </c>
      <c r="C65" s="122">
        <v>0.44</v>
      </c>
      <c r="D65" s="122" t="s">
        <v>161</v>
      </c>
      <c r="E65" s="122">
        <v>1.3</v>
      </c>
      <c r="F65" s="123" t="s">
        <v>274</v>
      </c>
      <c r="G65" s="124">
        <v>0.45</v>
      </c>
      <c r="H65" s="122" t="s">
        <v>276</v>
      </c>
      <c r="I65" s="125">
        <v>0.43</v>
      </c>
      <c r="J65" s="77"/>
      <c r="K65" s="77"/>
      <c r="L65" s="77"/>
      <c r="M65" s="77"/>
      <c r="N65" s="77"/>
    </row>
    <row r="66" spans="1:14" x14ac:dyDescent="0.35">
      <c r="A66" s="120" t="s">
        <v>35</v>
      </c>
      <c r="B66" s="121" t="s">
        <v>84</v>
      </c>
      <c r="C66" s="122">
        <v>0.46</v>
      </c>
      <c r="D66" s="122" t="s">
        <v>161</v>
      </c>
      <c r="E66" s="122">
        <v>1.3</v>
      </c>
      <c r="F66" s="123" t="s">
        <v>274</v>
      </c>
      <c r="G66" s="124">
        <v>0.45</v>
      </c>
      <c r="H66" s="122" t="s">
        <v>276</v>
      </c>
      <c r="I66" s="125">
        <v>0.43</v>
      </c>
      <c r="J66" s="77"/>
      <c r="K66" s="77"/>
      <c r="L66" s="77"/>
      <c r="M66" s="77"/>
      <c r="N66" s="77"/>
    </row>
    <row r="67" spans="1:14" x14ac:dyDescent="0.35">
      <c r="A67" s="120" t="s">
        <v>36</v>
      </c>
      <c r="B67" s="121" t="s">
        <v>85</v>
      </c>
      <c r="C67" s="122">
        <v>0.46</v>
      </c>
      <c r="D67" s="122" t="s">
        <v>161</v>
      </c>
      <c r="E67" s="122">
        <v>1.3</v>
      </c>
      <c r="F67" s="123" t="s">
        <v>274</v>
      </c>
      <c r="G67" s="124">
        <v>0.45</v>
      </c>
      <c r="H67" s="122" t="s">
        <v>152</v>
      </c>
      <c r="I67" s="125">
        <v>0.59</v>
      </c>
      <c r="J67" s="77"/>
      <c r="K67" s="77"/>
      <c r="L67" s="77"/>
      <c r="M67" s="77"/>
      <c r="N67" s="77"/>
    </row>
    <row r="68" spans="1:14" x14ac:dyDescent="0.35">
      <c r="A68" s="120" t="s">
        <v>37</v>
      </c>
      <c r="B68" s="121" t="s">
        <v>136</v>
      </c>
      <c r="C68" s="122">
        <v>0.44</v>
      </c>
      <c r="D68" s="122" t="s">
        <v>161</v>
      </c>
      <c r="E68" s="122">
        <v>1.3</v>
      </c>
      <c r="F68" s="123" t="s">
        <v>274</v>
      </c>
      <c r="G68" s="124">
        <v>0.45</v>
      </c>
      <c r="H68" s="122" t="s">
        <v>276</v>
      </c>
      <c r="I68" s="125">
        <v>0.43</v>
      </c>
      <c r="J68" s="77"/>
      <c r="K68" s="77"/>
      <c r="L68" s="77"/>
      <c r="M68" s="77"/>
      <c r="N68" s="77"/>
    </row>
    <row r="69" spans="1:14" x14ac:dyDescent="0.35">
      <c r="A69" s="120" t="s">
        <v>38</v>
      </c>
      <c r="B69" s="121" t="s">
        <v>86</v>
      </c>
      <c r="C69" s="122">
        <v>0.46</v>
      </c>
      <c r="D69" s="122" t="s">
        <v>161</v>
      </c>
      <c r="E69" s="122">
        <v>1.3</v>
      </c>
      <c r="F69" s="123" t="s">
        <v>274</v>
      </c>
      <c r="G69" s="124">
        <v>0.45</v>
      </c>
      <c r="H69" s="122" t="s">
        <v>276</v>
      </c>
      <c r="I69" s="125">
        <v>0.43</v>
      </c>
      <c r="J69" s="77"/>
      <c r="K69" s="77"/>
      <c r="L69" s="77"/>
      <c r="M69" s="77"/>
      <c r="N69" s="77"/>
    </row>
    <row r="70" spans="1:14" x14ac:dyDescent="0.35">
      <c r="A70" s="120" t="s">
        <v>39</v>
      </c>
      <c r="B70" s="121" t="s">
        <v>137</v>
      </c>
      <c r="C70" s="122">
        <v>0.48</v>
      </c>
      <c r="D70" s="122" t="s">
        <v>161</v>
      </c>
      <c r="E70" s="122">
        <v>2.4</v>
      </c>
      <c r="F70" s="122" t="s">
        <v>284</v>
      </c>
      <c r="G70" s="124">
        <v>0.45</v>
      </c>
      <c r="H70" s="122" t="s">
        <v>276</v>
      </c>
      <c r="I70" s="125">
        <v>0.43</v>
      </c>
      <c r="J70" s="77"/>
      <c r="K70" s="77"/>
      <c r="L70" s="77"/>
      <c r="M70" s="77"/>
      <c r="N70" s="77"/>
    </row>
    <row r="71" spans="1:14" x14ac:dyDescent="0.35">
      <c r="A71" s="120" t="s">
        <v>40</v>
      </c>
      <c r="B71" s="121" t="s">
        <v>87</v>
      </c>
      <c r="C71" s="122">
        <v>0.46</v>
      </c>
      <c r="D71" s="122" t="s">
        <v>150</v>
      </c>
      <c r="E71" s="122">
        <v>1.3</v>
      </c>
      <c r="F71" s="123" t="s">
        <v>274</v>
      </c>
      <c r="G71" s="124">
        <v>0.45</v>
      </c>
      <c r="H71" s="122" t="s">
        <v>276</v>
      </c>
      <c r="I71" s="125">
        <v>0.43</v>
      </c>
      <c r="J71" s="77"/>
      <c r="K71" s="77"/>
      <c r="L71" s="77"/>
      <c r="M71" s="77"/>
      <c r="N71" s="77"/>
    </row>
    <row r="72" spans="1:14" x14ac:dyDescent="0.35">
      <c r="A72" s="120" t="s">
        <v>41</v>
      </c>
      <c r="B72" s="121" t="s">
        <v>88</v>
      </c>
      <c r="C72" s="122">
        <v>0.44</v>
      </c>
      <c r="D72" s="122" t="s">
        <v>161</v>
      </c>
      <c r="E72" s="122">
        <v>1.3</v>
      </c>
      <c r="F72" s="123" t="s">
        <v>274</v>
      </c>
      <c r="G72" s="124">
        <v>0.45</v>
      </c>
      <c r="H72" s="122" t="s">
        <v>276</v>
      </c>
      <c r="I72" s="125">
        <v>0.43</v>
      </c>
      <c r="J72" s="77"/>
      <c r="K72" s="77"/>
      <c r="L72" s="77"/>
      <c r="M72" s="77"/>
      <c r="N72" s="77"/>
    </row>
    <row r="73" spans="1:14" x14ac:dyDescent="0.35">
      <c r="A73" s="120" t="s">
        <v>138</v>
      </c>
      <c r="B73" s="121" t="s">
        <v>140</v>
      </c>
      <c r="C73" s="122">
        <v>0.46</v>
      </c>
      <c r="D73" s="122" t="s">
        <v>151</v>
      </c>
      <c r="E73" s="122">
        <v>1.3</v>
      </c>
      <c r="F73" s="123" t="s">
        <v>274</v>
      </c>
      <c r="G73" s="124">
        <v>0.45</v>
      </c>
      <c r="H73" s="122" t="s">
        <v>276</v>
      </c>
      <c r="I73" s="125">
        <v>0.43</v>
      </c>
      <c r="J73" s="77"/>
      <c r="K73" s="77"/>
      <c r="L73" s="77"/>
      <c r="M73" s="77"/>
      <c r="N73" s="77"/>
    </row>
    <row r="74" spans="1:14" x14ac:dyDescent="0.35">
      <c r="A74" s="120" t="s">
        <v>42</v>
      </c>
      <c r="B74" s="121" t="s">
        <v>139</v>
      </c>
      <c r="C74" s="122">
        <v>0.34</v>
      </c>
      <c r="D74" s="122" t="s">
        <v>161</v>
      </c>
      <c r="E74" s="122">
        <v>1.3</v>
      </c>
      <c r="F74" s="123" t="s">
        <v>274</v>
      </c>
      <c r="G74" s="124">
        <v>0.45</v>
      </c>
      <c r="H74" s="122" t="s">
        <v>276</v>
      </c>
      <c r="I74" s="125">
        <v>0.43</v>
      </c>
      <c r="J74" s="77"/>
      <c r="K74" s="77"/>
      <c r="L74" s="77"/>
      <c r="M74" s="77"/>
      <c r="N74" s="77"/>
    </row>
    <row r="75" spans="1:14" x14ac:dyDescent="0.35">
      <c r="A75" s="120" t="s">
        <v>43</v>
      </c>
      <c r="B75" s="121" t="s">
        <v>162</v>
      </c>
      <c r="C75" s="122">
        <v>0.5</v>
      </c>
      <c r="D75" s="122" t="s">
        <v>161</v>
      </c>
      <c r="E75" s="122">
        <v>1.56</v>
      </c>
      <c r="F75" s="123" t="s">
        <v>274</v>
      </c>
      <c r="G75" s="124">
        <v>0.53</v>
      </c>
      <c r="H75" s="122" t="s">
        <v>275</v>
      </c>
      <c r="I75" s="125">
        <v>0.25</v>
      </c>
      <c r="J75" s="77"/>
      <c r="K75" s="77"/>
      <c r="L75" s="77"/>
      <c r="M75" s="77"/>
      <c r="N75" s="77"/>
    </row>
    <row r="76" spans="1:14" x14ac:dyDescent="0.35">
      <c r="A76" s="120" t="s">
        <v>44</v>
      </c>
      <c r="B76" s="121" t="s">
        <v>89</v>
      </c>
      <c r="C76" s="122">
        <v>0.57999999999999996</v>
      </c>
      <c r="D76" s="122" t="s">
        <v>161</v>
      </c>
      <c r="E76" s="122">
        <v>1.56</v>
      </c>
      <c r="F76" s="123" t="s">
        <v>274</v>
      </c>
      <c r="G76" s="124">
        <v>0.3</v>
      </c>
      <c r="H76" s="122" t="s">
        <v>277</v>
      </c>
      <c r="I76" s="125">
        <v>0.25</v>
      </c>
      <c r="J76" s="77"/>
      <c r="K76" s="77"/>
      <c r="L76" s="77"/>
      <c r="M76" s="77"/>
      <c r="N76" s="77"/>
    </row>
    <row r="77" spans="1:14" x14ac:dyDescent="0.35">
      <c r="A77" s="120" t="s">
        <v>47</v>
      </c>
      <c r="B77" s="121" t="s">
        <v>141</v>
      </c>
      <c r="C77" s="122">
        <v>0.37</v>
      </c>
      <c r="D77" s="122" t="s">
        <v>161</v>
      </c>
      <c r="E77" s="122">
        <v>1.3</v>
      </c>
      <c r="F77" s="123" t="s">
        <v>274</v>
      </c>
      <c r="G77" s="124">
        <v>0.55000000000000004</v>
      </c>
      <c r="H77" s="122" t="s">
        <v>152</v>
      </c>
      <c r="I77" s="125">
        <v>0.43</v>
      </c>
      <c r="J77" s="77"/>
      <c r="K77" s="77"/>
      <c r="L77" s="77"/>
      <c r="M77" s="77"/>
      <c r="N77" s="77"/>
    </row>
    <row r="78" spans="1:14" x14ac:dyDescent="0.35">
      <c r="A78" s="120" t="s">
        <v>45</v>
      </c>
      <c r="B78" s="121" t="s">
        <v>96</v>
      </c>
      <c r="C78" s="122">
        <v>0.37</v>
      </c>
      <c r="D78" s="122" t="s">
        <v>161</v>
      </c>
      <c r="E78" s="122">
        <v>1.3</v>
      </c>
      <c r="F78" s="123" t="s">
        <v>274</v>
      </c>
      <c r="G78" s="124">
        <v>0.55000000000000004</v>
      </c>
      <c r="H78" s="122" t="s">
        <v>152</v>
      </c>
      <c r="I78" s="125">
        <v>0.43</v>
      </c>
      <c r="J78" s="77"/>
      <c r="K78" s="77"/>
      <c r="L78" s="77"/>
      <c r="M78" s="77"/>
      <c r="N78" s="77"/>
    </row>
    <row r="79" spans="1:14" x14ac:dyDescent="0.35">
      <c r="A79" s="120" t="s">
        <v>46</v>
      </c>
      <c r="B79" s="121" t="s">
        <v>95</v>
      </c>
      <c r="C79" s="122">
        <v>0.38</v>
      </c>
      <c r="D79" s="122" t="s">
        <v>161</v>
      </c>
      <c r="E79" s="122">
        <v>1.3</v>
      </c>
      <c r="F79" s="123" t="s">
        <v>274</v>
      </c>
      <c r="G79" s="124">
        <v>0.55000000000000004</v>
      </c>
      <c r="H79" s="122" t="s">
        <v>153</v>
      </c>
      <c r="I79" s="125">
        <v>0.43</v>
      </c>
      <c r="J79" s="77"/>
      <c r="K79" s="77"/>
      <c r="L79" s="77"/>
      <c r="M79" s="77"/>
      <c r="N79" s="77"/>
    </row>
    <row r="80" spans="1:14" x14ac:dyDescent="0.35">
      <c r="A80" s="120" t="s">
        <v>48</v>
      </c>
      <c r="B80" s="121" t="s">
        <v>94</v>
      </c>
      <c r="C80" s="122">
        <v>0.36</v>
      </c>
      <c r="D80" s="122" t="s">
        <v>161</v>
      </c>
      <c r="E80" s="122">
        <v>1.3</v>
      </c>
      <c r="F80" s="123" t="s">
        <v>274</v>
      </c>
      <c r="G80" s="124">
        <v>0.55000000000000004</v>
      </c>
      <c r="H80" s="122" t="s">
        <v>153</v>
      </c>
      <c r="I80" s="125">
        <v>0.43</v>
      </c>
      <c r="J80" s="77"/>
      <c r="K80" s="77"/>
      <c r="L80" s="77"/>
      <c r="M80" s="77"/>
      <c r="N80" s="77"/>
    </row>
    <row r="81" spans="1:14" x14ac:dyDescent="0.35">
      <c r="A81" s="120" t="s">
        <v>49</v>
      </c>
      <c r="B81" s="121" t="s">
        <v>142</v>
      </c>
      <c r="C81" s="122">
        <v>0.37</v>
      </c>
      <c r="D81" s="122" t="s">
        <v>161</v>
      </c>
      <c r="E81" s="122">
        <v>1.56</v>
      </c>
      <c r="F81" s="123" t="s">
        <v>274</v>
      </c>
      <c r="G81" s="124">
        <v>0.43</v>
      </c>
      <c r="H81" s="122" t="s">
        <v>278</v>
      </c>
      <c r="I81" s="125">
        <v>0.25</v>
      </c>
      <c r="J81" s="77"/>
      <c r="K81" s="77"/>
      <c r="L81" s="77"/>
      <c r="M81" s="77"/>
      <c r="N81" s="77"/>
    </row>
    <row r="82" spans="1:14" x14ac:dyDescent="0.35">
      <c r="A82" s="120" t="s">
        <v>158</v>
      </c>
      <c r="B82" s="121" t="s">
        <v>159</v>
      </c>
      <c r="C82" s="122">
        <v>0.35</v>
      </c>
      <c r="D82" s="122" t="s">
        <v>160</v>
      </c>
      <c r="E82" s="122">
        <v>1.3</v>
      </c>
      <c r="F82" s="123" t="s">
        <v>274</v>
      </c>
      <c r="G82" s="124">
        <v>0.55000000000000004</v>
      </c>
      <c r="H82" s="122" t="s">
        <v>153</v>
      </c>
      <c r="I82" s="125">
        <v>0.43</v>
      </c>
      <c r="J82" s="77"/>
      <c r="K82" s="77"/>
      <c r="L82" s="77"/>
      <c r="M82" s="77"/>
      <c r="N82" s="77"/>
    </row>
    <row r="83" spans="1:14" x14ac:dyDescent="0.35">
      <c r="A83" s="120" t="s">
        <v>156</v>
      </c>
      <c r="B83" s="121" t="s">
        <v>157</v>
      </c>
      <c r="C83" s="122">
        <v>0.34</v>
      </c>
      <c r="D83" s="122" t="s">
        <v>161</v>
      </c>
      <c r="E83" s="122">
        <v>1.3</v>
      </c>
      <c r="F83" s="123" t="s">
        <v>274</v>
      </c>
      <c r="G83" s="124">
        <v>0.55000000000000004</v>
      </c>
      <c r="H83" s="122" t="s">
        <v>153</v>
      </c>
      <c r="I83" s="125">
        <v>0.43</v>
      </c>
      <c r="J83" s="77"/>
      <c r="K83" s="77"/>
      <c r="L83" s="77"/>
      <c r="M83" s="77"/>
      <c r="N83" s="77"/>
    </row>
    <row r="84" spans="1:14" x14ac:dyDescent="0.35">
      <c r="A84" s="120" t="s">
        <v>92</v>
      </c>
      <c r="B84" s="121" t="s">
        <v>93</v>
      </c>
      <c r="C84" s="122">
        <v>0.31</v>
      </c>
      <c r="D84" s="122" t="s">
        <v>161</v>
      </c>
      <c r="E84" s="122">
        <v>1.3</v>
      </c>
      <c r="F84" s="123" t="s">
        <v>274</v>
      </c>
      <c r="G84" s="124">
        <v>0.55000000000000004</v>
      </c>
      <c r="H84" s="122" t="s">
        <v>153</v>
      </c>
      <c r="I84" s="125">
        <v>0.43</v>
      </c>
      <c r="J84" s="77"/>
      <c r="K84" s="77"/>
      <c r="L84" s="77"/>
      <c r="M84" s="77"/>
      <c r="N84" s="77"/>
    </row>
    <row r="85" spans="1:14" x14ac:dyDescent="0.35">
      <c r="A85" s="120" t="s">
        <v>50</v>
      </c>
      <c r="B85" s="121" t="s">
        <v>143</v>
      </c>
      <c r="C85" s="122">
        <v>0.43</v>
      </c>
      <c r="D85" s="122" t="s">
        <v>161</v>
      </c>
      <c r="E85" s="122">
        <v>1.56</v>
      </c>
      <c r="F85" s="123" t="s">
        <v>274</v>
      </c>
      <c r="G85" s="124">
        <v>0.53</v>
      </c>
      <c r="H85" s="122" t="s">
        <v>275</v>
      </c>
      <c r="I85" s="125">
        <v>0.25</v>
      </c>
      <c r="J85" s="77"/>
      <c r="K85" s="77"/>
      <c r="L85" s="77"/>
      <c r="M85" s="77"/>
      <c r="N85" s="77"/>
    </row>
    <row r="86" spans="1:14" x14ac:dyDescent="0.35">
      <c r="A86" s="120" t="s">
        <v>51</v>
      </c>
      <c r="B86" s="121" t="s">
        <v>91</v>
      </c>
      <c r="C86" s="122">
        <v>0.38</v>
      </c>
      <c r="D86" s="122" t="s">
        <v>161</v>
      </c>
      <c r="E86" s="122">
        <v>1.56</v>
      </c>
      <c r="F86" s="123" t="s">
        <v>274</v>
      </c>
      <c r="G86" s="124">
        <v>0.6</v>
      </c>
      <c r="H86" s="122" t="s">
        <v>279</v>
      </c>
      <c r="I86" s="125">
        <v>0.25</v>
      </c>
      <c r="J86" s="77"/>
      <c r="K86" s="77"/>
      <c r="L86" s="77"/>
      <c r="M86" s="77"/>
      <c r="N86" s="77"/>
    </row>
    <row r="87" spans="1:14" x14ac:dyDescent="0.35">
      <c r="A87" s="249" t="s">
        <v>321</v>
      </c>
      <c r="B87" s="250" t="s">
        <v>322</v>
      </c>
      <c r="C87" s="251">
        <v>0.41</v>
      </c>
      <c r="D87" s="251" t="s">
        <v>323</v>
      </c>
      <c r="E87" s="251">
        <v>1.56</v>
      </c>
      <c r="F87" s="252" t="s">
        <v>274</v>
      </c>
      <c r="G87" s="253">
        <v>0.43</v>
      </c>
      <c r="H87" s="251" t="s">
        <v>278</v>
      </c>
      <c r="I87" s="254">
        <v>0.25</v>
      </c>
      <c r="J87" s="77"/>
      <c r="K87" s="77"/>
      <c r="L87" s="77"/>
      <c r="M87" s="77"/>
      <c r="N87" s="77"/>
    </row>
    <row r="88" spans="1:14" x14ac:dyDescent="0.35">
      <c r="A88" s="120" t="s">
        <v>148</v>
      </c>
      <c r="B88" s="128"/>
      <c r="C88" s="122">
        <v>0.42</v>
      </c>
      <c r="D88" s="122" t="s">
        <v>161</v>
      </c>
      <c r="E88" s="122">
        <v>1.3</v>
      </c>
      <c r="F88" s="123" t="s">
        <v>274</v>
      </c>
      <c r="G88" s="129"/>
      <c r="H88" s="128"/>
      <c r="I88" s="130"/>
    </row>
    <row r="89" spans="1:14" ht="15" thickBot="1" x14ac:dyDescent="0.4">
      <c r="A89" s="131" t="s">
        <v>149</v>
      </c>
      <c r="B89" s="132"/>
      <c r="C89" s="133">
        <v>0.56999999999999995</v>
      </c>
      <c r="D89" s="134" t="s">
        <v>161</v>
      </c>
      <c r="E89" s="133">
        <v>1.56</v>
      </c>
      <c r="F89" s="133" t="s">
        <v>274</v>
      </c>
      <c r="G89" s="132"/>
      <c r="H89" s="132"/>
      <c r="I89" s="135"/>
    </row>
    <row r="93" spans="1:14" x14ac:dyDescent="0.35">
      <c r="A93" s="120" t="s">
        <v>208</v>
      </c>
    </row>
    <row r="94" spans="1:14" x14ac:dyDescent="0.35">
      <c r="A94" s="120" t="s">
        <v>209</v>
      </c>
    </row>
    <row r="95" spans="1:14" x14ac:dyDescent="0.35">
      <c r="A95" s="120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110" zoomScaleNormal="110" workbookViewId="0">
      <selection activeCell="M34" sqref="M34"/>
    </sheetView>
  </sheetViews>
  <sheetFormatPr baseColWidth="10" defaultColWidth="11.453125" defaultRowHeight="14.5" x14ac:dyDescent="0.35"/>
  <cols>
    <col min="1" max="1" width="22.81640625" style="1" bestFit="1" customWidth="1"/>
    <col min="2" max="2" width="10.453125" style="1" bestFit="1" customWidth="1"/>
    <col min="3" max="3" width="15.453125" style="1" bestFit="1" customWidth="1"/>
    <col min="4" max="4" width="13.453125" style="1" bestFit="1" customWidth="1"/>
    <col min="5" max="8" width="11.453125" style="1"/>
    <col min="9" max="13" width="11.453125" style="62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5" thickBot="1" x14ac:dyDescent="0.65">
      <c r="A2" s="281" t="s">
        <v>271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3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4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8.5" thickBot="1" x14ac:dyDescent="0.4">
      <c r="A5" s="136" t="s">
        <v>207</v>
      </c>
      <c r="B5" s="137" t="s">
        <v>250</v>
      </c>
      <c r="C5" s="138" t="str">
        <f>Calculateur!S2</f>
        <v>ΔStock moyen de long terme (tCO₂/ha)</v>
      </c>
      <c r="D5" s="138" t="str">
        <f>Calculateur!T2</f>
        <v>Δstock CO₂ 30 ans (tCO₂/ha)</v>
      </c>
      <c r="E5" s="138" t="s">
        <v>228</v>
      </c>
      <c r="F5" s="138" t="s">
        <v>239</v>
      </c>
      <c r="G5" s="138" t="s">
        <v>240</v>
      </c>
      <c r="H5" s="139" t="s">
        <v>241</v>
      </c>
      <c r="I5" s="140" t="s">
        <v>242</v>
      </c>
      <c r="J5" s="141" t="s">
        <v>243</v>
      </c>
      <c r="K5" s="142" t="s">
        <v>244</v>
      </c>
      <c r="L5" s="83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5">
      <c r="A6" s="143" t="str">
        <f>IF('Données projet'!$B$9="","",'Données projet'!$B$9)</f>
        <v>Chêne sessile</v>
      </c>
      <c r="B6" s="144">
        <f>'Données projet'!D9</f>
        <v>0.47839999999999999</v>
      </c>
      <c r="C6" s="145">
        <f ca="1">IF(OR('Données projet'!B9="",'Données projet'!C9="",'Données projet'!C9=0%),0,Calculateur!S3)</f>
        <v>567.42635821507474</v>
      </c>
      <c r="D6" s="145">
        <f>IF(OR('Données projet'!B9="",'Données projet'!C9="",'Données projet'!C9=0%),0,Calculateur!T3)</f>
        <v>299.04735309930152</v>
      </c>
      <c r="E6" s="145">
        <f ca="1">MIN(C6,D6)</f>
        <v>299.04735309930152</v>
      </c>
      <c r="F6" s="145">
        <f ca="1">E6*B6</f>
        <v>143.06425372270584</v>
      </c>
      <c r="G6" s="145">
        <f ca="1">F6*(100%-'Données projet'!$C$24)*(100%-'Données projet'!$C$25)*(100%-'Données projet'!$C$26)*(100%-'Données projet'!$C$27)</f>
        <v>128.75782835043526</v>
      </c>
      <c r="H6" s="146">
        <f>IF(OR('Données projet'!B9="",'Données projet'!C9="",'Données projet'!C9=0%),0,AVERAGE(Calculateur!$AC$3:$AC$33)*B6)</f>
        <v>0</v>
      </c>
      <c r="I6" s="147">
        <f>H6*(100%-'Données projet'!$C$24)*(100%-'Données projet'!$C$25)*(100%-'Données projet'!$C$26)*(100%-'Données projet'!$C$27)</f>
        <v>0</v>
      </c>
      <c r="J6" s="148">
        <f>IF(OR('Données projet'!B9="",'Données projet'!C9="",'Données projet'!C9=0%),0,SUM(Calculateur!$V$3:$V$33)*VLOOKUP('Données projet'!$B$9,Paramètres!$A$1:$I$89,9,0)*B6)</f>
        <v>0</v>
      </c>
      <c r="K6" s="149">
        <f>J6*(100%-'Données projet'!$C$24)*(100%-'Données projet'!$C$25)*(100%-'Données projet'!$C$26)*(100%-'Données projet'!$C$27)</f>
        <v>0</v>
      </c>
      <c r="L6" s="150">
        <f ca="1">G6+I6+K6</f>
        <v>128.75782835043526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5">
      <c r="A7" s="151" t="str">
        <f>IF('Données projet'!$B$10="","",'Données projet'!$B$10)</f>
        <v>Chêne pubescent</v>
      </c>
      <c r="B7" s="152">
        <f>'Données projet'!D10</f>
        <v>0.35359999999999997</v>
      </c>
      <c r="C7" s="145">
        <f ca="1">IF(OR('Données projet'!B10="",'Données projet'!C10="",'Données projet'!C10=0%),0,Calculateur!AN3)</f>
        <v>626.09203985591455</v>
      </c>
      <c r="D7" s="145">
        <f>IF(OR('Données projet'!B10="",'Données projet'!C10="",'Données projet'!C10=0%),0,Calculateur!AO3)</f>
        <v>327.65191296575199</v>
      </c>
      <c r="E7" s="145">
        <f t="shared" ref="E7:E15" ca="1" si="0">MIN(C7,D7)</f>
        <v>327.65191296575199</v>
      </c>
      <c r="F7" s="145">
        <f t="shared" ref="F7:F15" ca="1" si="1">E7*B7</f>
        <v>115.8577164246899</v>
      </c>
      <c r="G7" s="145">
        <f ca="1">F7*(100%-'Données projet'!$C$24)*(100%-'Données projet'!$C$25)*(100%-'Données projet'!$C$26)*(100%-'Données projet'!$C$27)</f>
        <v>104.27194478222091</v>
      </c>
      <c r="H7" s="153">
        <f>IF(OR('Données projet'!B10="",'Données projet'!C10="",'Données projet'!C10=0%),0,AVERAGE(Calculateur!$AX$3:$AX$33)*B7)</f>
        <v>0</v>
      </c>
      <c r="I7" s="147">
        <f>H7*(100%-'Données projet'!$C$24)*(100%-'Données projet'!$C$25)*(100%-'Données projet'!$C$26)*(100%-'Données projet'!$C$27)</f>
        <v>0</v>
      </c>
      <c r="J7" s="148">
        <f>IF(OR('Données projet'!B10="",'Données projet'!C10="",'Données projet'!C10=0%),0,SUM(Calculateur!$AQ$3:$AQ$33)*VLOOKUP('Données projet'!$B$10,Paramètres!$A$1:$I$89,9,0)*B7)</f>
        <v>0</v>
      </c>
      <c r="K7" s="149">
        <f>J7*(100%-'Données projet'!$C$24)*(100%-'Données projet'!$C$25)*(100%-'Données projet'!$C$26)*(100%-'Données projet'!$C$27)</f>
        <v>0</v>
      </c>
      <c r="L7" s="150">
        <f t="shared" ref="L7:L15" ca="1" si="2">G7+I7+K7</f>
        <v>104.27194478222091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5">
      <c r="A8" s="151" t="str">
        <f>IF('Données projet'!$B$11="","",'Données projet'!$B$11)</f>
        <v>Hêtre</v>
      </c>
      <c r="B8" s="152">
        <f>'Données projet'!D11</f>
        <v>0.41599999999999998</v>
      </c>
      <c r="C8" s="145">
        <f ca="1">IF(OR('Données projet'!B11="",'Données projet'!C11="",'Données projet'!C11=0%),0,Calculateur!BI3)</f>
        <v>481.23392184981651</v>
      </c>
      <c r="D8" s="145">
        <f>IF(OR('Données projet'!B11="",'Données projet'!C11="",'Données projet'!C11=0%),0,Calculateur!BJ3)</f>
        <v>275.88160405468193</v>
      </c>
      <c r="E8" s="145">
        <f t="shared" ca="1" si="0"/>
        <v>275.88160405468193</v>
      </c>
      <c r="F8" s="145">
        <f t="shared" ca="1" si="1"/>
        <v>114.76674728674767</v>
      </c>
      <c r="G8" s="145">
        <f ca="1">F8*(100%-'Données projet'!$C$24)*(100%-'Données projet'!$C$25)*(100%-'Données projet'!$C$26)*(100%-'Données projet'!$C$27)</f>
        <v>103.29007255807291</v>
      </c>
      <c r="H8" s="153">
        <f>IF(OR('Données projet'!B11="",'Données projet'!C11="",'Données projet'!C11=0%),0,AVERAGE(Calculateur!$BS$3:$BS$33)*B8)</f>
        <v>0</v>
      </c>
      <c r="I8" s="147">
        <f>H8*(100%-'Données projet'!$C$24)*(100%-'Données projet'!$C$25)*(100%-'Données projet'!$C$26)*(100%-'Données projet'!$C$27)</f>
        <v>0</v>
      </c>
      <c r="J8" s="148">
        <f>IF(OR('Données projet'!B11="",'Données projet'!C11="",'Données projet'!C11=0%),0,SUM(Calculateur!$BL$3:$BL$33)*VLOOKUP('Données projet'!$B$11,Paramètres!$A$1:$I$89,9,0)*B8)</f>
        <v>3.6399999999999997</v>
      </c>
      <c r="K8" s="149">
        <f>J8*(100%-'Données projet'!$C$24)*(100%-'Données projet'!$C$25)*(100%-'Données projet'!$C$26)*(100%-'Données projet'!$C$27)</f>
        <v>3.2759999999999998</v>
      </c>
      <c r="L8" s="150">
        <f t="shared" ca="1" si="2"/>
        <v>106.5660725580729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5">
      <c r="A9" s="151" t="str">
        <f>IF('Données projet'!$B$12="","",'Données projet'!$B$12)</f>
        <v>Cèdre de l'Atlas</v>
      </c>
      <c r="B9" s="152">
        <f>'Données projet'!D12</f>
        <v>0.33279999999999998</v>
      </c>
      <c r="C9" s="145">
        <f ca="1">IF(OR('Données projet'!B12="",'Données projet'!C12="",'Données projet'!C12=0%),0,Calculateur!CD3)</f>
        <v>331.86732359395467</v>
      </c>
      <c r="D9" s="145">
        <f>IF(OR('Données projet'!B12="",'Données projet'!C12="",'Données projet'!C12=0%),0,Calculateur!CE3)</f>
        <v>208.64489375183106</v>
      </c>
      <c r="E9" s="145">
        <f t="shared" ca="1" si="0"/>
        <v>208.64489375183106</v>
      </c>
      <c r="F9" s="145">
        <f t="shared" ca="1" si="1"/>
        <v>69.437020640609376</v>
      </c>
      <c r="G9" s="145">
        <f ca="1">F9*(100%-'Données projet'!$C$24)*(100%-'Données projet'!$C$25)*(100%-'Données projet'!$C$26)*(100%-'Données projet'!$C$27)</f>
        <v>62.49331857654844</v>
      </c>
      <c r="H9" s="153">
        <f>IF(OR('Données projet'!B12="",'Données projet'!C12="",'Données projet'!C12=0%),0,AVERAGE(Calculateur!$CN$3:$CN$33)*B9)</f>
        <v>0</v>
      </c>
      <c r="I9" s="147">
        <f>H9*(100%-'Données projet'!$C$24)*(100%-'Données projet'!$C$25)*(100%-'Données projet'!$C$26)*(100%-'Données projet'!$C$27)</f>
        <v>0</v>
      </c>
      <c r="J9" s="148">
        <f>IF(OR('Données projet'!B12="",'Données projet'!C12="",'Données projet'!C12=0%),0,SUM(Calculateur!$CG$3:$CG$33)*VLOOKUP('Données projet'!$B$12,Paramètres!$A$1:$I$89,9,0)*B9)</f>
        <v>0</v>
      </c>
      <c r="K9" s="149">
        <f>J9*(100%-'Données projet'!$C$24)*(100%-'Données projet'!$C$25)*(100%-'Données projet'!$C$26)*(100%-'Données projet'!$C$27)</f>
        <v>0</v>
      </c>
      <c r="L9" s="150">
        <f t="shared" ca="1" si="2"/>
        <v>62.49331857654844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5">
      <c r="A10" s="151" t="str">
        <f>IF('Données projet'!$B$13="","",'Données projet'!$B$13)</f>
        <v>Châtaignier</v>
      </c>
      <c r="B10" s="152">
        <f>'Données projet'!D13</f>
        <v>0.29120000000000001</v>
      </c>
      <c r="C10" s="145">
        <f ca="1">IF(OR('Données projet'!B13="",'Données projet'!C13="",'Données projet'!C13=0%),0,Calculateur!CY3)</f>
        <v>352.45777291109863</v>
      </c>
      <c r="D10" s="145">
        <f>IF(OR('Données projet'!B13="",'Données projet'!C13="",'Données projet'!C13=0%),0,Calculateur!CZ3)</f>
        <v>340.92165104349181</v>
      </c>
      <c r="E10" s="145">
        <f t="shared" ca="1" si="0"/>
        <v>340.92165104349181</v>
      </c>
      <c r="F10" s="145">
        <f t="shared" ca="1" si="1"/>
        <v>99.276384783864813</v>
      </c>
      <c r="G10" s="145">
        <f ca="1">F10*(100%-'Données projet'!$C$24)*(100%-'Données projet'!$C$25)*(100%-'Données projet'!$C$26)*(100%-'Données projet'!$C$27)</f>
        <v>89.348746305478329</v>
      </c>
      <c r="H10" s="153">
        <f>IF(OR('Données projet'!B13="",'Données projet'!C13="",'Données projet'!C13=0%),0,AVERAGE(Calculateur!$DI$3:$DI$33)*B10)</f>
        <v>0</v>
      </c>
      <c r="I10" s="147">
        <f>H10*(100%-'Données projet'!$C$24)*(100%-'Données projet'!$C$25)*(100%-'Données projet'!$C$26)*(100%-'Données projet'!$C$27)</f>
        <v>0</v>
      </c>
      <c r="J10" s="148">
        <f>IF(OR('Données projet'!B13="",'Données projet'!C13="",'Données projet'!C13=0%),0,SUM(Calculateur!$DB$3:$DB$33)*VLOOKUP('Données projet'!$B$13,Paramètres!$A$1:$I$89,9,0)*B10)</f>
        <v>9.9736000000000011</v>
      </c>
      <c r="K10" s="149">
        <f>J10*(100%-'Données projet'!$C$24)*(100%-'Données projet'!$C$25)*(100%-'Données projet'!$C$26)*(100%-'Données projet'!$C$27)</f>
        <v>8.9762400000000007</v>
      </c>
      <c r="L10" s="150">
        <f t="shared" ca="1" si="2"/>
        <v>98.324986305478333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5">
      <c r="A11" s="151" t="str">
        <f>IF('Données projet'!$B$14="","",'Données projet'!$B$14)</f>
        <v>Tilleul</v>
      </c>
      <c r="B11" s="152">
        <f>'Données projet'!D14</f>
        <v>0.24959999999999996</v>
      </c>
      <c r="C11" s="145">
        <f ca="1">IF(OR('Données projet'!B14="",'Données projet'!C14="",'Données projet'!C14=0%),0,Calculateur!DT3)</f>
        <v>441.20130048888439</v>
      </c>
      <c r="D11" s="145">
        <f>IF(OR('Données projet'!B14="",'Données projet'!C14="",'Données projet'!C14=0%),0,Calculateur!DU3)</f>
        <v>237.47732532183946</v>
      </c>
      <c r="E11" s="145">
        <f t="shared" ca="1" si="0"/>
        <v>237.47732532183946</v>
      </c>
      <c r="F11" s="145">
        <f t="shared" ca="1" si="1"/>
        <v>59.27434040033112</v>
      </c>
      <c r="G11" s="145">
        <f ca="1">F11*(100%-'Données projet'!$C$24)*(100%-'Données projet'!$C$25)*(100%-'Données projet'!$C$26)*(100%-'Données projet'!$C$27)</f>
        <v>53.346906360298007</v>
      </c>
      <c r="H11" s="153">
        <f>IF(OR('Données projet'!B14="",'Données projet'!C14="",'Données projet'!C14=0%),0,AVERAGE(Calculateur!$ED$3:$ED$33)*B11)</f>
        <v>0</v>
      </c>
      <c r="I11" s="147">
        <f>H11*(100%-'Données projet'!$C$24)*(100%-'Données projet'!$C$25)*(100%-'Données projet'!$C$26)*(100%-'Données projet'!$C$27)</f>
        <v>0</v>
      </c>
      <c r="J11" s="148">
        <f>IF(OR('Données projet'!B14="",'Données projet'!C14="",'Données projet'!C14=0%),0,SUM(Calculateur!$DW$3:$DW$33)*VLOOKUP('Données projet'!$B$14,Paramètres!$A$1:$I$89,9,0)*B11)</f>
        <v>0</v>
      </c>
      <c r="K11" s="149">
        <f>J11*(100%-'Données projet'!$C$24)*(100%-'Données projet'!$C$25)*(100%-'Données projet'!$C$26)*(100%-'Données projet'!$C$27)</f>
        <v>0</v>
      </c>
      <c r="L11" s="150">
        <f t="shared" ca="1" si="2"/>
        <v>53.346906360298007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5">
      <c r="A12" s="151" t="str">
        <f>IF('Données projet'!$B$15="","",'Données projet'!$B$15)</f>
        <v>Erable sycomore</v>
      </c>
      <c r="B12" s="152">
        <f>'Données projet'!D15</f>
        <v>0.49919999999999992</v>
      </c>
      <c r="C12" s="145">
        <f ca="1">IF(OR('Données projet'!B15="",'Données projet'!C15="",'Données projet'!C15=0%),0,Calculateur!EO3)</f>
        <v>377.27600411578322</v>
      </c>
      <c r="D12" s="145">
        <f>IF(OR('Données projet'!B15="",'Données projet'!C15="",'Données projet'!C15=0%),0,Calculateur!EP3)</f>
        <v>364.58250627635425</v>
      </c>
      <c r="E12" s="145">
        <f t="shared" ca="1" si="0"/>
        <v>364.58250627635425</v>
      </c>
      <c r="F12" s="145">
        <f t="shared" ca="1" si="1"/>
        <v>181.99958713315601</v>
      </c>
      <c r="G12" s="145">
        <f ca="1">F12*(100%-'Données projet'!$C$24)*(100%-'Données projet'!$C$25)*(100%-'Données projet'!$C$26)*(100%-'Données projet'!$C$27)</f>
        <v>163.79962841984042</v>
      </c>
      <c r="H12" s="153">
        <f>IF(OR('Données projet'!B15="",'Données projet'!C15="",'Données projet'!C15=0%),0,AVERAGE(Calculateur!$EY$3:$EY$33)*B12)</f>
        <v>0</v>
      </c>
      <c r="I12" s="147">
        <f>H12*(100%-'Données projet'!$C$24)*(100%-'Données projet'!$C$25)*(100%-'Données projet'!$C$26)*(100%-'Données projet'!$C$27)</f>
        <v>0</v>
      </c>
      <c r="J12" s="148">
        <f>IF(OR('Données projet'!B15="",'Données projet'!C15="",'Données projet'!C15=0%),0,SUM(Calculateur!$ER$3:$ER$33)*VLOOKUP('Données projet'!$B$15,Paramètres!$A$1:$I$89,9,0)*B12)</f>
        <v>17.097599999999996</v>
      </c>
      <c r="K12" s="149">
        <f>J12*(100%-'Données projet'!$C$24)*(100%-'Données projet'!$C$25)*(100%-'Données projet'!$C$26)*(100%-'Données projet'!$C$27)</f>
        <v>15.387839999999997</v>
      </c>
      <c r="L12" s="150">
        <f t="shared" ca="1" si="2"/>
        <v>179.1874684198404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5">
      <c r="A13" s="151" t="str">
        <f>IF('Données projet'!$B$16="","",'Données projet'!$B$16)</f>
        <v>Noyer</v>
      </c>
      <c r="B13" s="152">
        <f>'Données projet'!D16</f>
        <v>0.20799999999999999</v>
      </c>
      <c r="C13" s="145">
        <f ca="1">IF(OR('Données projet'!B16="",'Données projet'!C16="",'Données projet'!C16=0%),0,Calculateur!FJ3)</f>
        <v>383.47399633251354</v>
      </c>
      <c r="D13" s="145">
        <f>IF(OR('Données projet'!B16="",'Données projet'!C16="",'Données projet'!C16=0%),0,Calculateur!FK3)</f>
        <v>370.49129421395628</v>
      </c>
      <c r="E13" s="145">
        <f t="shared" ca="1" si="0"/>
        <v>370.49129421395628</v>
      </c>
      <c r="F13" s="145">
        <f t="shared" ca="1" si="1"/>
        <v>77.062189196502899</v>
      </c>
      <c r="G13" s="145">
        <f ca="1">F13*(100%-'Données projet'!$C$24)*(100%-'Données projet'!$C$25)*(100%-'Données projet'!$C$26)*(100%-'Données projet'!$C$27)</f>
        <v>69.355970276852617</v>
      </c>
      <c r="H13" s="153">
        <f>IF(OR('Données projet'!B16="",'Données projet'!C16="",'Données projet'!C16=0%),0,AVERAGE(Calculateur!$FT$3:$FT$33)*B13)</f>
        <v>0</v>
      </c>
      <c r="I13" s="147">
        <f>H13*(100%-'Données projet'!$C$24)*(100%-'Données projet'!$C$25)*(100%-'Données projet'!$C$26)*(100%-'Données projet'!$C$27)</f>
        <v>0</v>
      </c>
      <c r="J13" s="148">
        <f>IF(OR('Données projet'!C16="",'Données projet'!C16=0%),0,SUM(Calculateur!$FM$3:$FM$33)*VLOOKUP('Données projet'!$B$16,Paramètres!$A$1:$I$89,9,0)*B13)</f>
        <v>7.1239999999999997</v>
      </c>
      <c r="K13" s="149">
        <f>J13*(100%-'Données projet'!$C$24)*(100%-'Données projet'!$C$25)*(100%-'Données projet'!$C$26)*(100%-'Données projet'!$C$27)</f>
        <v>6.4116</v>
      </c>
      <c r="L13" s="150">
        <f t="shared" ca="1" si="2"/>
        <v>75.767570276852609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5">
      <c r="A14" s="151" t="str">
        <f>IF('Données projet'!$B$17="","",'Données projet'!$B$17)</f>
        <v>Charme</v>
      </c>
      <c r="B14" s="152">
        <f>'Données projet'!D17</f>
        <v>0.16639999999999999</v>
      </c>
      <c r="C14" s="145">
        <f ca="1">IF(OR('Données projet'!B17="",'Données projet'!C17="",'Données projet'!C17=0%),0,Calculateur!GE3)</f>
        <v>592.58528889137358</v>
      </c>
      <c r="D14" s="145">
        <f>IF(OR('Données projet'!B17="",'Données projet'!C17="",'Données projet'!C17=0%),0,Calculateur!GF3)</f>
        <v>311.31528020403709</v>
      </c>
      <c r="E14" s="145">
        <f t="shared" ca="1" si="0"/>
        <v>311.31528020403709</v>
      </c>
      <c r="F14" s="145">
        <f t="shared" ca="1" si="1"/>
        <v>51.802862625951768</v>
      </c>
      <c r="G14" s="145">
        <f ca="1">F14*(100%-'Données projet'!$C$24)*(100%-'Données projet'!$C$25)*(100%-'Données projet'!$C$26)*(100%-'Données projet'!$C$27)</f>
        <v>46.622576363356593</v>
      </c>
      <c r="H14" s="153">
        <f>IF(OR('Données projet'!B17="",'Données projet'!C17="",'Données projet'!C17=0%),0,AVERAGE(Calculateur!$GO$3:$GO$33)*B14)</f>
        <v>0</v>
      </c>
      <c r="I14" s="147">
        <f>H14*(100%-'Données projet'!$C$24)*(100%-'Données projet'!$C$25)*(100%-'Données projet'!$C$26)*(100%-'Données projet'!$C$27)</f>
        <v>0</v>
      </c>
      <c r="J14" s="148">
        <f>IF(OR('Données projet'!B17="",'Données projet'!C17="",'Données projet'!C17=0%),0,SUM(Calculateur!$GH$3:$GH$33)*VLOOKUP('Données projet'!$B$17,Paramètres!$A$1:$I$89,9,0)*B14)</f>
        <v>0</v>
      </c>
      <c r="K14" s="149">
        <f>J14*(100%-'Données projet'!$C$24)*(100%-'Données projet'!$C$25)*(100%-'Données projet'!$C$26)*(100%-'Données projet'!$C$27)</f>
        <v>0</v>
      </c>
      <c r="L14" s="150">
        <f t="shared" ca="1" si="2"/>
        <v>46.622576363356593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4">
      <c r="A15" s="154" t="str">
        <f>IF('Données projet'!B18="","",'Données projet'!B18)</f>
        <v>Merisier</v>
      </c>
      <c r="B15" s="155">
        <f>'Données projet'!D18</f>
        <v>0.12479999999999998</v>
      </c>
      <c r="C15" s="156">
        <f ca="1">IF(OR('Données projet'!B18="",'Données projet'!C18="",'Données projet'!C18=0%),0,Calculateur!GZ3)</f>
        <v>308.85018589589453</v>
      </c>
      <c r="D15" s="156">
        <f>IF(OR('Données projet'!B18="",'Données projet'!C18="",'Données projet'!C18=0%),0,Calculateur!HA3)</f>
        <v>302.59481222418219</v>
      </c>
      <c r="E15" s="156">
        <f t="shared" ca="1" si="0"/>
        <v>302.59481222418219</v>
      </c>
      <c r="F15" s="157">
        <f t="shared" ca="1" si="1"/>
        <v>37.763832565577928</v>
      </c>
      <c r="G15" s="157">
        <f ca="1">F15*(100%-'Données projet'!$C$24)*(100%-'Données projet'!$C$25)*(100%-'Données projet'!$C$26)*(100%-'Données projet'!$C$27)</f>
        <v>33.987449309020136</v>
      </c>
      <c r="H15" s="158">
        <f>IF(OR('Données projet'!B18="",'Données projet'!C18="",'Données projet'!C18=0%),0,AVERAGE(Calculateur!$HJ$3:$HJ$33)*B15)</f>
        <v>0</v>
      </c>
      <c r="I15" s="159">
        <f>H15*(100%-'Données projet'!$C$24)*(100%-'Données projet'!$C$25)*(100%-'Données projet'!$C$26)*(100%-'Données projet'!$C$27)</f>
        <v>0</v>
      </c>
      <c r="J15" s="160">
        <f>IF(OR('Données projet'!B18="",'Données projet'!C18="",'Données projet'!C18=0%),0,SUM(Calculateur!$HC$3:$HC$33)*VLOOKUP('Données projet'!$B$18,Paramètres!$A$1:$I$89,9,0)*B15)</f>
        <v>1.7159999999999997</v>
      </c>
      <c r="K15" s="161">
        <f>J15*(100%-'Données projet'!$C$24)*(100%-'Données projet'!$C$25)*(100%-'Données projet'!$C$26)*(100%-'Données projet'!$C$27)</f>
        <v>1.5443999999999998</v>
      </c>
      <c r="L15" s="162">
        <f t="shared" ca="1" si="2"/>
        <v>35.531849309020139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4">
      <c r="A16" s="207"/>
      <c r="B16" s="211"/>
      <c r="C16" s="212"/>
      <c r="D16" s="23"/>
      <c r="E16" s="23"/>
      <c r="F16" s="163">
        <f t="shared" ref="F16:L16" ca="1" si="3">SUM(F6:F15)</f>
        <v>950.30493478013739</v>
      </c>
      <c r="G16" s="164">
        <f t="shared" ca="1" si="3"/>
        <v>855.27444130212371</v>
      </c>
      <c r="H16" s="165">
        <f t="shared" si="3"/>
        <v>0</v>
      </c>
      <c r="I16" s="165">
        <f t="shared" si="3"/>
        <v>0</v>
      </c>
      <c r="J16" s="166">
        <f t="shared" si="3"/>
        <v>39.551200000000001</v>
      </c>
      <c r="K16" s="166">
        <f t="shared" si="3"/>
        <v>35.596080000000001</v>
      </c>
      <c r="L16" s="167">
        <f t="shared" ca="1" si="3"/>
        <v>890.87052130212362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5">
      <c r="A17" s="207"/>
      <c r="B17" s="211"/>
      <c r="C17" s="212"/>
      <c r="D17" s="23"/>
      <c r="E17" s="23"/>
      <c r="F17" s="293" t="s">
        <v>246</v>
      </c>
      <c r="G17" s="294"/>
      <c r="H17" s="294"/>
      <c r="I17" s="294"/>
      <c r="J17" s="294"/>
      <c r="K17" s="294"/>
      <c r="L17" s="294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5">
      <c r="A18" s="207"/>
      <c r="B18" s="211"/>
      <c r="C18" s="212"/>
      <c r="D18" s="23"/>
      <c r="E18" s="23"/>
      <c r="F18" s="280"/>
      <c r="G18" s="280"/>
      <c r="H18" s="280"/>
      <c r="I18" s="280"/>
      <c r="J18" s="280"/>
      <c r="K18" s="280"/>
      <c r="L18" s="280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4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4">
      <c r="A21" s="168" t="str">
        <f>A6</f>
        <v>Chêne sessile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4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4">
      <c r="A39" s="168" t="str">
        <f>A7</f>
        <v>Chêne pubescent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4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4">
      <c r="A57" s="168" t="str">
        <f>A8</f>
        <v>Hêtre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4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4">
      <c r="A76" s="168" t="str">
        <f>A9</f>
        <v>Cèdre de l'Atlas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4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4">
      <c r="A94" s="168" t="str">
        <f>A10</f>
        <v>Châtaignier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4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4">
      <c r="A112" s="168" t="str">
        <f>A11</f>
        <v>Tilleul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4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4">
      <c r="A130" s="168" t="str">
        <f>A12</f>
        <v>Erable sycomore</v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4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4">
      <c r="A148" s="168" t="str">
        <f>A13</f>
        <v>Noyer</v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4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4">
      <c r="A166" s="168" t="str">
        <f>A14</f>
        <v>Charme</v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4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4">
      <c r="A184" s="168" t="str">
        <f>A15</f>
        <v>Merisier</v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G1" zoomScale="60" zoomScaleNormal="60" workbookViewId="0">
      <selection activeCell="C88" sqref="C88"/>
    </sheetView>
  </sheetViews>
  <sheetFormatPr baseColWidth="10" defaultColWidth="11.453125" defaultRowHeight="14.5" x14ac:dyDescent="0.35"/>
  <cols>
    <col min="1" max="1" width="11.453125" style="1"/>
    <col min="2" max="2" width="30.81640625" style="1" bestFit="1" customWidth="1"/>
    <col min="3" max="3" width="18.08984375" style="1" bestFit="1" customWidth="1"/>
    <col min="4" max="5" width="11.453125" style="1"/>
    <col min="6" max="6" width="14" style="1" customWidth="1"/>
    <col min="7" max="7" width="17.453125" style="1" customWidth="1"/>
    <col min="8" max="8" width="21.6328125" style="1" customWidth="1"/>
    <col min="9" max="9" width="37" style="1" customWidth="1"/>
    <col min="10" max="10" width="11.453125" style="1"/>
    <col min="11" max="11" width="8.81640625" style="1" customWidth="1"/>
    <col min="12" max="12" width="11.453125" style="1"/>
    <col min="13" max="13" width="21" style="1" customWidth="1"/>
    <col min="14" max="16" width="11.453125" style="1"/>
    <col min="17" max="17" width="8" style="1" customWidth="1"/>
    <col min="18" max="18" width="11.453125" style="1"/>
    <col min="19" max="19" width="31" style="1" customWidth="1"/>
    <col min="20" max="20" width="18.08984375" style="1" customWidth="1"/>
    <col min="21" max="21" width="16.453125" style="1" customWidth="1"/>
    <col min="22" max="22" width="17.81640625" style="1" customWidth="1"/>
    <col min="23" max="16384" width="11.453125" style="1"/>
  </cols>
  <sheetData>
    <row r="1" spans="1:4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5" thickBot="1" x14ac:dyDescent="0.65">
      <c r="A2" s="4"/>
      <c r="B2" s="281" t="s">
        <v>272</v>
      </c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5">
      <c r="A3" s="4"/>
      <c r="B3" s="4"/>
      <c r="C3" s="4"/>
      <c r="D3" s="4"/>
      <c r="E3" s="4"/>
      <c r="F3" s="4"/>
      <c r="G3" s="4"/>
      <c r="H3" s="169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5">
      <c r="A4" s="4"/>
      <c r="B4" s="4"/>
      <c r="C4" s="4"/>
      <c r="D4" s="4"/>
      <c r="E4" s="4"/>
      <c r="G4" s="4"/>
      <c r="H4" s="271" t="s">
        <v>315</v>
      </c>
      <c r="I4" s="271"/>
      <c r="K4" s="295" t="s">
        <v>253</v>
      </c>
      <c r="L4" s="296"/>
      <c r="M4" s="235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4">
      <c r="A6" s="4"/>
      <c r="B6" s="4"/>
      <c r="C6" s="4"/>
      <c r="D6" s="4"/>
      <c r="E6" s="4"/>
      <c r="F6" s="23"/>
      <c r="G6" s="4"/>
      <c r="H6" s="170"/>
      <c r="I6" s="170"/>
      <c r="J6" s="170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65">
      <c r="A7" s="240"/>
      <c r="B7" s="241"/>
      <c r="C7" s="241"/>
      <c r="D7" s="241"/>
      <c r="E7" s="242"/>
      <c r="F7" s="242" t="s">
        <v>192</v>
      </c>
      <c r="G7" s="243"/>
      <c r="H7" s="241"/>
      <c r="I7" s="241"/>
      <c r="J7" s="244"/>
      <c r="K7" s="238"/>
      <c r="L7" s="239"/>
      <c r="M7" s="239"/>
      <c r="N7" s="245" t="s">
        <v>191</v>
      </c>
      <c r="O7" s="245"/>
      <c r="P7" s="246"/>
      <c r="Q7" s="247"/>
      <c r="R7" s="305" t="s">
        <v>310</v>
      </c>
      <c r="S7" s="306"/>
      <c r="T7" s="306"/>
      <c r="U7" s="306"/>
      <c r="V7" s="307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5">
      <c r="A8" s="23"/>
      <c r="C8" s="23"/>
      <c r="D8" s="23"/>
      <c r="E8" s="23"/>
      <c r="F8" s="23"/>
      <c r="G8" s="23"/>
      <c r="H8" s="4"/>
      <c r="I8" s="4"/>
      <c r="J8" s="198"/>
      <c r="K8" s="206"/>
      <c r="L8" s="23"/>
      <c r="M8" s="23"/>
      <c r="N8" s="23"/>
      <c r="O8" s="23"/>
      <c r="P8" s="23"/>
      <c r="Q8" s="232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5">
      <c r="A9" s="91" t="s">
        <v>311</v>
      </c>
      <c r="C9" s="23"/>
      <c r="D9" s="23"/>
      <c r="E9" s="23"/>
      <c r="F9" s="228"/>
      <c r="G9" s="91" t="s">
        <v>314</v>
      </c>
      <c r="J9" s="198"/>
      <c r="K9" s="206"/>
      <c r="O9" s="23"/>
      <c r="P9" s="23"/>
      <c r="Q9" s="232"/>
      <c r="R9" s="23"/>
      <c r="S9" s="4"/>
      <c r="T9" s="36" t="s">
        <v>262</v>
      </c>
      <c r="U9" s="174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5">
      <c r="A10" s="91" t="s">
        <v>317</v>
      </c>
      <c r="C10" s="23"/>
      <c r="D10" s="23"/>
      <c r="E10" s="23"/>
      <c r="F10" s="228"/>
      <c r="G10" s="91" t="s">
        <v>316</v>
      </c>
      <c r="J10" s="198"/>
      <c r="K10" s="206"/>
      <c r="O10" s="23"/>
      <c r="P10" s="23"/>
      <c r="Q10" s="232"/>
      <c r="R10" s="23"/>
      <c r="S10" s="36" t="str">
        <f>B14</f>
        <v>Chêne sessile</v>
      </c>
      <c r="T10" s="17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-2740.23</v>
      </c>
      <c r="U10" s="176">
        <f>'Données projet'!D9</f>
        <v>0.47839999999999999</v>
      </c>
      <c r="V10" s="175">
        <f>U10*T10</f>
        <v>-1310.9260320000001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5">
      <c r="A11" s="91" t="s">
        <v>312</v>
      </c>
      <c r="B11" s="23"/>
      <c r="C11" s="23"/>
      <c r="D11" s="23"/>
      <c r="E11" s="23"/>
      <c r="F11" s="228"/>
      <c r="G11" s="91" t="s">
        <v>313</v>
      </c>
      <c r="J11" s="198"/>
      <c r="K11" s="206"/>
      <c r="M11" s="4"/>
      <c r="N11" s="4"/>
      <c r="O11" s="23"/>
      <c r="P11" s="23"/>
      <c r="Q11" s="232"/>
      <c r="R11" s="23"/>
      <c r="S11" s="36" t="str">
        <f>B45</f>
        <v>Chêne pubescent</v>
      </c>
      <c r="T11" s="237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-2981.37</v>
      </c>
      <c r="U11" s="176">
        <f>'Données projet'!D10</f>
        <v>0.35359999999999997</v>
      </c>
      <c r="V11" s="175">
        <f t="shared" ref="V11" si="0">U11*T11</f>
        <v>-1054.2124319999998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5">
      <c r="B12" s="23"/>
      <c r="C12" s="23"/>
      <c r="D12" s="23"/>
      <c r="E12" s="23"/>
      <c r="F12" s="228"/>
      <c r="J12" s="198"/>
      <c r="K12" s="206"/>
      <c r="L12" s="200"/>
      <c r="M12" s="23"/>
      <c r="N12" s="23"/>
      <c r="O12" s="23"/>
      <c r="P12" s="23"/>
      <c r="Q12" s="232"/>
      <c r="R12" s="23"/>
      <c r="S12" s="36" t="str">
        <f>B76</f>
        <v>Hêtre</v>
      </c>
      <c r="T12" s="237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-2036.8477077811676</v>
      </c>
      <c r="U12" s="176">
        <f>'Données projet'!D11</f>
        <v>0.41599999999999998</v>
      </c>
      <c r="V12" s="175">
        <f t="shared" ref="V12:V19" si="1">U12*T12</f>
        <v>-847.32864643696564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5">
      <c r="B13" s="23"/>
      <c r="C13" s="23"/>
      <c r="D13" s="23"/>
      <c r="E13" s="23"/>
      <c r="F13" s="228"/>
      <c r="J13" s="23"/>
      <c r="K13" s="206"/>
      <c r="L13" s="91" t="s">
        <v>257</v>
      </c>
      <c r="M13" s="23"/>
      <c r="N13" s="23"/>
      <c r="O13" s="23"/>
      <c r="P13" s="23"/>
      <c r="Q13" s="232"/>
      <c r="R13" s="23"/>
      <c r="S13" s="36" t="str">
        <f>B107</f>
        <v>Cèdre de l'Atlas</v>
      </c>
      <c r="T13" s="237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-3766.07</v>
      </c>
      <c r="U13" s="176">
        <f>'Données projet'!D12</f>
        <v>0.33279999999999998</v>
      </c>
      <c r="V13" s="175">
        <f t="shared" si="1"/>
        <v>-1253.3480959999999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5">
      <c r="A14" s="46" t="s">
        <v>165</v>
      </c>
      <c r="B14" s="172" t="str">
        <f>IF('Données projet'!$B$9="","",'Données projet'!$B$9)</f>
        <v>Chêne sessile</v>
      </c>
      <c r="C14" s="4"/>
      <c r="D14" s="4"/>
      <c r="E14" s="4"/>
      <c r="F14" s="228"/>
      <c r="G14" s="23"/>
      <c r="H14" s="36" t="s">
        <v>178</v>
      </c>
      <c r="I14" s="36" t="s">
        <v>290</v>
      </c>
      <c r="J14" s="199"/>
      <c r="K14" s="171"/>
      <c r="L14" s="200"/>
      <c r="M14" s="23"/>
      <c r="N14" s="23"/>
      <c r="O14" s="4"/>
      <c r="P14" s="4"/>
      <c r="Q14" s="233"/>
      <c r="R14" s="4"/>
      <c r="S14" s="36" t="str">
        <f>B138</f>
        <v>Châtaignier</v>
      </c>
      <c r="T14" s="237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-1699.7174866092457</v>
      </c>
      <c r="U14" s="176">
        <f>'Données projet'!D13</f>
        <v>0.29120000000000001</v>
      </c>
      <c r="V14" s="175">
        <f t="shared" si="1"/>
        <v>-494.95773210061236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5">
      <c r="A15" s="4"/>
      <c r="B15" s="4"/>
      <c r="C15" s="4"/>
      <c r="D15" s="4"/>
      <c r="E15" s="4"/>
      <c r="F15" s="228"/>
      <c r="G15" s="298" t="s">
        <v>318</v>
      </c>
      <c r="H15" s="188">
        <v>0</v>
      </c>
      <c r="I15" s="189">
        <v>0</v>
      </c>
      <c r="J15" s="200"/>
      <c r="K15" s="206"/>
      <c r="L15" s="200"/>
      <c r="M15" s="23"/>
      <c r="N15" s="23"/>
      <c r="O15" s="23"/>
      <c r="P15" s="23"/>
      <c r="Q15" s="232"/>
      <c r="R15" s="23"/>
      <c r="S15" s="36" t="str">
        <f>B169</f>
        <v>Tilleul</v>
      </c>
      <c r="T15" s="237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-3265.63</v>
      </c>
      <c r="U15" s="176">
        <f>'Données projet'!D14</f>
        <v>0.24959999999999996</v>
      </c>
      <c r="V15" s="175">
        <f t="shared" si="1"/>
        <v>-815.10124799999994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8"/>
      <c r="G16" s="298"/>
      <c r="H16" s="188"/>
      <c r="I16" s="189"/>
      <c r="J16" s="200"/>
      <c r="K16" s="206"/>
      <c r="L16" s="295" t="s">
        <v>254</v>
      </c>
      <c r="M16" s="296"/>
      <c r="N16" s="2"/>
      <c r="O16" s="23"/>
      <c r="P16" s="23"/>
      <c r="Q16" s="232"/>
      <c r="R16" s="23"/>
      <c r="S16" s="36" t="str">
        <f>B200</f>
        <v>Erable sycomore</v>
      </c>
      <c r="T16" s="237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-1642.0174866092459</v>
      </c>
      <c r="U16" s="176">
        <f>'Données projet'!D15</f>
        <v>0.49919999999999992</v>
      </c>
      <c r="V16" s="175">
        <f t="shared" si="1"/>
        <v>-819.69512931533541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5">
      <c r="A17" s="49">
        <v>0</v>
      </c>
      <c r="B17" s="197" t="s">
        <v>132</v>
      </c>
      <c r="C17" s="196" t="s">
        <v>132</v>
      </c>
      <c r="D17" s="195" t="s">
        <v>132</v>
      </c>
      <c r="E17" s="191">
        <v>2740.23</v>
      </c>
      <c r="F17" s="228"/>
      <c r="G17" s="298"/>
      <c r="J17" s="200"/>
      <c r="K17" s="206"/>
      <c r="L17" s="268" t="s">
        <v>289</v>
      </c>
      <c r="M17" s="270"/>
      <c r="N17" s="173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2"/>
      <c r="R17" s="23"/>
      <c r="S17" s="36" t="str">
        <f>B231</f>
        <v>Noyer</v>
      </c>
      <c r="T17" s="237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-1688.1774866092458</v>
      </c>
      <c r="U17" s="176">
        <f>'Données projet'!D16</f>
        <v>0.20799999999999999</v>
      </c>
      <c r="V17" s="175">
        <f t="shared" si="1"/>
        <v>-351.14091721472312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5">
      <c r="A18" s="49">
        <v>1</v>
      </c>
      <c r="B18" s="197" t="s">
        <v>132</v>
      </c>
      <c r="C18" s="196" t="s">
        <v>132</v>
      </c>
      <c r="D18" s="195" t="s">
        <v>132</v>
      </c>
      <c r="E18" s="191"/>
      <c r="F18" s="228"/>
      <c r="G18" s="298"/>
      <c r="J18" s="200"/>
      <c r="K18" s="206"/>
      <c r="L18" s="268" t="s">
        <v>255</v>
      </c>
      <c r="M18" s="270"/>
      <c r="N18" s="190"/>
      <c r="O18" s="23"/>
      <c r="P18" s="23"/>
      <c r="Q18" s="232"/>
      <c r="R18" s="23"/>
      <c r="S18" s="36" t="str">
        <f>B262</f>
        <v>Charme</v>
      </c>
      <c r="T18" s="237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-2271.5</v>
      </c>
      <c r="U18" s="176">
        <f>'Données projet'!D17</f>
        <v>0.16639999999999999</v>
      </c>
      <c r="V18" s="175">
        <f t="shared" si="1"/>
        <v>-377.9776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5">
      <c r="A19" s="49">
        <v>2</v>
      </c>
      <c r="B19" s="197" t="s">
        <v>132</v>
      </c>
      <c r="C19" s="196" t="s">
        <v>132</v>
      </c>
      <c r="D19" s="195" t="s">
        <v>132</v>
      </c>
      <c r="E19" s="191"/>
      <c r="F19" s="228"/>
      <c r="G19" s="298"/>
      <c r="H19" s="210" t="s">
        <v>178</v>
      </c>
      <c r="I19" s="210" t="s">
        <v>287</v>
      </c>
      <c r="J19" s="91"/>
      <c r="K19" s="171"/>
      <c r="L19" s="295" t="s">
        <v>288</v>
      </c>
      <c r="M19" s="296"/>
      <c r="N19" s="177">
        <f>N17*N18</f>
        <v>0</v>
      </c>
      <c r="O19" s="23"/>
      <c r="P19" s="4"/>
      <c r="Q19" s="233"/>
      <c r="R19" s="4"/>
      <c r="S19" s="36" t="str">
        <f>B293</f>
        <v>Merisier</v>
      </c>
      <c r="T19" s="237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-2567.2022512549715</v>
      </c>
      <c r="U19" s="176">
        <f>'Données projet'!D18</f>
        <v>0.12479999999999998</v>
      </c>
      <c r="V19" s="175">
        <f t="shared" si="1"/>
        <v>-320.3868409566204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5">
      <c r="A20" s="49">
        <v>3</v>
      </c>
      <c r="B20" s="197" t="s">
        <v>132</v>
      </c>
      <c r="C20" s="196" t="s">
        <v>132</v>
      </c>
      <c r="D20" s="195" t="s">
        <v>132</v>
      </c>
      <c r="E20" s="191"/>
      <c r="F20" s="228"/>
      <c r="G20" s="298"/>
      <c r="H20" s="188">
        <v>0</v>
      </c>
      <c r="I20" s="189">
        <v>5617.76</v>
      </c>
      <c r="J20" s="4"/>
      <c r="K20" s="171"/>
      <c r="O20" s="23"/>
      <c r="P20" s="4"/>
      <c r="Q20" s="233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5">
      <c r="A21" s="49">
        <v>4</v>
      </c>
      <c r="B21" s="197" t="s">
        <v>132</v>
      </c>
      <c r="C21" s="196" t="s">
        <v>132</v>
      </c>
      <c r="D21" s="195" t="s">
        <v>132</v>
      </c>
      <c r="E21" s="191"/>
      <c r="F21" s="228"/>
      <c r="H21" s="188">
        <v>1</v>
      </c>
      <c r="I21" s="189"/>
      <c r="K21" s="171"/>
      <c r="O21" s="23"/>
      <c r="P21" s="4"/>
      <c r="Q21" s="233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5">
      <c r="A22" s="49">
        <v>5</v>
      </c>
      <c r="B22" s="197" t="s">
        <v>132</v>
      </c>
      <c r="C22" s="196" t="s">
        <v>132</v>
      </c>
      <c r="D22" s="195" t="s">
        <v>132</v>
      </c>
      <c r="E22" s="191"/>
      <c r="F22" s="228"/>
      <c r="H22" s="188">
        <v>2</v>
      </c>
      <c r="I22" s="189"/>
      <c r="K22" s="171"/>
      <c r="O22" s="23"/>
      <c r="P22" s="4"/>
      <c r="Q22" s="233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5">
      <c r="A23" s="178">
        <f>'Données projet'!A36</f>
        <v>30</v>
      </c>
      <c r="B23" s="179">
        <f>'Données projet'!D36</f>
        <v>0</v>
      </c>
      <c r="C23" s="191"/>
      <c r="D23" s="180">
        <f>B23*C23</f>
        <v>0</v>
      </c>
      <c r="E23" s="191"/>
      <c r="F23" s="228"/>
      <c r="H23" s="188">
        <v>3</v>
      </c>
      <c r="I23" s="189"/>
      <c r="K23" s="206"/>
      <c r="L23" s="297" t="s">
        <v>260</v>
      </c>
      <c r="M23" s="297"/>
      <c r="N23" s="297"/>
      <c r="O23" s="23"/>
      <c r="P23" s="23"/>
      <c r="Q23" s="232"/>
      <c r="R23" s="23"/>
      <c r="S23" s="36" t="s">
        <v>264</v>
      </c>
      <c r="T23" s="310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-25172.48587402426</v>
      </c>
      <c r="U23" s="310"/>
      <c r="V23" s="310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5">
      <c r="A24" s="178">
        <f>'Données projet'!A37</f>
        <v>35</v>
      </c>
      <c r="B24" s="179">
        <f>'Données projet'!D37</f>
        <v>69.58</v>
      </c>
      <c r="C24" s="191"/>
      <c r="D24" s="180">
        <f t="shared" ref="D24:D42" si="2">B24*C24</f>
        <v>0</v>
      </c>
      <c r="E24" s="191"/>
      <c r="F24" s="231"/>
      <c r="H24" s="188">
        <v>4</v>
      </c>
      <c r="I24" s="189"/>
      <c r="K24" s="206"/>
      <c r="O24" s="23"/>
      <c r="P24" s="23"/>
      <c r="Q24" s="232"/>
      <c r="R24" s="23"/>
      <c r="S24" s="36" t="s">
        <v>261</v>
      </c>
      <c r="T24" s="311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11"/>
      <c r="V24" s="311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5">
      <c r="A25" s="178">
        <f>'Données projet'!A38</f>
        <v>41</v>
      </c>
      <c r="B25" s="179">
        <f>'Données projet'!D38</f>
        <v>47.41</v>
      </c>
      <c r="C25" s="191"/>
      <c r="D25" s="180">
        <f t="shared" si="2"/>
        <v>0</v>
      </c>
      <c r="E25" s="191"/>
      <c r="F25" s="231"/>
      <c r="H25" s="188">
        <v>5</v>
      </c>
      <c r="I25" s="189"/>
      <c r="K25" s="206"/>
      <c r="L25" s="128" t="s">
        <v>285</v>
      </c>
      <c r="M25" s="128"/>
      <c r="N25" s="128"/>
      <c r="O25" s="128"/>
      <c r="P25" s="190">
        <v>0</v>
      </c>
      <c r="Q25" s="232"/>
      <c r="R25" s="23"/>
      <c r="S25" s="184" t="s">
        <v>266</v>
      </c>
      <c r="T25" s="312">
        <f ca="1">T23-T24</f>
        <v>-25172.48587402426</v>
      </c>
      <c r="U25" s="312"/>
      <c r="V25" s="312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5">
      <c r="A26" s="178">
        <f>'Données projet'!A39</f>
        <v>48</v>
      </c>
      <c r="B26" s="179">
        <f>'Données projet'!D39</f>
        <v>61.12</v>
      </c>
      <c r="C26" s="191"/>
      <c r="D26" s="180">
        <f t="shared" si="2"/>
        <v>0</v>
      </c>
      <c r="E26" s="191"/>
      <c r="F26" s="231"/>
      <c r="G26" s="227"/>
      <c r="H26" s="188"/>
      <c r="I26" s="189"/>
      <c r="K26" s="206"/>
      <c r="L26" s="299" t="s">
        <v>258</v>
      </c>
      <c r="M26" s="300"/>
      <c r="N26" s="300"/>
      <c r="O26" s="300"/>
      <c r="P26" s="301"/>
      <c r="Q26" s="232"/>
      <c r="R26" s="23"/>
      <c r="S26" s="184" t="s">
        <v>265</v>
      </c>
      <c r="T26" s="309" t="str">
        <f ca="1">IF(T25&lt;0,"Votre projet est additionnel","Votre projet n'est pas additionnel")</f>
        <v>Votre projet est additionnel</v>
      </c>
      <c r="U26" s="309"/>
      <c r="V26" s="309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5">
      <c r="A27" s="178">
        <f>'Données projet'!A40</f>
        <v>55</v>
      </c>
      <c r="B27" s="179">
        <f>'Données projet'!D40</f>
        <v>58.24</v>
      </c>
      <c r="C27" s="191"/>
      <c r="D27" s="180">
        <f t="shared" si="2"/>
        <v>0</v>
      </c>
      <c r="E27" s="191"/>
      <c r="F27" s="231"/>
      <c r="G27" s="227"/>
      <c r="H27" s="188"/>
      <c r="I27" s="189"/>
      <c r="K27" s="206"/>
      <c r="L27" s="302"/>
      <c r="M27" s="303"/>
      <c r="N27" s="303"/>
      <c r="O27" s="303"/>
      <c r="P27" s="304"/>
      <c r="Q27" s="232"/>
      <c r="R27" s="23"/>
      <c r="S27" s="308" t="s">
        <v>267</v>
      </c>
      <c r="T27" s="308"/>
      <c r="U27" s="308"/>
      <c r="V27" s="308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5">
      <c r="A28" s="178">
        <f>'Données projet'!A41</f>
        <v>63</v>
      </c>
      <c r="B28" s="179">
        <f>'Données projet'!D41</f>
        <v>54.21</v>
      </c>
      <c r="C28" s="191"/>
      <c r="D28" s="180">
        <f t="shared" si="2"/>
        <v>0</v>
      </c>
      <c r="E28" s="191"/>
      <c r="F28" s="231"/>
      <c r="G28" s="203"/>
      <c r="H28" s="188"/>
      <c r="I28" s="189"/>
      <c r="K28" s="206"/>
      <c r="Q28" s="232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5">
      <c r="A29" s="178">
        <f>'Données projet'!A42</f>
        <v>71</v>
      </c>
      <c r="B29" s="179">
        <f>'Données projet'!D42</f>
        <v>52.07</v>
      </c>
      <c r="C29" s="191"/>
      <c r="D29" s="180">
        <f t="shared" si="2"/>
        <v>0</v>
      </c>
      <c r="E29" s="191"/>
      <c r="F29" s="231"/>
      <c r="G29" s="201"/>
      <c r="H29" s="188"/>
      <c r="I29" s="189"/>
      <c r="K29" s="206"/>
      <c r="O29" s="23"/>
      <c r="P29" s="23"/>
      <c r="Q29" s="232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5">
      <c r="A30" s="178">
        <f>'Données projet'!A43</f>
        <v>80</v>
      </c>
      <c r="B30" s="179">
        <f>'Données projet'!D43</f>
        <v>59.57</v>
      </c>
      <c r="C30" s="191"/>
      <c r="D30" s="180">
        <f t="shared" si="2"/>
        <v>0</v>
      </c>
      <c r="E30" s="191"/>
      <c r="F30" s="231"/>
      <c r="G30" s="201"/>
      <c r="H30" s="188"/>
      <c r="I30" s="189"/>
      <c r="K30" s="181"/>
      <c r="L30" s="36" t="s">
        <v>259</v>
      </c>
      <c r="M30" s="182">
        <f ca="1">SUM(OFFSET($P$33,0,0,MIN('Données projet'!$E$9:$E$18)+1,1))</f>
        <v>0</v>
      </c>
      <c r="O30" s="4"/>
      <c r="P30" s="4"/>
      <c r="Q30" s="233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5">
      <c r="A31" s="178">
        <f>'Données projet'!A44</f>
        <v>89</v>
      </c>
      <c r="B31" s="179">
        <f>'Données projet'!D44</f>
        <v>64.5</v>
      </c>
      <c r="C31" s="191"/>
      <c r="D31" s="180">
        <f t="shared" si="2"/>
        <v>0</v>
      </c>
      <c r="E31" s="191"/>
      <c r="F31" s="231"/>
      <c r="G31" s="201"/>
      <c r="H31" s="188"/>
      <c r="I31" s="189"/>
      <c r="K31" s="171"/>
      <c r="Q31" s="232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5">
      <c r="A32" s="178">
        <f>'Données projet'!A45</f>
        <v>99</v>
      </c>
      <c r="B32" s="179">
        <f>'Données projet'!D45</f>
        <v>62.94</v>
      </c>
      <c r="C32" s="191"/>
      <c r="D32" s="180">
        <f t="shared" si="2"/>
        <v>0</v>
      </c>
      <c r="E32" s="191"/>
      <c r="F32" s="231"/>
      <c r="G32" s="201"/>
      <c r="H32" s="188"/>
      <c r="I32" s="189"/>
      <c r="K32" s="171"/>
      <c r="N32" s="4"/>
      <c r="O32" s="84" t="s">
        <v>178</v>
      </c>
      <c r="P32" s="84" t="s">
        <v>252</v>
      </c>
      <c r="Q32" s="232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5">
      <c r="A33" s="178">
        <f>'Données projet'!A46</f>
        <v>109</v>
      </c>
      <c r="B33" s="179">
        <f>'Données projet'!D46</f>
        <v>66.959999999999994</v>
      </c>
      <c r="C33" s="191"/>
      <c r="D33" s="180">
        <f t="shared" si="2"/>
        <v>0</v>
      </c>
      <c r="E33" s="191"/>
      <c r="F33" s="231"/>
      <c r="G33" s="201"/>
      <c r="H33" s="188"/>
      <c r="I33" s="189"/>
      <c r="K33" s="171"/>
      <c r="L33" s="4"/>
      <c r="M33" s="4"/>
      <c r="N33" s="4"/>
      <c r="O33" s="192">
        <v>0</v>
      </c>
      <c r="P33" s="183">
        <f t="shared" ref="P33:P64" si="3">$P$25/(1+$M$4)^O33</f>
        <v>0</v>
      </c>
      <c r="Q33" s="232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5">
      <c r="A34" s="178">
        <f>'Données projet'!A47</f>
        <v>119</v>
      </c>
      <c r="B34" s="179">
        <f>'Données projet'!D47</f>
        <v>196.46</v>
      </c>
      <c r="C34" s="191"/>
      <c r="D34" s="180">
        <f t="shared" si="2"/>
        <v>0</v>
      </c>
      <c r="E34" s="191"/>
      <c r="F34" s="231"/>
      <c r="G34" s="201"/>
      <c r="H34" s="188"/>
      <c r="I34" s="189"/>
      <c r="K34" s="171"/>
      <c r="L34" s="96"/>
      <c r="M34" s="96"/>
      <c r="N34" s="248"/>
      <c r="O34" s="192">
        <f>IF(O33+1&lt;=MIN('Données projet'!$E$9:$E$18),O33+1,"STOP")</f>
        <v>1</v>
      </c>
      <c r="P34" s="183">
        <f t="shared" si="3"/>
        <v>0</v>
      </c>
      <c r="Q34" s="232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5">
      <c r="A35" s="178">
        <f>'Données projet'!A48</f>
        <v>123</v>
      </c>
      <c r="B35" s="179">
        <f>'Données projet'!D48</f>
        <v>100.6</v>
      </c>
      <c r="C35" s="191"/>
      <c r="D35" s="180">
        <f t="shared" si="2"/>
        <v>0</v>
      </c>
      <c r="E35" s="191"/>
      <c r="F35" s="231"/>
      <c r="G35" s="201"/>
      <c r="H35" s="188"/>
      <c r="I35" s="189"/>
      <c r="K35" s="171"/>
      <c r="L35" s="96"/>
      <c r="M35" s="96"/>
      <c r="N35" s="248"/>
      <c r="O35" s="192">
        <f>IF(O34+1&lt;=MIN('Données projet'!$E$9:$E$18),O34+1,"STOP")</f>
        <v>2</v>
      </c>
      <c r="P35" s="183">
        <f t="shared" si="3"/>
        <v>0</v>
      </c>
      <c r="Q35" s="232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5">
      <c r="A36" s="178">
        <f>'Données projet'!A49</f>
        <v>127</v>
      </c>
      <c r="B36" s="179">
        <f>'Données projet'!D49</f>
        <v>65.02</v>
      </c>
      <c r="C36" s="191"/>
      <c r="D36" s="180">
        <f t="shared" si="2"/>
        <v>0</v>
      </c>
      <c r="E36" s="191"/>
      <c r="F36" s="231"/>
      <c r="G36" s="201"/>
      <c r="H36" s="188"/>
      <c r="I36" s="189"/>
      <c r="K36" s="171"/>
      <c r="L36" s="23"/>
      <c r="M36" s="23"/>
      <c r="N36" s="23"/>
      <c r="O36" s="192">
        <f>IF(O35+1&lt;=MIN('Données projet'!$E$9:$E$18),O35+1,"STOP")</f>
        <v>3</v>
      </c>
      <c r="P36" s="183">
        <f t="shared" si="3"/>
        <v>0</v>
      </c>
      <c r="Q36" s="232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5">
      <c r="A37" s="178">
        <f>'Données projet'!A50</f>
        <v>131</v>
      </c>
      <c r="B37" s="179">
        <f>'Données projet'!D50</f>
        <v>143.84</v>
      </c>
      <c r="C37" s="191"/>
      <c r="D37" s="180">
        <f t="shared" si="2"/>
        <v>0</v>
      </c>
      <c r="E37" s="191"/>
      <c r="F37" s="231"/>
      <c r="G37" s="201"/>
      <c r="H37" s="188"/>
      <c r="I37" s="189"/>
      <c r="K37" s="171"/>
      <c r="L37" s="23"/>
      <c r="M37" s="23"/>
      <c r="N37" s="23"/>
      <c r="O37" s="192">
        <f>IF(O36+1&lt;=MIN('Données projet'!$E$9:$E$18),O36+1,"STOP")</f>
        <v>4</v>
      </c>
      <c r="P37" s="183">
        <f t="shared" si="3"/>
        <v>0</v>
      </c>
      <c r="Q37" s="232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5">
      <c r="A38" s="178">
        <f>'Données projet'!A51</f>
        <v>0</v>
      </c>
      <c r="B38" s="179">
        <f>'Données projet'!D51</f>
        <v>0</v>
      </c>
      <c r="C38" s="191"/>
      <c r="D38" s="180">
        <f t="shared" si="2"/>
        <v>0</v>
      </c>
      <c r="E38" s="191"/>
      <c r="F38" s="231"/>
      <c r="G38" s="201"/>
      <c r="H38" s="188"/>
      <c r="I38" s="189"/>
      <c r="K38" s="171"/>
      <c r="L38" s="23"/>
      <c r="M38" s="23"/>
      <c r="N38" s="23"/>
      <c r="O38" s="192">
        <f>IF(O37+1&lt;=MIN('Données projet'!$E$9:$E$18),O37+1,"STOP")</f>
        <v>5</v>
      </c>
      <c r="P38" s="183">
        <f t="shared" si="3"/>
        <v>0</v>
      </c>
      <c r="Q38" s="232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5">
      <c r="A39" s="178">
        <f>'Données projet'!A52</f>
        <v>0</v>
      </c>
      <c r="B39" s="179">
        <f>'Données projet'!D52</f>
        <v>0</v>
      </c>
      <c r="C39" s="191"/>
      <c r="D39" s="180">
        <f t="shared" si="2"/>
        <v>0</v>
      </c>
      <c r="E39" s="191"/>
      <c r="F39" s="231"/>
      <c r="G39" s="201"/>
      <c r="H39" s="188"/>
      <c r="I39" s="189"/>
      <c r="K39" s="206"/>
      <c r="L39" s="23"/>
      <c r="M39" s="23"/>
      <c r="N39" s="23"/>
      <c r="O39" s="192">
        <f>IF(O38+1&lt;=MIN('Données projet'!$E$9:$E$18),O38+1,"STOP")</f>
        <v>6</v>
      </c>
      <c r="P39" s="183">
        <f t="shared" si="3"/>
        <v>0</v>
      </c>
      <c r="Q39" s="232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5">
      <c r="A40" s="178">
        <f>'Données projet'!A53</f>
        <v>0</v>
      </c>
      <c r="B40" s="179">
        <f>'Données projet'!D53</f>
        <v>0</v>
      </c>
      <c r="C40" s="191"/>
      <c r="D40" s="180">
        <f t="shared" si="2"/>
        <v>0</v>
      </c>
      <c r="E40" s="191"/>
      <c r="F40" s="231"/>
      <c r="G40" s="201"/>
      <c r="H40" s="188"/>
      <c r="I40" s="189"/>
      <c r="K40" s="206"/>
      <c r="L40" s="23"/>
      <c r="M40" s="23"/>
      <c r="N40" s="23"/>
      <c r="O40" s="192">
        <f>IF(O39+1&lt;=MIN('Données projet'!$E$9:$E$18),O39+1,"STOP")</f>
        <v>7</v>
      </c>
      <c r="P40" s="183">
        <f t="shared" si="3"/>
        <v>0</v>
      </c>
      <c r="Q40" s="232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5">
      <c r="A41" s="178">
        <f>'Données projet'!A54</f>
        <v>0</v>
      </c>
      <c r="B41" s="179">
        <f>'Données projet'!D54</f>
        <v>0</v>
      </c>
      <c r="C41" s="191"/>
      <c r="D41" s="180">
        <f t="shared" si="2"/>
        <v>0</v>
      </c>
      <c r="E41" s="191"/>
      <c r="F41" s="231"/>
      <c r="G41" s="201"/>
      <c r="H41" s="188"/>
      <c r="I41" s="189"/>
      <c r="K41" s="206"/>
      <c r="L41" s="23"/>
      <c r="M41" s="23"/>
      <c r="N41" s="23"/>
      <c r="O41" s="192">
        <f>IF(O40+1&lt;=MIN('Données projet'!$E$9:$E$18),O40+1,"STOP")</f>
        <v>8</v>
      </c>
      <c r="P41" s="183">
        <f t="shared" si="3"/>
        <v>0</v>
      </c>
      <c r="Q41" s="232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5">
      <c r="A42" s="178">
        <f>'Données projet'!A55</f>
        <v>0</v>
      </c>
      <c r="B42" s="179">
        <f>'Données projet'!D55</f>
        <v>0</v>
      </c>
      <c r="C42" s="191"/>
      <c r="D42" s="180">
        <f t="shared" si="2"/>
        <v>0</v>
      </c>
      <c r="E42" s="191"/>
      <c r="F42" s="231"/>
      <c r="G42" s="201"/>
      <c r="H42" s="188"/>
      <c r="I42" s="189"/>
      <c r="K42" s="206"/>
      <c r="L42" s="23"/>
      <c r="M42" s="23"/>
      <c r="N42" s="23"/>
      <c r="O42" s="192">
        <f>IF(O41+1&lt;=MIN('Données projet'!$E$9:$E$18),O41+1,"STOP")</f>
        <v>9</v>
      </c>
      <c r="P42" s="183">
        <f t="shared" si="3"/>
        <v>0</v>
      </c>
      <c r="Q42" s="232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5">
      <c r="A43" s="185"/>
      <c r="B43" s="185"/>
      <c r="C43" s="185"/>
      <c r="D43" s="225"/>
      <c r="E43" s="225"/>
      <c r="F43" s="236"/>
      <c r="G43" s="201"/>
      <c r="H43" s="188"/>
      <c r="I43" s="189"/>
      <c r="K43" s="206"/>
      <c r="L43" s="23"/>
      <c r="M43" s="23"/>
      <c r="N43" s="23"/>
      <c r="O43" s="192">
        <f>IF(O42+1&lt;=MIN('Données projet'!$E$9:$E$18),O42+1,"STOP")</f>
        <v>10</v>
      </c>
      <c r="P43" s="183">
        <f t="shared" si="3"/>
        <v>0</v>
      </c>
      <c r="Q43" s="233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5">
      <c r="A44" s="4"/>
      <c r="B44" s="4"/>
      <c r="C44" s="4"/>
      <c r="D44" s="4"/>
      <c r="E44" s="4"/>
      <c r="F44" s="228"/>
      <c r="G44" s="201"/>
      <c r="H44" s="188"/>
      <c r="I44" s="189"/>
      <c r="K44" s="206"/>
      <c r="L44" s="23"/>
      <c r="M44" s="23"/>
      <c r="N44" s="23"/>
      <c r="O44" s="192">
        <f>IF(O43+1&lt;=MIN('Données projet'!$E$9:$E$18),O43+1,"STOP")</f>
        <v>11</v>
      </c>
      <c r="P44" s="183">
        <f t="shared" si="3"/>
        <v>0</v>
      </c>
      <c r="Q44" s="233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5">
      <c r="A45" s="46" t="s">
        <v>166</v>
      </c>
      <c r="B45" s="172" t="str">
        <f>IF('Données projet'!$B$10="","",'Données projet'!$B$10)</f>
        <v>Chêne pubescent</v>
      </c>
      <c r="C45" s="4"/>
      <c r="D45" s="4"/>
      <c r="E45" s="4"/>
      <c r="F45" s="228"/>
      <c r="G45" s="201"/>
      <c r="H45" s="188"/>
      <c r="I45" s="189"/>
      <c r="J45" s="23"/>
      <c r="K45" s="206"/>
      <c r="L45" s="23"/>
      <c r="M45" s="23"/>
      <c r="N45" s="23"/>
      <c r="O45" s="192">
        <f>IF(O44+1&lt;=MIN('Données projet'!$E$9:$E$18),O44+1,"STOP")</f>
        <v>12</v>
      </c>
      <c r="P45" s="183">
        <f t="shared" si="3"/>
        <v>0</v>
      </c>
      <c r="Q45" s="233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5">
      <c r="A46" s="4"/>
      <c r="B46" s="4"/>
      <c r="C46" s="4"/>
      <c r="D46" s="4"/>
      <c r="E46" s="4"/>
      <c r="F46" s="228"/>
      <c r="G46" s="201"/>
      <c r="H46" s="188"/>
      <c r="I46" s="189"/>
      <c r="J46" s="23"/>
      <c r="K46" s="206"/>
      <c r="L46" s="202"/>
      <c r="M46" s="202"/>
      <c r="N46" s="202"/>
      <c r="O46" s="192">
        <f>IF(O45+1&lt;=MIN('Données projet'!$E$9:$E$18),O45+1,"STOP")</f>
        <v>13</v>
      </c>
      <c r="P46" s="186">
        <f t="shared" si="3"/>
        <v>0</v>
      </c>
      <c r="Q46" s="233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29"/>
      <c r="G47" s="201"/>
      <c r="H47" s="188"/>
      <c r="I47" s="189"/>
      <c r="J47" s="23"/>
      <c r="K47" s="206"/>
      <c r="L47" s="4"/>
      <c r="M47" s="4"/>
      <c r="N47" s="4"/>
      <c r="O47" s="192">
        <f>IF(O46+1&lt;=MIN('Données projet'!$E$9:$E$18),O46+1,"STOP")</f>
        <v>14</v>
      </c>
      <c r="P47" s="183">
        <f t="shared" si="3"/>
        <v>0</v>
      </c>
      <c r="Q47" s="233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5">
      <c r="A48" s="49">
        <v>0</v>
      </c>
      <c r="B48" s="197" t="s">
        <v>132</v>
      </c>
      <c r="C48" s="196" t="s">
        <v>132</v>
      </c>
      <c r="D48" s="195" t="s">
        <v>132</v>
      </c>
      <c r="E48" s="191">
        <v>2981.37</v>
      </c>
      <c r="F48" s="229"/>
      <c r="G48" s="201"/>
      <c r="H48" s="188"/>
      <c r="I48" s="189"/>
      <c r="J48" s="23"/>
      <c r="K48" s="206"/>
      <c r="L48" s="4"/>
      <c r="M48" s="4"/>
      <c r="N48" s="4"/>
      <c r="O48" s="192">
        <f>IF(O47+1&lt;=MIN('Données projet'!$E$9:$E$18),O47+1,"STOP")</f>
        <v>15</v>
      </c>
      <c r="P48" s="183">
        <f t="shared" si="3"/>
        <v>0</v>
      </c>
      <c r="Q48" s="233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3" customFormat="1" ht="17.25" customHeight="1" x14ac:dyDescent="0.35">
      <c r="A49" s="49">
        <v>1</v>
      </c>
      <c r="B49" s="197" t="s">
        <v>132</v>
      </c>
      <c r="C49" s="196" t="s">
        <v>132</v>
      </c>
      <c r="D49" s="195" t="s">
        <v>132</v>
      </c>
      <c r="E49" s="191"/>
      <c r="F49" s="229"/>
      <c r="G49" s="202"/>
      <c r="H49" s="188"/>
      <c r="I49" s="189"/>
      <c r="J49" s="202"/>
      <c r="K49" s="208"/>
      <c r="L49" s="4"/>
      <c r="M49" s="4"/>
      <c r="N49" s="4"/>
      <c r="O49" s="192">
        <f>IF(O48+1&lt;=MIN('Données projet'!$E$9:$E$18),O48+1,"STOP")</f>
        <v>16</v>
      </c>
      <c r="P49" s="183">
        <f t="shared" si="3"/>
        <v>0</v>
      </c>
      <c r="Q49" s="234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</row>
    <row r="50" spans="1:56" x14ac:dyDescent="0.35">
      <c r="A50" s="49">
        <v>2</v>
      </c>
      <c r="B50" s="197" t="s">
        <v>132</v>
      </c>
      <c r="C50" s="196" t="s">
        <v>132</v>
      </c>
      <c r="D50" s="195" t="s">
        <v>132</v>
      </c>
      <c r="E50" s="191"/>
      <c r="F50" s="229"/>
      <c r="G50" s="23"/>
      <c r="H50" s="188"/>
      <c r="I50" s="189"/>
      <c r="J50" s="23"/>
      <c r="K50" s="171"/>
      <c r="L50" s="4"/>
      <c r="M50" s="4"/>
      <c r="N50" s="4"/>
      <c r="O50" s="192">
        <f>IF(O49+1&lt;=MIN('Données projet'!$E$9:$E$18),O49+1,"STOP")</f>
        <v>17</v>
      </c>
      <c r="P50" s="183">
        <f t="shared" si="3"/>
        <v>0</v>
      </c>
      <c r="Q50" s="233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5">
      <c r="A51" s="49">
        <v>3</v>
      </c>
      <c r="B51" s="197" t="s">
        <v>132</v>
      </c>
      <c r="C51" s="196" t="s">
        <v>132</v>
      </c>
      <c r="D51" s="195" t="s">
        <v>132</v>
      </c>
      <c r="E51" s="191"/>
      <c r="F51" s="229"/>
      <c r="G51" s="23"/>
      <c r="H51" s="188"/>
      <c r="I51" s="189"/>
      <c r="J51" s="23"/>
      <c r="K51" s="171"/>
      <c r="L51" s="4"/>
      <c r="M51" s="4"/>
      <c r="N51" s="4"/>
      <c r="O51" s="192">
        <f>IF(O50+1&lt;=MIN('Données projet'!$E$9:$E$18),O50+1,"STOP")</f>
        <v>18</v>
      </c>
      <c r="P51" s="183">
        <f t="shared" si="3"/>
        <v>0</v>
      </c>
      <c r="Q51" s="233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5">
      <c r="A52" s="49">
        <v>4</v>
      </c>
      <c r="B52" s="197" t="s">
        <v>132</v>
      </c>
      <c r="C52" s="196" t="s">
        <v>132</v>
      </c>
      <c r="D52" s="195" t="s">
        <v>132</v>
      </c>
      <c r="E52" s="191"/>
      <c r="F52" s="229"/>
      <c r="G52" s="23"/>
      <c r="H52" s="188"/>
      <c r="I52" s="189"/>
      <c r="J52" s="23"/>
      <c r="K52" s="171"/>
      <c r="L52" s="4"/>
      <c r="M52" s="4"/>
      <c r="N52" s="4"/>
      <c r="O52" s="192">
        <f>IF(O51+1&lt;=MIN('Données projet'!$E$9:$E$18),O51+1,"STOP")</f>
        <v>19</v>
      </c>
      <c r="P52" s="183">
        <f t="shared" si="3"/>
        <v>0</v>
      </c>
      <c r="Q52" s="233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5">
      <c r="A53" s="49">
        <v>5</v>
      </c>
      <c r="B53" s="197" t="s">
        <v>132</v>
      </c>
      <c r="C53" s="196" t="s">
        <v>132</v>
      </c>
      <c r="D53" s="195" t="s">
        <v>132</v>
      </c>
      <c r="E53" s="191"/>
      <c r="F53" s="229"/>
      <c r="G53" s="203"/>
      <c r="H53" s="188"/>
      <c r="I53" s="189"/>
      <c r="J53" s="23"/>
      <c r="K53" s="171"/>
      <c r="L53" s="4"/>
      <c r="M53" s="4"/>
      <c r="N53" s="4"/>
      <c r="O53" s="192">
        <f>IF(O52+1&lt;=MIN('Données projet'!$E$9:$E$18),O52+1,"STOP")</f>
        <v>20</v>
      </c>
      <c r="P53" s="183">
        <f t="shared" si="3"/>
        <v>0</v>
      </c>
      <c r="Q53" s="233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5">
      <c r="A54" s="178">
        <f>'Données projet'!A62</f>
        <v>30</v>
      </c>
      <c r="B54" s="179">
        <f>'Données projet'!D62</f>
        <v>0</v>
      </c>
      <c r="C54" s="189"/>
      <c r="D54" s="177">
        <f>B54*C54</f>
        <v>0</v>
      </c>
      <c r="E54" s="191"/>
      <c r="F54" s="230"/>
      <c r="G54" s="203"/>
      <c r="H54" s="188"/>
      <c r="I54" s="189"/>
      <c r="J54" s="23"/>
      <c r="K54" s="171"/>
      <c r="L54" s="4"/>
      <c r="M54" s="4"/>
      <c r="N54" s="4"/>
      <c r="O54" s="192">
        <f>IF(O53+1&lt;=MIN('Données projet'!$E$9:$E$18),O53+1,"STOP")</f>
        <v>21</v>
      </c>
      <c r="P54" s="183">
        <f t="shared" si="3"/>
        <v>0</v>
      </c>
      <c r="Q54" s="233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5">
      <c r="A55" s="178">
        <f>'Données projet'!A63</f>
        <v>35</v>
      </c>
      <c r="B55" s="179">
        <f>'Données projet'!D63</f>
        <v>69.58</v>
      </c>
      <c r="C55" s="189"/>
      <c r="D55" s="177">
        <f t="shared" ref="D55:D73" si="4">B55*C55</f>
        <v>0</v>
      </c>
      <c r="E55" s="191"/>
      <c r="F55" s="230"/>
      <c r="G55" s="203"/>
      <c r="H55" s="188"/>
      <c r="I55" s="189"/>
      <c r="J55" s="23"/>
      <c r="K55" s="171"/>
      <c r="L55" s="4"/>
      <c r="M55" s="4"/>
      <c r="N55" s="4"/>
      <c r="O55" s="192">
        <f>IF(O54+1&lt;=MIN('Données projet'!$E$9:$E$18),O54+1,"STOP")</f>
        <v>22</v>
      </c>
      <c r="P55" s="183">
        <f t="shared" si="3"/>
        <v>0</v>
      </c>
      <c r="Q55" s="233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5">
      <c r="A56" s="178">
        <f>'Données projet'!A64</f>
        <v>41</v>
      </c>
      <c r="B56" s="179">
        <f>'Données projet'!D64</f>
        <v>47.41</v>
      </c>
      <c r="C56" s="189"/>
      <c r="D56" s="177">
        <f t="shared" si="4"/>
        <v>0</v>
      </c>
      <c r="E56" s="191"/>
      <c r="F56" s="230"/>
      <c r="G56" s="203"/>
      <c r="H56" s="188"/>
      <c r="I56" s="189"/>
      <c r="J56" s="23"/>
      <c r="K56" s="171"/>
      <c r="L56" s="4"/>
      <c r="M56" s="4"/>
      <c r="N56" s="4"/>
      <c r="O56" s="192">
        <f>IF(O55+1&lt;=MIN('Données projet'!$E$9:$E$18),O55+1,"STOP")</f>
        <v>23</v>
      </c>
      <c r="P56" s="183">
        <f t="shared" si="3"/>
        <v>0</v>
      </c>
      <c r="Q56" s="233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5">
      <c r="A57" s="178">
        <f>'Données projet'!A65</f>
        <v>48</v>
      </c>
      <c r="B57" s="179">
        <f>'Données projet'!D65</f>
        <v>61.12</v>
      </c>
      <c r="C57" s="189"/>
      <c r="D57" s="177">
        <f t="shared" si="4"/>
        <v>0</v>
      </c>
      <c r="E57" s="191"/>
      <c r="F57" s="230"/>
      <c r="G57" s="203"/>
      <c r="H57" s="188"/>
      <c r="I57" s="189"/>
      <c r="J57" s="23"/>
      <c r="K57" s="171"/>
      <c r="L57" s="4"/>
      <c r="M57" s="4"/>
      <c r="N57" s="4"/>
      <c r="O57" s="192">
        <f>IF(O56+1&lt;=MIN('Données projet'!$E$9:$E$18),O56+1,"STOP")</f>
        <v>24</v>
      </c>
      <c r="P57" s="183">
        <f t="shared" si="3"/>
        <v>0</v>
      </c>
      <c r="Q57" s="233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5">
      <c r="A58" s="178">
        <f>'Données projet'!A66</f>
        <v>55</v>
      </c>
      <c r="B58" s="179">
        <f>'Données projet'!D66</f>
        <v>58.24</v>
      </c>
      <c r="C58" s="189"/>
      <c r="D58" s="177">
        <f t="shared" si="4"/>
        <v>0</v>
      </c>
      <c r="E58" s="191"/>
      <c r="F58" s="230"/>
      <c r="G58" s="203"/>
      <c r="H58" s="188"/>
      <c r="I58" s="189"/>
      <c r="J58" s="23"/>
      <c r="K58" s="171"/>
      <c r="L58" s="4"/>
      <c r="M58" s="4"/>
      <c r="N58" s="4"/>
      <c r="O58" s="192">
        <f>IF(O57+1&lt;=MIN('Données projet'!$E$9:$E$18),O57+1,"STOP")</f>
        <v>25</v>
      </c>
      <c r="P58" s="183">
        <f t="shared" si="3"/>
        <v>0</v>
      </c>
      <c r="Q58" s="233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5">
      <c r="A59" s="178">
        <f>'Données projet'!A67</f>
        <v>63</v>
      </c>
      <c r="B59" s="179">
        <f>'Données projet'!D67</f>
        <v>54.21</v>
      </c>
      <c r="C59" s="189"/>
      <c r="D59" s="177">
        <f t="shared" si="4"/>
        <v>0</v>
      </c>
      <c r="E59" s="191"/>
      <c r="F59" s="230"/>
      <c r="G59" s="203"/>
      <c r="H59" s="188"/>
      <c r="I59" s="189"/>
      <c r="J59" s="23"/>
      <c r="K59" s="171"/>
      <c r="L59" s="4"/>
      <c r="M59" s="4"/>
      <c r="N59" s="4"/>
      <c r="O59" s="192">
        <f>IF(O58+1&lt;=MIN('Données projet'!$E$9:$E$18),O58+1,"STOP")</f>
        <v>26</v>
      </c>
      <c r="P59" s="183">
        <f t="shared" si="3"/>
        <v>0</v>
      </c>
      <c r="Q59" s="233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5">
      <c r="A60" s="178">
        <f>'Données projet'!A68</f>
        <v>71</v>
      </c>
      <c r="B60" s="179">
        <f>'Données projet'!D68</f>
        <v>52.07</v>
      </c>
      <c r="C60" s="189"/>
      <c r="D60" s="177">
        <f t="shared" si="4"/>
        <v>0</v>
      </c>
      <c r="E60" s="191"/>
      <c r="F60" s="230"/>
      <c r="G60" s="204"/>
      <c r="H60" s="188"/>
      <c r="I60" s="189"/>
      <c r="J60" s="23"/>
      <c r="K60" s="171"/>
      <c r="L60" s="4"/>
      <c r="M60" s="4"/>
      <c r="N60" s="4"/>
      <c r="O60" s="192">
        <f>IF(O59+1&lt;=MIN('Données projet'!$E$9:$E$18),O59+1,"STOP")</f>
        <v>27</v>
      </c>
      <c r="P60" s="183">
        <f t="shared" si="3"/>
        <v>0</v>
      </c>
      <c r="Q60" s="233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5">
      <c r="A61" s="178">
        <f>'Données projet'!A69</f>
        <v>80</v>
      </c>
      <c r="B61" s="179">
        <f>'Données projet'!D69</f>
        <v>59.57</v>
      </c>
      <c r="C61" s="189"/>
      <c r="D61" s="177">
        <f t="shared" si="4"/>
        <v>0</v>
      </c>
      <c r="E61" s="191"/>
      <c r="F61" s="230"/>
      <c r="G61" s="204"/>
      <c r="H61" s="188"/>
      <c r="I61" s="189"/>
      <c r="J61" s="23"/>
      <c r="K61" s="171"/>
      <c r="L61" s="4"/>
      <c r="M61" s="4"/>
      <c r="N61" s="4"/>
      <c r="O61" s="192">
        <f>IF(O60+1&lt;=MIN('Données projet'!$E$9:$E$18),O60+1,"STOP")</f>
        <v>28</v>
      </c>
      <c r="P61" s="183">
        <f t="shared" si="3"/>
        <v>0</v>
      </c>
      <c r="Q61" s="233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5">
      <c r="A62" s="178">
        <f>'Données projet'!A70</f>
        <v>89</v>
      </c>
      <c r="B62" s="179">
        <f>'Données projet'!D70</f>
        <v>64.5</v>
      </c>
      <c r="C62" s="189"/>
      <c r="D62" s="177">
        <f t="shared" si="4"/>
        <v>0</v>
      </c>
      <c r="E62" s="191"/>
      <c r="F62" s="230"/>
      <c r="G62" s="204"/>
      <c r="H62" s="188"/>
      <c r="I62" s="189"/>
      <c r="J62" s="23"/>
      <c r="K62" s="171"/>
      <c r="L62" s="4"/>
      <c r="M62" s="4"/>
      <c r="N62" s="4"/>
      <c r="O62" s="192">
        <f>IF(O61+1&lt;=MIN('Données projet'!$E$9:$E$18),O61+1,"STOP")</f>
        <v>29</v>
      </c>
      <c r="P62" s="183">
        <f t="shared" si="3"/>
        <v>0</v>
      </c>
      <c r="Q62" s="233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5">
      <c r="A63" s="178">
        <f>'Données projet'!A71</f>
        <v>99</v>
      </c>
      <c r="B63" s="179">
        <f>'Données projet'!D71</f>
        <v>62.94</v>
      </c>
      <c r="C63" s="189"/>
      <c r="D63" s="177">
        <f t="shared" si="4"/>
        <v>0</v>
      </c>
      <c r="E63" s="191"/>
      <c r="F63" s="230"/>
      <c r="G63" s="204"/>
      <c r="H63" s="188"/>
      <c r="I63" s="189"/>
      <c r="J63" s="23"/>
      <c r="K63" s="171"/>
      <c r="L63" s="4"/>
      <c r="M63" s="4"/>
      <c r="N63" s="4"/>
      <c r="O63" s="192">
        <f>IF(O62+1&lt;=MIN('Données projet'!$E$9:$E$18),O62+1,"STOP")</f>
        <v>30</v>
      </c>
      <c r="P63" s="183">
        <f t="shared" si="3"/>
        <v>0</v>
      </c>
      <c r="Q63" s="233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5">
      <c r="A64" s="178">
        <f>'Données projet'!A72</f>
        <v>109</v>
      </c>
      <c r="B64" s="179">
        <f>'Données projet'!D72</f>
        <v>66.959999999999994</v>
      </c>
      <c r="C64" s="189"/>
      <c r="D64" s="177">
        <f t="shared" si="4"/>
        <v>0</v>
      </c>
      <c r="E64" s="191"/>
      <c r="F64" s="230"/>
      <c r="G64" s="204"/>
      <c r="H64" s="188"/>
      <c r="I64" s="189"/>
      <c r="J64" s="205"/>
      <c r="K64" s="171"/>
      <c r="L64" s="4"/>
      <c r="M64" s="4"/>
      <c r="N64" s="4"/>
      <c r="O64" s="192">
        <f>IF(O63+1&lt;=MIN('Données projet'!$E$9:$E$18),O63+1,"STOP")</f>
        <v>31</v>
      </c>
      <c r="P64" s="183">
        <f t="shared" si="3"/>
        <v>0</v>
      </c>
      <c r="Q64" s="233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5">
      <c r="A65" s="178">
        <f>'Données projet'!A73</f>
        <v>119</v>
      </c>
      <c r="B65" s="179">
        <f>'Données projet'!D73</f>
        <v>196.46</v>
      </c>
      <c r="C65" s="189"/>
      <c r="D65" s="177">
        <f t="shared" si="4"/>
        <v>0</v>
      </c>
      <c r="E65" s="191"/>
      <c r="F65" s="230"/>
      <c r="G65" s="204"/>
      <c r="H65" s="188"/>
      <c r="I65" s="189"/>
      <c r="J65" s="187"/>
      <c r="K65" s="171"/>
      <c r="L65" s="4"/>
      <c r="M65" s="4"/>
      <c r="N65" s="4"/>
      <c r="O65" s="192">
        <f>IF(O64+1&lt;=MIN('Données projet'!$E$9:$E$18),O64+1,"STOP")</f>
        <v>32</v>
      </c>
      <c r="P65" s="183">
        <f t="shared" ref="P65:P96" si="5">$P$25/(1+$M$4)^O65</f>
        <v>0</v>
      </c>
      <c r="Q65" s="233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5">
      <c r="A66" s="178">
        <f>'Données projet'!A74</f>
        <v>123</v>
      </c>
      <c r="B66" s="179">
        <f>'Données projet'!D74</f>
        <v>100.6</v>
      </c>
      <c r="C66" s="189"/>
      <c r="D66" s="177">
        <f t="shared" si="4"/>
        <v>0</v>
      </c>
      <c r="E66" s="191"/>
      <c r="F66" s="230"/>
      <c r="G66" s="204"/>
      <c r="H66" s="188"/>
      <c r="I66" s="189"/>
      <c r="J66" s="187"/>
      <c r="K66" s="171"/>
      <c r="L66" s="4"/>
      <c r="M66" s="4"/>
      <c r="N66" s="4"/>
      <c r="O66" s="192">
        <f>IF(O65+1&lt;=MIN('Données projet'!$E$9:$E$18),O65+1,"STOP")</f>
        <v>33</v>
      </c>
      <c r="P66" s="183">
        <f t="shared" si="5"/>
        <v>0</v>
      </c>
      <c r="Q66" s="233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5">
      <c r="A67" s="178">
        <f>'Données projet'!A75</f>
        <v>127</v>
      </c>
      <c r="B67" s="179">
        <f>'Données projet'!D75</f>
        <v>65.02</v>
      </c>
      <c r="C67" s="189"/>
      <c r="D67" s="177">
        <f t="shared" si="4"/>
        <v>0</v>
      </c>
      <c r="E67" s="191"/>
      <c r="F67" s="230"/>
      <c r="G67" s="204"/>
      <c r="H67" s="188"/>
      <c r="I67" s="189"/>
      <c r="J67" s="187"/>
      <c r="K67" s="171"/>
      <c r="L67" s="4"/>
      <c r="M67" s="4"/>
      <c r="N67" s="4"/>
      <c r="O67" s="192">
        <f>IF(O66+1&lt;=MIN('Données projet'!$E$9:$E$18),O66+1,"STOP")</f>
        <v>34</v>
      </c>
      <c r="P67" s="183">
        <f t="shared" si="5"/>
        <v>0</v>
      </c>
      <c r="Q67" s="233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5">
      <c r="A68" s="178">
        <f>'Données projet'!A76</f>
        <v>131</v>
      </c>
      <c r="B68" s="179">
        <f>'Données projet'!D76</f>
        <v>143.84</v>
      </c>
      <c r="C68" s="189"/>
      <c r="D68" s="177">
        <f t="shared" si="4"/>
        <v>0</v>
      </c>
      <c r="E68" s="191"/>
      <c r="F68" s="230"/>
      <c r="G68" s="204"/>
      <c r="H68" s="188"/>
      <c r="I68" s="189"/>
      <c r="J68" s="187"/>
      <c r="K68" s="171"/>
      <c r="L68" s="4"/>
      <c r="M68" s="4"/>
      <c r="N68" s="4"/>
      <c r="O68" s="192">
        <f>IF(O67+1&lt;=MIN('Données projet'!$E$9:$E$18),O67+1,"STOP")</f>
        <v>35</v>
      </c>
      <c r="P68" s="183">
        <f t="shared" si="5"/>
        <v>0</v>
      </c>
      <c r="Q68" s="233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5">
      <c r="A69" s="178">
        <f>'Données projet'!A77</f>
        <v>0</v>
      </c>
      <c r="B69" s="179">
        <f>'Données projet'!D77</f>
        <v>0</v>
      </c>
      <c r="C69" s="189"/>
      <c r="D69" s="177">
        <f t="shared" si="4"/>
        <v>0</v>
      </c>
      <c r="E69" s="191"/>
      <c r="F69" s="230"/>
      <c r="G69" s="204"/>
      <c r="H69" s="188"/>
      <c r="I69" s="189"/>
      <c r="J69" s="187"/>
      <c r="K69" s="171"/>
      <c r="L69" s="4"/>
      <c r="M69" s="4"/>
      <c r="N69" s="4"/>
      <c r="O69" s="192">
        <f>IF(O68+1&lt;=MIN('Données projet'!$E$9:$E$18),O68+1,"STOP")</f>
        <v>36</v>
      </c>
      <c r="P69" s="183">
        <f t="shared" si="5"/>
        <v>0</v>
      </c>
      <c r="Q69" s="233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5">
      <c r="A70" s="178">
        <f>'Données projet'!A78</f>
        <v>0</v>
      </c>
      <c r="B70" s="179">
        <f>'Données projet'!D78</f>
        <v>0</v>
      </c>
      <c r="C70" s="189"/>
      <c r="D70" s="177">
        <f t="shared" si="4"/>
        <v>0</v>
      </c>
      <c r="E70" s="191"/>
      <c r="F70" s="230"/>
      <c r="G70" s="204"/>
      <c r="H70" s="188"/>
      <c r="I70" s="189"/>
      <c r="J70" s="187"/>
      <c r="K70" s="171"/>
      <c r="L70" s="4"/>
      <c r="M70" s="4"/>
      <c r="N70" s="4"/>
      <c r="O70" s="192">
        <f>IF(O69+1&lt;=MIN('Données projet'!$E$9:$E$18),O69+1,"STOP")</f>
        <v>37</v>
      </c>
      <c r="P70" s="183">
        <f t="shared" si="5"/>
        <v>0</v>
      </c>
      <c r="Q70" s="233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5">
      <c r="A71" s="178">
        <f>'Données projet'!A79</f>
        <v>0</v>
      </c>
      <c r="B71" s="179">
        <f>'Données projet'!D79</f>
        <v>0</v>
      </c>
      <c r="C71" s="189"/>
      <c r="D71" s="177">
        <f t="shared" si="4"/>
        <v>0</v>
      </c>
      <c r="E71" s="191"/>
      <c r="F71" s="230"/>
      <c r="G71" s="204"/>
      <c r="H71" s="188"/>
      <c r="I71" s="189"/>
      <c r="J71" s="187"/>
      <c r="K71" s="171"/>
      <c r="L71" s="4"/>
      <c r="M71" s="4"/>
      <c r="N71" s="4"/>
      <c r="O71" s="192">
        <f>IF(O70+1&lt;=MIN('Données projet'!$E$9:$E$18),O70+1,"STOP")</f>
        <v>38</v>
      </c>
      <c r="P71" s="183">
        <f t="shared" si="5"/>
        <v>0</v>
      </c>
      <c r="Q71" s="233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5">
      <c r="A72" s="178">
        <f>'Données projet'!A80</f>
        <v>0</v>
      </c>
      <c r="B72" s="179">
        <f>'Données projet'!D80</f>
        <v>0</v>
      </c>
      <c r="C72" s="189"/>
      <c r="D72" s="177">
        <f t="shared" si="4"/>
        <v>0</v>
      </c>
      <c r="E72" s="191"/>
      <c r="F72" s="230"/>
      <c r="G72" s="204"/>
      <c r="H72" s="188"/>
      <c r="I72" s="189"/>
      <c r="J72" s="4"/>
      <c r="K72" s="171"/>
      <c r="L72" s="4"/>
      <c r="M72" s="4"/>
      <c r="N72" s="4"/>
      <c r="O72" s="192">
        <f>IF(O71+1&lt;=MIN('Données projet'!$E$9:$E$18),O71+1,"STOP")</f>
        <v>39</v>
      </c>
      <c r="P72" s="183">
        <f t="shared" si="5"/>
        <v>0</v>
      </c>
      <c r="Q72" s="233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5">
      <c r="A73" s="178">
        <f>'Données projet'!A81</f>
        <v>0</v>
      </c>
      <c r="B73" s="179">
        <f>'Données projet'!D81</f>
        <v>0</v>
      </c>
      <c r="C73" s="189"/>
      <c r="D73" s="177">
        <f t="shared" si="4"/>
        <v>0</v>
      </c>
      <c r="E73" s="191"/>
      <c r="F73" s="230"/>
      <c r="G73" s="204"/>
      <c r="H73" s="188"/>
      <c r="I73" s="189"/>
      <c r="J73" s="4"/>
      <c r="K73" s="171"/>
      <c r="L73" s="4"/>
      <c r="M73" s="4"/>
      <c r="N73" s="4"/>
      <c r="O73" s="192">
        <f>IF(O72+1&lt;=MIN('Données projet'!$E$9:$E$18),O72+1,"STOP")</f>
        <v>40</v>
      </c>
      <c r="P73" s="183">
        <f t="shared" si="5"/>
        <v>0</v>
      </c>
      <c r="Q73" s="233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5">
      <c r="A74" s="4"/>
      <c r="B74" s="4"/>
      <c r="C74" s="4"/>
      <c r="D74" s="4"/>
      <c r="E74" s="4"/>
      <c r="F74" s="228"/>
      <c r="G74" s="204"/>
      <c r="H74" s="188"/>
      <c r="I74" s="189"/>
      <c r="J74" s="4"/>
      <c r="K74" s="171"/>
      <c r="L74" s="4"/>
      <c r="M74" s="4"/>
      <c r="N74" s="4"/>
      <c r="O74" s="192">
        <f>IF(O73+1&lt;=MIN('Données projet'!$E$9:$E$18),O73+1,"STOP")</f>
        <v>41</v>
      </c>
      <c r="P74" s="183">
        <f t="shared" si="5"/>
        <v>0</v>
      </c>
      <c r="Q74" s="233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5">
      <c r="A75" s="4"/>
      <c r="B75" s="4"/>
      <c r="C75" s="4"/>
      <c r="D75" s="4"/>
      <c r="E75" s="4"/>
      <c r="F75" s="228"/>
      <c r="G75" s="204"/>
      <c r="H75" s="188"/>
      <c r="I75" s="189"/>
      <c r="J75" s="4"/>
      <c r="K75" s="171"/>
      <c r="L75" s="4"/>
      <c r="M75" s="4"/>
      <c r="N75" s="4"/>
      <c r="O75" s="192">
        <f>IF(O74+1&lt;=MIN('Données projet'!$E$9:$E$18),O74+1,"STOP")</f>
        <v>42</v>
      </c>
      <c r="P75" s="183">
        <f t="shared" si="5"/>
        <v>0</v>
      </c>
      <c r="Q75" s="233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5">
      <c r="A76" s="46" t="s">
        <v>167</v>
      </c>
      <c r="B76" s="172" t="str">
        <f>IF('Données projet'!B11="","",'Données projet'!B11)</f>
        <v>Hêtre</v>
      </c>
      <c r="C76" s="4"/>
      <c r="D76" s="4"/>
      <c r="E76" s="4"/>
      <c r="F76" s="228"/>
      <c r="G76" s="204"/>
      <c r="H76" s="188"/>
      <c r="I76" s="189"/>
      <c r="J76" s="4"/>
      <c r="K76" s="171"/>
      <c r="L76" s="4"/>
      <c r="M76" s="4"/>
      <c r="N76" s="4"/>
      <c r="O76" s="192">
        <f>IF(O75+1&lt;=MIN('Données projet'!$E$9:$E$18),O75+1,"STOP")</f>
        <v>43</v>
      </c>
      <c r="P76" s="183">
        <f t="shared" si="5"/>
        <v>0</v>
      </c>
      <c r="Q76" s="233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5">
      <c r="A77" s="4"/>
      <c r="B77" s="4"/>
      <c r="C77" s="4"/>
      <c r="D77" s="4"/>
      <c r="E77" s="4"/>
      <c r="F77" s="228"/>
      <c r="G77" s="204"/>
      <c r="H77" s="188"/>
      <c r="I77" s="189"/>
      <c r="J77" s="4"/>
      <c r="K77" s="171"/>
      <c r="L77" s="4"/>
      <c r="M77" s="4"/>
      <c r="N77" s="4"/>
      <c r="O77" s="192">
        <f>IF(O76+1&lt;=MIN('Données projet'!$E$9:$E$18),O76+1,"STOP")</f>
        <v>44</v>
      </c>
      <c r="P77" s="183">
        <f t="shared" si="5"/>
        <v>0</v>
      </c>
      <c r="Q77" s="233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29"/>
      <c r="G78" s="204"/>
      <c r="H78" s="188"/>
      <c r="I78" s="189"/>
      <c r="J78" s="4"/>
      <c r="K78" s="171"/>
      <c r="L78" s="4"/>
      <c r="M78" s="4"/>
      <c r="N78" s="4"/>
      <c r="O78" s="192">
        <f>IF(O77+1&lt;=MIN('Données projet'!$E$9:$E$18),O77+1,"STOP")</f>
        <v>45</v>
      </c>
      <c r="P78" s="183">
        <f t="shared" si="5"/>
        <v>0</v>
      </c>
      <c r="Q78" s="233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5">
      <c r="A79" s="49">
        <v>0</v>
      </c>
      <c r="B79" s="197" t="s">
        <v>132</v>
      </c>
      <c r="C79" s="196" t="s">
        <v>132</v>
      </c>
      <c r="D79" s="195" t="s">
        <v>132</v>
      </c>
      <c r="E79" s="191">
        <v>2232.9499999999998</v>
      </c>
      <c r="F79" s="229"/>
      <c r="G79" s="204"/>
      <c r="H79" s="188"/>
      <c r="I79" s="189"/>
      <c r="J79" s="4"/>
      <c r="K79" s="171"/>
      <c r="L79" s="4"/>
      <c r="M79" s="4"/>
      <c r="N79" s="4"/>
      <c r="O79" s="192">
        <f>IF(O78+1&lt;=MIN('Données projet'!$E$9:$E$18),O78+1,"STOP")</f>
        <v>46</v>
      </c>
      <c r="P79" s="183">
        <f t="shared" si="5"/>
        <v>0</v>
      </c>
      <c r="Q79" s="233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5">
      <c r="A80" s="49">
        <v>1</v>
      </c>
      <c r="B80" s="197" t="s">
        <v>132</v>
      </c>
      <c r="C80" s="196" t="s">
        <v>132</v>
      </c>
      <c r="D80" s="195" t="s">
        <v>132</v>
      </c>
      <c r="E80" s="191"/>
      <c r="F80" s="229"/>
      <c r="G80" s="23"/>
      <c r="H80" s="188"/>
      <c r="I80" s="189"/>
      <c r="J80" s="4"/>
      <c r="K80" s="171"/>
      <c r="L80" s="4"/>
      <c r="M80" s="4"/>
      <c r="N80" s="4"/>
      <c r="O80" s="192">
        <f>IF(O79+1&lt;=MIN('Données projet'!$E$9:$E$18),O79+1,"STOP")</f>
        <v>47</v>
      </c>
      <c r="P80" s="183">
        <f t="shared" si="5"/>
        <v>0</v>
      </c>
      <c r="Q80" s="233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5">
      <c r="A81" s="49">
        <v>2</v>
      </c>
      <c r="B81" s="197" t="s">
        <v>132</v>
      </c>
      <c r="C81" s="196" t="s">
        <v>132</v>
      </c>
      <c r="D81" s="195" t="s">
        <v>132</v>
      </c>
      <c r="E81" s="191"/>
      <c r="F81" s="229"/>
      <c r="G81" s="23"/>
      <c r="H81" s="188"/>
      <c r="I81" s="189"/>
      <c r="J81" s="4"/>
      <c r="K81" s="171"/>
      <c r="L81" s="4"/>
      <c r="M81" s="4"/>
      <c r="N81" s="4"/>
      <c r="O81" s="192">
        <f>IF(O80+1&lt;=MIN('Données projet'!$E$9:$E$18),O80+1,"STOP")</f>
        <v>48</v>
      </c>
      <c r="P81" s="183">
        <f t="shared" si="5"/>
        <v>0</v>
      </c>
      <c r="Q81" s="233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5">
      <c r="A82" s="49">
        <v>3</v>
      </c>
      <c r="B82" s="197" t="s">
        <v>132</v>
      </c>
      <c r="C82" s="196" t="s">
        <v>132</v>
      </c>
      <c r="D82" s="195" t="s">
        <v>132</v>
      </c>
      <c r="E82" s="191"/>
      <c r="F82" s="229"/>
      <c r="G82" s="23"/>
      <c r="H82" s="188"/>
      <c r="I82" s="189"/>
      <c r="J82" s="4"/>
      <c r="K82" s="171"/>
      <c r="L82" s="4"/>
      <c r="M82" s="4"/>
      <c r="N82" s="4"/>
      <c r="O82" s="192">
        <f>IF(O81+1&lt;=MIN('Données projet'!$E$9:$E$18),O81+1,"STOP")</f>
        <v>49</v>
      </c>
      <c r="P82" s="183">
        <f t="shared" si="5"/>
        <v>0</v>
      </c>
      <c r="Q82" s="233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5">
      <c r="A83" s="49">
        <v>4</v>
      </c>
      <c r="B83" s="197" t="s">
        <v>132</v>
      </c>
      <c r="C83" s="196" t="s">
        <v>132</v>
      </c>
      <c r="D83" s="195" t="s">
        <v>132</v>
      </c>
      <c r="E83" s="191"/>
      <c r="F83" s="229"/>
      <c r="G83" s="23"/>
      <c r="H83" s="188"/>
      <c r="I83" s="189"/>
      <c r="J83" s="4"/>
      <c r="K83" s="171"/>
      <c r="L83" s="4"/>
      <c r="M83" s="4"/>
      <c r="N83" s="4"/>
      <c r="O83" s="192">
        <f>IF(O82+1&lt;=MIN('Données projet'!$E$9:$E$18),O82+1,"STOP")</f>
        <v>50</v>
      </c>
      <c r="P83" s="183">
        <f t="shared" si="5"/>
        <v>0</v>
      </c>
      <c r="Q83" s="233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5">
      <c r="A84" s="49">
        <v>5</v>
      </c>
      <c r="B84" s="197" t="s">
        <v>132</v>
      </c>
      <c r="C84" s="196" t="s">
        <v>132</v>
      </c>
      <c r="D84" s="195" t="s">
        <v>132</v>
      </c>
      <c r="E84" s="191"/>
      <c r="F84" s="229"/>
      <c r="G84" s="203"/>
      <c r="H84" s="188"/>
      <c r="I84" s="189"/>
      <c r="J84" s="4"/>
      <c r="K84" s="171"/>
      <c r="L84" s="4"/>
      <c r="M84" s="4"/>
      <c r="N84" s="4"/>
      <c r="O84" s="192">
        <f>IF(O83+1&lt;=MIN('Données projet'!$E$9:$E$18),O83+1,"STOP")</f>
        <v>51</v>
      </c>
      <c r="P84" s="183">
        <f t="shared" si="5"/>
        <v>0</v>
      </c>
      <c r="Q84" s="233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5">
      <c r="A85" s="178">
        <f>'Données projet'!A88</f>
        <v>20</v>
      </c>
      <c r="B85" s="179">
        <f>'Données projet'!D88</f>
        <v>0</v>
      </c>
      <c r="C85" s="189"/>
      <c r="D85" s="177">
        <f>B85*C85</f>
        <v>0</v>
      </c>
      <c r="E85" s="191"/>
      <c r="F85" s="230"/>
      <c r="G85" s="203"/>
      <c r="H85" s="188"/>
      <c r="I85" s="189"/>
      <c r="J85" s="4"/>
      <c r="K85" s="171"/>
      <c r="L85" s="4"/>
      <c r="M85" s="4"/>
      <c r="N85" s="4"/>
      <c r="O85" s="192">
        <f>IF(O84+1&lt;=MIN('Données projet'!$E$9:$E$18),O84+1,"STOP")</f>
        <v>52</v>
      </c>
      <c r="P85" s="183">
        <f t="shared" si="5"/>
        <v>0</v>
      </c>
      <c r="Q85" s="233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5">
      <c r="A86" s="178">
        <f>'Données projet'!A89</f>
        <v>25</v>
      </c>
      <c r="B86" s="179">
        <f>'Données projet'!D89</f>
        <v>7</v>
      </c>
      <c r="C86" s="189">
        <v>20</v>
      </c>
      <c r="D86" s="177">
        <f t="shared" ref="D86:D104" si="6">B86*C86</f>
        <v>140</v>
      </c>
      <c r="E86" s="191"/>
      <c r="F86" s="230"/>
      <c r="G86" s="203"/>
      <c r="H86" s="188"/>
      <c r="I86" s="189"/>
      <c r="J86" s="4"/>
      <c r="K86" s="171"/>
      <c r="L86" s="4"/>
      <c r="M86" s="4"/>
      <c r="N86" s="4"/>
      <c r="O86" s="192">
        <f>IF(O85+1&lt;=MIN('Données projet'!$E$9:$E$18),O85+1,"STOP")</f>
        <v>53</v>
      </c>
      <c r="P86" s="183">
        <f t="shared" si="5"/>
        <v>0</v>
      </c>
      <c r="Q86" s="233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5">
      <c r="A87" s="178">
        <f>'Données projet'!A90</f>
        <v>30</v>
      </c>
      <c r="B87" s="179">
        <f>'Données projet'!D90</f>
        <v>28</v>
      </c>
      <c r="C87" s="189">
        <v>20</v>
      </c>
      <c r="D87" s="177">
        <f t="shared" si="6"/>
        <v>560</v>
      </c>
      <c r="E87" s="191"/>
      <c r="F87" s="230"/>
      <c r="G87" s="203"/>
      <c r="H87" s="188"/>
      <c r="I87" s="189"/>
      <c r="J87" s="4"/>
      <c r="K87" s="171"/>
      <c r="L87" s="4"/>
      <c r="M87" s="4"/>
      <c r="N87" s="4"/>
      <c r="O87" s="192">
        <f>IF(O86+1&lt;=MIN('Données projet'!$E$9:$E$18),O86+1,"STOP")</f>
        <v>54</v>
      </c>
      <c r="P87" s="183">
        <f t="shared" si="5"/>
        <v>0</v>
      </c>
      <c r="Q87" s="233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5">
      <c r="A88" s="178">
        <f>'Données projet'!A91</f>
        <v>35</v>
      </c>
      <c r="B88" s="179">
        <f>'Données projet'!D91</f>
        <v>28</v>
      </c>
      <c r="C88" s="189"/>
      <c r="D88" s="177">
        <f t="shared" si="6"/>
        <v>0</v>
      </c>
      <c r="E88" s="191"/>
      <c r="F88" s="230"/>
      <c r="G88" s="203"/>
      <c r="H88" s="188"/>
      <c r="I88" s="189"/>
      <c r="J88" s="4"/>
      <c r="K88" s="171"/>
      <c r="L88" s="4"/>
      <c r="M88" s="4"/>
      <c r="N88" s="4"/>
      <c r="O88" s="192">
        <f>IF(O87+1&lt;=MIN('Données projet'!$E$9:$E$18),O87+1,"STOP")</f>
        <v>55</v>
      </c>
      <c r="P88" s="183">
        <f t="shared" si="5"/>
        <v>0</v>
      </c>
      <c r="Q88" s="233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5">
      <c r="A89" s="178">
        <f>'Données projet'!A92</f>
        <v>40</v>
      </c>
      <c r="B89" s="179">
        <f>'Données projet'!D92</f>
        <v>28</v>
      </c>
      <c r="C89" s="189"/>
      <c r="D89" s="177">
        <f t="shared" si="6"/>
        <v>0</v>
      </c>
      <c r="E89" s="191"/>
      <c r="F89" s="230"/>
      <c r="G89" s="203"/>
      <c r="H89" s="188"/>
      <c r="I89" s="189"/>
      <c r="J89" s="4"/>
      <c r="K89" s="171"/>
      <c r="L89" s="4"/>
      <c r="M89" s="4"/>
      <c r="N89" s="4"/>
      <c r="O89" s="192">
        <f>IF(O88+1&lt;=MIN('Données projet'!$E$9:$E$18),O88+1,"STOP")</f>
        <v>56</v>
      </c>
      <c r="P89" s="183">
        <f t="shared" si="5"/>
        <v>0</v>
      </c>
      <c r="Q89" s="233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5">
      <c r="A90" s="178">
        <f>'Données projet'!A93</f>
        <v>45</v>
      </c>
      <c r="B90" s="179">
        <f>'Données projet'!D93</f>
        <v>28</v>
      </c>
      <c r="C90" s="189"/>
      <c r="D90" s="177">
        <f t="shared" si="6"/>
        <v>0</v>
      </c>
      <c r="E90" s="191"/>
      <c r="F90" s="230"/>
      <c r="G90" s="203"/>
      <c r="H90" s="188"/>
      <c r="I90" s="189"/>
      <c r="J90" s="4"/>
      <c r="K90" s="171"/>
      <c r="L90" s="4"/>
      <c r="M90" s="4"/>
      <c r="N90" s="4"/>
      <c r="O90" s="192">
        <f>IF(O89+1&lt;=MIN('Données projet'!$E$9:$E$18),O89+1,"STOP")</f>
        <v>57</v>
      </c>
      <c r="P90" s="183">
        <f t="shared" si="5"/>
        <v>0</v>
      </c>
      <c r="Q90" s="233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5">
      <c r="A91" s="178">
        <f>'Données projet'!A94</f>
        <v>50</v>
      </c>
      <c r="B91" s="179">
        <f>'Données projet'!D94</f>
        <v>28</v>
      </c>
      <c r="C91" s="189"/>
      <c r="D91" s="177">
        <f t="shared" si="6"/>
        <v>0</v>
      </c>
      <c r="E91" s="191"/>
      <c r="F91" s="230"/>
      <c r="G91" s="204"/>
      <c r="H91" s="188"/>
      <c r="I91" s="189"/>
      <c r="J91" s="4"/>
      <c r="K91" s="171"/>
      <c r="L91" s="4"/>
      <c r="M91" s="4"/>
      <c r="N91" s="4"/>
      <c r="O91" s="192">
        <f>IF(O90+1&lt;=MIN('Données projet'!$E$9:$E$18),O90+1,"STOP")</f>
        <v>58</v>
      </c>
      <c r="P91" s="183">
        <f t="shared" si="5"/>
        <v>0</v>
      </c>
      <c r="Q91" s="233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5">
      <c r="A92" s="178">
        <f>'Données projet'!A95</f>
        <v>55</v>
      </c>
      <c r="B92" s="179">
        <f>'Données projet'!D95</f>
        <v>28</v>
      </c>
      <c r="C92" s="189"/>
      <c r="D92" s="177">
        <f t="shared" si="6"/>
        <v>0</v>
      </c>
      <c r="E92" s="191"/>
      <c r="F92" s="230"/>
      <c r="G92" s="204"/>
      <c r="H92" s="188"/>
      <c r="I92" s="189"/>
      <c r="J92" s="4"/>
      <c r="K92" s="171"/>
      <c r="L92" s="4"/>
      <c r="M92" s="4"/>
      <c r="N92" s="4"/>
      <c r="O92" s="192">
        <f>IF(O91+1&lt;=MIN('Données projet'!$E$9:$E$18),O91+1,"STOP")</f>
        <v>59</v>
      </c>
      <c r="P92" s="183">
        <f t="shared" si="5"/>
        <v>0</v>
      </c>
      <c r="Q92" s="233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5">
      <c r="A93" s="178">
        <f>'Données projet'!A96</f>
        <v>60</v>
      </c>
      <c r="B93" s="179">
        <f>'Données projet'!D96</f>
        <v>28</v>
      </c>
      <c r="C93" s="189"/>
      <c r="D93" s="177">
        <f t="shared" si="6"/>
        <v>0</v>
      </c>
      <c r="E93" s="191"/>
      <c r="F93" s="230"/>
      <c r="G93" s="204"/>
      <c r="H93" s="188"/>
      <c r="I93" s="189"/>
      <c r="J93" s="4"/>
      <c r="K93" s="171"/>
      <c r="L93" s="4"/>
      <c r="M93" s="4"/>
      <c r="N93" s="4"/>
      <c r="O93" s="192">
        <f>IF(O92+1&lt;=MIN('Données projet'!$E$9:$E$18),O92+1,"STOP")</f>
        <v>60</v>
      </c>
      <c r="P93" s="183">
        <f t="shared" si="5"/>
        <v>0</v>
      </c>
      <c r="Q93" s="233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5">
      <c r="A94" s="178">
        <f>'Données projet'!A97</f>
        <v>65</v>
      </c>
      <c r="B94" s="179">
        <f>'Données projet'!D97</f>
        <v>28</v>
      </c>
      <c r="C94" s="189"/>
      <c r="D94" s="177">
        <f t="shared" si="6"/>
        <v>0</v>
      </c>
      <c r="E94" s="191"/>
      <c r="F94" s="230"/>
      <c r="G94" s="204"/>
      <c r="H94" s="188"/>
      <c r="I94" s="189"/>
      <c r="J94" s="4"/>
      <c r="K94" s="171"/>
      <c r="L94" s="4"/>
      <c r="M94" s="4"/>
      <c r="N94" s="4"/>
      <c r="O94" s="192">
        <f>IF(O93+1&lt;=MIN('Données projet'!$E$9:$E$18),O93+1,"STOP")</f>
        <v>61</v>
      </c>
      <c r="P94" s="183">
        <f t="shared" si="5"/>
        <v>0</v>
      </c>
      <c r="Q94" s="233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5">
      <c r="A95" s="178">
        <f>'Données projet'!A98</f>
        <v>70</v>
      </c>
      <c r="B95" s="179">
        <f>'Données projet'!D98</f>
        <v>28</v>
      </c>
      <c r="C95" s="189"/>
      <c r="D95" s="177">
        <f t="shared" si="6"/>
        <v>0</v>
      </c>
      <c r="E95" s="191"/>
      <c r="F95" s="230"/>
      <c r="G95" s="204"/>
      <c r="H95" s="188"/>
      <c r="I95" s="189"/>
      <c r="J95" s="4"/>
      <c r="K95" s="171"/>
      <c r="L95" s="4"/>
      <c r="M95" s="4"/>
      <c r="N95" s="4"/>
      <c r="O95" s="192">
        <f>IF(O94+1&lt;=MIN('Données projet'!$E$9:$E$18),O94+1,"STOP")</f>
        <v>62</v>
      </c>
      <c r="P95" s="183">
        <f t="shared" si="5"/>
        <v>0</v>
      </c>
      <c r="Q95" s="233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5">
      <c r="A96" s="178">
        <f>'Données projet'!A99</f>
        <v>75</v>
      </c>
      <c r="B96" s="179">
        <f>'Données projet'!D99</f>
        <v>28</v>
      </c>
      <c r="C96" s="189"/>
      <c r="D96" s="177">
        <f t="shared" si="6"/>
        <v>0</v>
      </c>
      <c r="E96" s="191"/>
      <c r="F96" s="230"/>
      <c r="G96" s="204"/>
      <c r="H96" s="188"/>
      <c r="I96" s="189"/>
      <c r="J96" s="4"/>
      <c r="K96" s="171"/>
      <c r="L96" s="4"/>
      <c r="M96" s="4"/>
      <c r="N96" s="4"/>
      <c r="O96" s="192">
        <f>IF(O95+1&lt;=MIN('Données projet'!$E$9:$E$18),O95+1,"STOP")</f>
        <v>63</v>
      </c>
      <c r="P96" s="183">
        <f t="shared" si="5"/>
        <v>0</v>
      </c>
      <c r="Q96" s="233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5">
      <c r="A97" s="178">
        <f>'Données projet'!A100</f>
        <v>80</v>
      </c>
      <c r="B97" s="179">
        <f>'Données projet'!D100</f>
        <v>28</v>
      </c>
      <c r="C97" s="189"/>
      <c r="D97" s="177">
        <f t="shared" si="6"/>
        <v>0</v>
      </c>
      <c r="E97" s="191"/>
      <c r="F97" s="230"/>
      <c r="G97" s="204"/>
      <c r="H97" s="188"/>
      <c r="I97" s="189"/>
      <c r="J97" s="4"/>
      <c r="K97" s="171"/>
      <c r="L97" s="4"/>
      <c r="M97" s="4"/>
      <c r="N97" s="4"/>
      <c r="O97" s="192">
        <f>IF(O96+1&lt;=MIN('Données projet'!$E$9:$E$18),O96+1,"STOP")</f>
        <v>64</v>
      </c>
      <c r="P97" s="183">
        <f t="shared" ref="P97:P128" si="7">$P$25/(1+$M$4)^O97</f>
        <v>0</v>
      </c>
      <c r="Q97" s="233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5">
      <c r="A98" s="178">
        <f>'Données projet'!A101</f>
        <v>85</v>
      </c>
      <c r="B98" s="179">
        <f>'Données projet'!D101</f>
        <v>27</v>
      </c>
      <c r="C98" s="189"/>
      <c r="D98" s="177">
        <f t="shared" si="6"/>
        <v>0</v>
      </c>
      <c r="E98" s="191"/>
      <c r="F98" s="230"/>
      <c r="G98" s="204"/>
      <c r="H98" s="188"/>
      <c r="I98" s="189"/>
      <c r="J98" s="4"/>
      <c r="K98" s="171"/>
      <c r="L98" s="4"/>
      <c r="M98" s="4"/>
      <c r="N98" s="4"/>
      <c r="O98" s="192">
        <f>IF(O97+1&lt;=MIN('Données projet'!$E$9:$E$18),O97+1,"STOP")</f>
        <v>65</v>
      </c>
      <c r="P98" s="183">
        <f t="shared" si="7"/>
        <v>0</v>
      </c>
      <c r="Q98" s="233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5">
      <c r="A99" s="178">
        <f>'Données projet'!A102</f>
        <v>90</v>
      </c>
      <c r="B99" s="179">
        <f>'Données projet'!D102</f>
        <v>26</v>
      </c>
      <c r="C99" s="189"/>
      <c r="D99" s="177">
        <f t="shared" si="6"/>
        <v>0</v>
      </c>
      <c r="E99" s="191"/>
      <c r="F99" s="230"/>
      <c r="G99" s="204"/>
      <c r="H99" s="188"/>
      <c r="I99" s="189"/>
      <c r="J99" s="4"/>
      <c r="K99" s="171"/>
      <c r="L99" s="4"/>
      <c r="M99" s="4"/>
      <c r="N99" s="4"/>
      <c r="O99" s="192">
        <f>IF(O98+1&lt;=MIN('Données projet'!$E$9:$E$18),O98+1,"STOP")</f>
        <v>66</v>
      </c>
      <c r="P99" s="183">
        <f t="shared" si="7"/>
        <v>0</v>
      </c>
      <c r="Q99" s="233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5">
      <c r="A100" s="178">
        <f>'Données projet'!A103</f>
        <v>95</v>
      </c>
      <c r="B100" s="179">
        <f>'Données projet'!D103</f>
        <v>25</v>
      </c>
      <c r="C100" s="189"/>
      <c r="D100" s="177">
        <f t="shared" si="6"/>
        <v>0</v>
      </c>
      <c r="E100" s="191"/>
      <c r="F100" s="230"/>
      <c r="G100" s="204"/>
      <c r="H100" s="188"/>
      <c r="I100" s="189"/>
      <c r="J100" s="4"/>
      <c r="K100" s="171"/>
      <c r="L100" s="4"/>
      <c r="M100" s="4"/>
      <c r="N100" s="4"/>
      <c r="O100" s="192">
        <f>IF(O99+1&lt;=MIN('Données projet'!$E$9:$E$18),O99+1,"STOP")</f>
        <v>67</v>
      </c>
      <c r="P100" s="183">
        <f t="shared" si="7"/>
        <v>0</v>
      </c>
      <c r="Q100" s="233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5">
      <c r="A101" s="178">
        <f>'Données projet'!A104</f>
        <v>100</v>
      </c>
      <c r="B101" s="179">
        <f>'Données projet'!D104</f>
        <v>24</v>
      </c>
      <c r="C101" s="189"/>
      <c r="D101" s="177">
        <f t="shared" si="6"/>
        <v>0</v>
      </c>
      <c r="E101" s="191"/>
      <c r="F101" s="230"/>
      <c r="G101" s="204"/>
      <c r="H101" s="188"/>
      <c r="I101" s="189"/>
      <c r="J101" s="4"/>
      <c r="K101" s="171"/>
      <c r="L101" s="4"/>
      <c r="M101" s="4"/>
      <c r="N101" s="4"/>
      <c r="O101" s="192">
        <f>IF(O100+1&lt;=MIN('Données projet'!$E$9:$E$18),O100+1,"STOP")</f>
        <v>68</v>
      </c>
      <c r="P101" s="183">
        <f t="shared" si="7"/>
        <v>0</v>
      </c>
      <c r="Q101" s="233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5">
      <c r="A102" s="178">
        <f>'Données projet'!A105</f>
        <v>105</v>
      </c>
      <c r="B102" s="179">
        <f>'Données projet'!D105</f>
        <v>23</v>
      </c>
      <c r="C102" s="189"/>
      <c r="D102" s="177">
        <f t="shared" si="6"/>
        <v>0</v>
      </c>
      <c r="E102" s="191"/>
      <c r="F102" s="230"/>
      <c r="G102" s="204"/>
      <c r="H102" s="188"/>
      <c r="I102" s="189"/>
      <c r="J102" s="4"/>
      <c r="K102" s="171"/>
      <c r="L102" s="4"/>
      <c r="M102" s="4"/>
      <c r="N102" s="4"/>
      <c r="O102" s="192">
        <f>IF(O101+1&lt;=MIN('Données projet'!$E$9:$E$18),O101+1,"STOP")</f>
        <v>69</v>
      </c>
      <c r="P102" s="183">
        <f t="shared" si="7"/>
        <v>0</v>
      </c>
      <c r="Q102" s="233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5">
      <c r="A103" s="178">
        <f>'Données projet'!A106</f>
        <v>110</v>
      </c>
      <c r="B103" s="179">
        <f>'Données projet'!D106</f>
        <v>22</v>
      </c>
      <c r="C103" s="189"/>
      <c r="D103" s="177">
        <f t="shared" si="6"/>
        <v>0</v>
      </c>
      <c r="E103" s="191"/>
      <c r="F103" s="230"/>
      <c r="G103" s="204"/>
      <c r="H103" s="188"/>
      <c r="I103" s="189"/>
      <c r="J103" s="4"/>
      <c r="K103" s="171"/>
      <c r="L103" s="4"/>
      <c r="M103" s="4"/>
      <c r="N103" s="4"/>
      <c r="O103" s="192" t="str">
        <f>IF(O102+1&lt;=MIN('Données projet'!$E$9:$E$18),O102+1,"STOP")</f>
        <v>STOP</v>
      </c>
      <c r="P103" s="183" t="e">
        <f t="shared" si="7"/>
        <v>#VALUE!</v>
      </c>
      <c r="Q103" s="233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5">
      <c r="A104" s="178">
        <f>'Données projet'!A107</f>
        <v>115</v>
      </c>
      <c r="B104" s="179">
        <f>'Données projet'!D107</f>
        <v>22</v>
      </c>
      <c r="C104" s="189"/>
      <c r="D104" s="177">
        <f t="shared" si="6"/>
        <v>0</v>
      </c>
      <c r="E104" s="191"/>
      <c r="F104" s="230"/>
      <c r="G104" s="204"/>
      <c r="H104" s="188"/>
      <c r="I104" s="189"/>
      <c r="J104" s="4"/>
      <c r="K104" s="171"/>
      <c r="L104" s="4"/>
      <c r="M104" s="4"/>
      <c r="N104" s="4"/>
      <c r="O104" s="192" t="e">
        <f>IF(O103+1&lt;=MIN('Données projet'!$E$9:$E$18),O103+1,"STOP")</f>
        <v>#VALUE!</v>
      </c>
      <c r="P104" s="183" t="e">
        <f t="shared" si="7"/>
        <v>#VALUE!</v>
      </c>
      <c r="Q104" s="233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5">
      <c r="A105" s="4"/>
      <c r="B105" s="4"/>
      <c r="C105" s="4"/>
      <c r="D105" s="4"/>
      <c r="E105" s="4"/>
      <c r="F105" s="228"/>
      <c r="G105" s="204"/>
      <c r="H105" s="188"/>
      <c r="I105" s="189"/>
      <c r="J105" s="4"/>
      <c r="K105" s="171"/>
      <c r="L105" s="4"/>
      <c r="M105" s="4"/>
      <c r="N105" s="4"/>
      <c r="O105" s="192" t="e">
        <f>IF(O104+1&lt;=MIN('Données projet'!$E$9:$E$18),O104+1,"STOP")</f>
        <v>#VALUE!</v>
      </c>
      <c r="P105" s="183" t="e">
        <f t="shared" si="7"/>
        <v>#VALUE!</v>
      </c>
      <c r="Q105" s="233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5">
      <c r="A106" s="4"/>
      <c r="B106" s="4"/>
      <c r="C106" s="4"/>
      <c r="D106" s="4"/>
      <c r="E106" s="4"/>
      <c r="F106" s="228"/>
      <c r="G106" s="204"/>
      <c r="H106" s="188"/>
      <c r="I106" s="189"/>
      <c r="J106" s="4"/>
      <c r="K106" s="171"/>
      <c r="L106" s="4"/>
      <c r="M106" s="4"/>
      <c r="N106" s="4"/>
      <c r="O106" s="192" t="e">
        <f>IF(O105+1&lt;=MIN('Données projet'!$E$9:$E$18),O105+1,"STOP")</f>
        <v>#VALUE!</v>
      </c>
      <c r="P106" s="183" t="e">
        <f t="shared" si="7"/>
        <v>#VALUE!</v>
      </c>
      <c r="Q106" s="233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5">
      <c r="A107" s="46" t="s">
        <v>168</v>
      </c>
      <c r="B107" s="172" t="str">
        <f>IF('Données projet'!B12="","",'Données projet'!B12)</f>
        <v>Cèdre de l'Atlas</v>
      </c>
      <c r="C107" s="4"/>
      <c r="D107" s="4"/>
      <c r="E107" s="4"/>
      <c r="F107" s="228"/>
      <c r="G107" s="204"/>
      <c r="H107" s="188"/>
      <c r="I107" s="189"/>
      <c r="J107" s="4"/>
      <c r="K107" s="171"/>
      <c r="L107" s="4"/>
      <c r="M107" s="4"/>
      <c r="N107" s="4"/>
      <c r="O107" s="192" t="e">
        <f>IF(O106+1&lt;=MIN('Données projet'!$E$9:$E$18),O106+1,"STOP")</f>
        <v>#VALUE!</v>
      </c>
      <c r="P107" s="183" t="e">
        <f t="shared" si="7"/>
        <v>#VALUE!</v>
      </c>
      <c r="Q107" s="233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5">
      <c r="A108" s="4"/>
      <c r="B108" s="4"/>
      <c r="C108" s="4"/>
      <c r="D108" s="4"/>
      <c r="E108" s="4"/>
      <c r="F108" s="228"/>
      <c r="G108" s="204"/>
      <c r="H108" s="188"/>
      <c r="I108" s="189"/>
      <c r="J108" s="4"/>
      <c r="K108" s="171"/>
      <c r="L108" s="4"/>
      <c r="M108" s="4"/>
      <c r="N108" s="4"/>
      <c r="O108" s="192" t="e">
        <f>IF(O107+1&lt;=MIN('Données projet'!$E$9:$E$18),O107+1,"STOP")</f>
        <v>#VALUE!</v>
      </c>
      <c r="P108" s="183" t="e">
        <f t="shared" si="7"/>
        <v>#VALUE!</v>
      </c>
      <c r="Q108" s="233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29"/>
      <c r="G109" s="204"/>
      <c r="H109" s="188"/>
      <c r="I109" s="189"/>
      <c r="J109" s="4"/>
      <c r="K109" s="171"/>
      <c r="L109" s="4"/>
      <c r="M109" s="4"/>
      <c r="N109" s="4"/>
      <c r="O109" s="192" t="e">
        <f>IF(O108+1&lt;=MIN('Données projet'!$E$9:$E$18),O108+1,"STOP")</f>
        <v>#VALUE!</v>
      </c>
      <c r="P109" s="183" t="e">
        <f t="shared" si="7"/>
        <v>#VALUE!</v>
      </c>
      <c r="Q109" s="233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5">
      <c r="A110" s="49">
        <v>0</v>
      </c>
      <c r="B110" s="197" t="s">
        <v>132</v>
      </c>
      <c r="C110" s="196" t="s">
        <v>132</v>
      </c>
      <c r="D110" s="195" t="s">
        <v>132</v>
      </c>
      <c r="E110" s="191">
        <v>3766.07</v>
      </c>
      <c r="F110" s="229"/>
      <c r="G110" s="204"/>
      <c r="H110" s="188"/>
      <c r="I110" s="189"/>
      <c r="J110" s="4"/>
      <c r="K110" s="171"/>
      <c r="L110" s="4"/>
      <c r="M110" s="4"/>
      <c r="N110" s="4"/>
      <c r="O110" s="192" t="e">
        <f>IF(O109+1&lt;=MIN('Données projet'!$E$9:$E$18),O109+1,"STOP")</f>
        <v>#VALUE!</v>
      </c>
      <c r="P110" s="183" t="e">
        <f t="shared" si="7"/>
        <v>#VALUE!</v>
      </c>
      <c r="Q110" s="233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5">
      <c r="A111" s="49">
        <v>1</v>
      </c>
      <c r="B111" s="197" t="s">
        <v>132</v>
      </c>
      <c r="C111" s="196" t="s">
        <v>132</v>
      </c>
      <c r="D111" s="195" t="s">
        <v>132</v>
      </c>
      <c r="E111" s="191"/>
      <c r="F111" s="229"/>
      <c r="G111" s="23"/>
      <c r="H111" s="188"/>
      <c r="I111" s="189"/>
      <c r="J111" s="4"/>
      <c r="K111" s="171"/>
      <c r="L111" s="4"/>
      <c r="M111" s="4"/>
      <c r="N111" s="4"/>
      <c r="O111" s="192" t="e">
        <f>IF(O110+1&lt;=MIN('Données projet'!$E$9:$E$18),O110+1,"STOP")</f>
        <v>#VALUE!</v>
      </c>
      <c r="P111" s="183" t="e">
        <f t="shared" si="7"/>
        <v>#VALUE!</v>
      </c>
      <c r="Q111" s="233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5">
      <c r="A112" s="49">
        <v>2</v>
      </c>
      <c r="B112" s="197" t="s">
        <v>132</v>
      </c>
      <c r="C112" s="196" t="s">
        <v>132</v>
      </c>
      <c r="D112" s="195" t="s">
        <v>132</v>
      </c>
      <c r="E112" s="191"/>
      <c r="F112" s="229"/>
      <c r="G112" s="23"/>
      <c r="H112" s="188"/>
      <c r="I112" s="189"/>
      <c r="J112" s="4"/>
      <c r="K112" s="171"/>
      <c r="L112" s="4"/>
      <c r="M112" s="4"/>
      <c r="N112" s="4"/>
      <c r="O112" s="192" t="e">
        <f>IF(O111+1&lt;=MIN('Données projet'!$E$9:$E$18),O111+1,"STOP")</f>
        <v>#VALUE!</v>
      </c>
      <c r="P112" s="183" t="e">
        <f t="shared" si="7"/>
        <v>#VALUE!</v>
      </c>
      <c r="Q112" s="233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5">
      <c r="A113" s="49">
        <v>3</v>
      </c>
      <c r="B113" s="197" t="s">
        <v>132</v>
      </c>
      <c r="C113" s="196" t="s">
        <v>132</v>
      </c>
      <c r="D113" s="195" t="s">
        <v>132</v>
      </c>
      <c r="E113" s="191"/>
      <c r="F113" s="229"/>
      <c r="G113" s="23"/>
      <c r="H113" s="188"/>
      <c r="I113" s="189"/>
      <c r="J113" s="4"/>
      <c r="K113" s="171"/>
      <c r="L113" s="4"/>
      <c r="M113" s="4"/>
      <c r="N113" s="4"/>
      <c r="O113" s="192" t="e">
        <f>IF(O112+1&lt;=MIN('Données projet'!$E$9:$E$18),O112+1,"STOP")</f>
        <v>#VALUE!</v>
      </c>
      <c r="P113" s="183" t="e">
        <f t="shared" si="7"/>
        <v>#VALUE!</v>
      </c>
      <c r="Q113" s="233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5">
      <c r="A114" s="49">
        <v>4</v>
      </c>
      <c r="B114" s="197" t="s">
        <v>132</v>
      </c>
      <c r="C114" s="196" t="s">
        <v>132</v>
      </c>
      <c r="D114" s="195" t="s">
        <v>132</v>
      </c>
      <c r="E114" s="191"/>
      <c r="F114" s="229"/>
      <c r="G114" s="23"/>
      <c r="H114" s="188"/>
      <c r="I114" s="189"/>
      <c r="J114" s="4"/>
      <c r="K114" s="171"/>
      <c r="L114" s="4"/>
      <c r="M114" s="4"/>
      <c r="N114" s="4"/>
      <c r="O114" s="192" t="e">
        <f>IF(O113+1&lt;=MIN('Données projet'!$E$9:$E$18),O113+1,"STOP")</f>
        <v>#VALUE!</v>
      </c>
      <c r="P114" s="183" t="e">
        <f t="shared" si="7"/>
        <v>#VALUE!</v>
      </c>
      <c r="Q114" s="233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5">
      <c r="A115" s="49">
        <v>5</v>
      </c>
      <c r="B115" s="197" t="s">
        <v>132</v>
      </c>
      <c r="C115" s="196" t="s">
        <v>132</v>
      </c>
      <c r="D115" s="195" t="s">
        <v>132</v>
      </c>
      <c r="E115" s="191"/>
      <c r="F115" s="229"/>
      <c r="G115" s="203"/>
      <c r="H115" s="188"/>
      <c r="I115" s="189"/>
      <c r="J115" s="4"/>
      <c r="K115" s="171"/>
      <c r="L115" s="4"/>
      <c r="M115" s="4"/>
      <c r="N115" s="4"/>
      <c r="O115" s="192" t="e">
        <f>IF(O114+1&lt;=MIN('Données projet'!$E$9:$E$18),O114+1,"STOP")</f>
        <v>#VALUE!</v>
      </c>
      <c r="P115" s="183" t="e">
        <f t="shared" si="7"/>
        <v>#VALUE!</v>
      </c>
      <c r="Q115" s="233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5">
      <c r="A116" s="178">
        <f>'Données projet'!A114</f>
        <v>30</v>
      </c>
      <c r="B116" s="179">
        <f>'Données projet'!D114</f>
        <v>0</v>
      </c>
      <c r="C116" s="189"/>
      <c r="D116" s="177">
        <f>B116*C116</f>
        <v>0</v>
      </c>
      <c r="E116" s="191"/>
      <c r="F116" s="230"/>
      <c r="G116" s="203"/>
      <c r="H116" s="188"/>
      <c r="I116" s="189"/>
      <c r="J116" s="4"/>
      <c r="K116" s="171"/>
      <c r="L116" s="4"/>
      <c r="M116" s="4"/>
      <c r="N116" s="4"/>
      <c r="O116" s="192" t="e">
        <f>IF(O115+1&lt;=MIN('Données projet'!$E$9:$E$18),O115+1,"STOP")</f>
        <v>#VALUE!</v>
      </c>
      <c r="P116" s="183" t="e">
        <f t="shared" si="7"/>
        <v>#VALUE!</v>
      </c>
      <c r="Q116" s="233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5">
      <c r="A117" s="178">
        <f>'Données projet'!A115</f>
        <v>42</v>
      </c>
      <c r="B117" s="179">
        <f>'Données projet'!D115</f>
        <v>105.41</v>
      </c>
      <c r="C117" s="189"/>
      <c r="D117" s="177">
        <f t="shared" ref="D117:D135" si="8">B117*C117</f>
        <v>0</v>
      </c>
      <c r="E117" s="191"/>
      <c r="F117" s="230"/>
      <c r="G117" s="203"/>
      <c r="H117" s="188"/>
      <c r="I117" s="189"/>
      <c r="J117" s="4"/>
      <c r="K117" s="171"/>
      <c r="L117" s="4"/>
      <c r="M117" s="4"/>
      <c r="N117" s="4"/>
      <c r="O117" s="192" t="e">
        <f>IF(O116+1&lt;=MIN('Données projet'!$E$9:$E$18),O116+1,"STOP")</f>
        <v>#VALUE!</v>
      </c>
      <c r="P117" s="183" t="e">
        <f t="shared" si="7"/>
        <v>#VALUE!</v>
      </c>
      <c r="Q117" s="233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5">
      <c r="A118" s="178">
        <f>'Données projet'!A116</f>
        <v>50</v>
      </c>
      <c r="B118" s="179">
        <f>'Données projet'!D116</f>
        <v>106.51</v>
      </c>
      <c r="C118" s="189"/>
      <c r="D118" s="177">
        <f t="shared" si="8"/>
        <v>0</v>
      </c>
      <c r="E118" s="191"/>
      <c r="F118" s="230"/>
      <c r="G118" s="203"/>
      <c r="H118" s="188"/>
      <c r="I118" s="189"/>
      <c r="J118" s="4"/>
      <c r="K118" s="171"/>
      <c r="L118" s="4"/>
      <c r="M118" s="4"/>
      <c r="N118" s="4"/>
      <c r="O118" s="192" t="e">
        <f>IF(O117+1&lt;=MIN('Données projet'!$E$9:$E$18),O117+1,"STOP")</f>
        <v>#VALUE!</v>
      </c>
      <c r="P118" s="183" t="e">
        <f t="shared" si="7"/>
        <v>#VALUE!</v>
      </c>
      <c r="Q118" s="233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5">
      <c r="A119" s="178">
        <f>'Données projet'!A117</f>
        <v>58</v>
      </c>
      <c r="B119" s="179">
        <f>'Données projet'!D117</f>
        <v>87.34</v>
      </c>
      <c r="C119" s="189"/>
      <c r="D119" s="177">
        <f t="shared" si="8"/>
        <v>0</v>
      </c>
      <c r="E119" s="191"/>
      <c r="F119" s="230"/>
      <c r="G119" s="203"/>
      <c r="H119" s="188"/>
      <c r="I119" s="189"/>
      <c r="J119" s="4"/>
      <c r="K119" s="171"/>
      <c r="L119" s="4"/>
      <c r="M119" s="4"/>
      <c r="N119" s="4"/>
      <c r="O119" s="192" t="e">
        <f>IF(O118+1&lt;=MIN('Données projet'!$E$9:$E$18),O118+1,"STOP")</f>
        <v>#VALUE!</v>
      </c>
      <c r="P119" s="183" t="e">
        <f t="shared" si="7"/>
        <v>#VALUE!</v>
      </c>
      <c r="Q119" s="233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5">
      <c r="A120" s="178">
        <f>'Données projet'!A118</f>
        <v>66</v>
      </c>
      <c r="B120" s="179">
        <f>'Données projet'!D118</f>
        <v>87.73</v>
      </c>
      <c r="C120" s="189"/>
      <c r="D120" s="177">
        <f t="shared" si="8"/>
        <v>0</v>
      </c>
      <c r="E120" s="191"/>
      <c r="F120" s="230"/>
      <c r="G120" s="203"/>
      <c r="H120" s="188"/>
      <c r="I120" s="189"/>
      <c r="J120" s="4"/>
      <c r="K120" s="171"/>
      <c r="L120" s="4"/>
      <c r="M120" s="4"/>
      <c r="N120" s="4"/>
      <c r="O120" s="192" t="e">
        <f>IF(O119+1&lt;=MIN('Données projet'!$E$9:$E$18),O119+1,"STOP")</f>
        <v>#VALUE!</v>
      </c>
      <c r="P120" s="183" t="e">
        <f t="shared" si="7"/>
        <v>#VALUE!</v>
      </c>
      <c r="Q120" s="233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5">
      <c r="A121" s="178">
        <f>'Données projet'!A119</f>
        <v>75</v>
      </c>
      <c r="B121" s="179">
        <f>'Données projet'!D119</f>
        <v>87.99</v>
      </c>
      <c r="C121" s="189"/>
      <c r="D121" s="177">
        <f t="shared" si="8"/>
        <v>0</v>
      </c>
      <c r="E121" s="191"/>
      <c r="F121" s="230"/>
      <c r="G121" s="203"/>
      <c r="H121" s="188"/>
      <c r="I121" s="189"/>
      <c r="J121" s="4"/>
      <c r="K121" s="171"/>
      <c r="L121" s="4"/>
      <c r="M121" s="4"/>
      <c r="N121" s="4"/>
      <c r="O121" s="192" t="e">
        <f>IF(O120+1&lt;=MIN('Données projet'!$E$9:$E$18),O120+1,"STOP")</f>
        <v>#VALUE!</v>
      </c>
      <c r="P121" s="183" t="e">
        <f t="shared" si="7"/>
        <v>#VALUE!</v>
      </c>
      <c r="Q121" s="233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5">
      <c r="A122" s="178">
        <f>'Données projet'!A120</f>
        <v>83</v>
      </c>
      <c r="B122" s="179">
        <f>'Données projet'!D120</f>
        <v>90.24</v>
      </c>
      <c r="C122" s="189"/>
      <c r="D122" s="177">
        <f t="shared" si="8"/>
        <v>0</v>
      </c>
      <c r="E122" s="191"/>
      <c r="F122" s="230"/>
      <c r="G122" s="204"/>
      <c r="H122" s="188"/>
      <c r="I122" s="189"/>
      <c r="J122" s="4"/>
      <c r="K122" s="171"/>
      <c r="L122" s="4"/>
      <c r="M122" s="4"/>
      <c r="N122" s="4"/>
      <c r="O122" s="192" t="e">
        <f>IF(O121+1&lt;=MIN('Données projet'!$E$9:$E$18),O121+1,"STOP")</f>
        <v>#VALUE!</v>
      </c>
      <c r="P122" s="183" t="e">
        <f t="shared" si="7"/>
        <v>#VALUE!</v>
      </c>
      <c r="Q122" s="233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5">
      <c r="A123" s="178">
        <f>'Données projet'!A121</f>
        <v>91</v>
      </c>
      <c r="B123" s="179">
        <f>'Données projet'!D121</f>
        <v>260.64</v>
      </c>
      <c r="C123" s="189"/>
      <c r="D123" s="177">
        <f t="shared" si="8"/>
        <v>0</v>
      </c>
      <c r="E123" s="191"/>
      <c r="F123" s="230"/>
      <c r="G123" s="204"/>
      <c r="H123" s="188"/>
      <c r="I123" s="189"/>
      <c r="J123" s="4"/>
      <c r="K123" s="171"/>
      <c r="L123" s="4"/>
      <c r="M123" s="4"/>
      <c r="N123" s="4"/>
      <c r="O123" s="192" t="e">
        <f>IF(O122+1&lt;=MIN('Données projet'!$E$9:$E$18),O122+1,"STOP")</f>
        <v>#VALUE!</v>
      </c>
      <c r="P123" s="183" t="e">
        <f t="shared" si="7"/>
        <v>#VALUE!</v>
      </c>
      <c r="Q123" s="233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5">
      <c r="A124" s="178">
        <f>'Données projet'!A122</f>
        <v>101</v>
      </c>
      <c r="B124" s="179">
        <f>'Données projet'!D122</f>
        <v>351.18</v>
      </c>
      <c r="C124" s="189"/>
      <c r="D124" s="177">
        <f t="shared" si="8"/>
        <v>0</v>
      </c>
      <c r="E124" s="191"/>
      <c r="F124" s="230"/>
      <c r="G124" s="204"/>
      <c r="H124" s="188"/>
      <c r="I124" s="189"/>
      <c r="J124" s="4"/>
      <c r="K124" s="171"/>
      <c r="L124" s="4"/>
      <c r="M124" s="4"/>
      <c r="N124" s="4"/>
      <c r="O124" s="192" t="e">
        <f>IF(O123+1&lt;=MIN('Données projet'!$E$9:$E$18),O123+1,"STOP")</f>
        <v>#VALUE!</v>
      </c>
      <c r="P124" s="183" t="e">
        <f t="shared" si="7"/>
        <v>#VALUE!</v>
      </c>
      <c r="Q124" s="233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5">
      <c r="A125" s="178">
        <f>'Données projet'!A123</f>
        <v>0</v>
      </c>
      <c r="B125" s="179">
        <f>'Données projet'!D123</f>
        <v>0</v>
      </c>
      <c r="C125" s="189"/>
      <c r="D125" s="177">
        <f t="shared" si="8"/>
        <v>0</v>
      </c>
      <c r="E125" s="191"/>
      <c r="F125" s="230"/>
      <c r="G125" s="204"/>
      <c r="H125" s="188"/>
      <c r="I125" s="189"/>
      <c r="J125" s="4"/>
      <c r="K125" s="171"/>
      <c r="L125" s="4"/>
      <c r="M125" s="4"/>
      <c r="N125" s="4"/>
      <c r="O125" s="192" t="e">
        <f>IF(O124+1&lt;=MIN('Données projet'!$E$9:$E$18),O124+1,"STOP")</f>
        <v>#VALUE!</v>
      </c>
      <c r="P125" s="183" t="e">
        <f t="shared" si="7"/>
        <v>#VALUE!</v>
      </c>
      <c r="Q125" s="233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5">
      <c r="A126" s="178">
        <f>'Données projet'!A124</f>
        <v>0</v>
      </c>
      <c r="B126" s="179">
        <f>'Données projet'!D124</f>
        <v>0</v>
      </c>
      <c r="C126" s="189"/>
      <c r="D126" s="177">
        <f t="shared" si="8"/>
        <v>0</v>
      </c>
      <c r="E126" s="191"/>
      <c r="F126" s="230"/>
      <c r="G126" s="204"/>
      <c r="H126" s="188"/>
      <c r="I126" s="189"/>
      <c r="J126" s="4"/>
      <c r="K126" s="171"/>
      <c r="L126" s="4"/>
      <c r="M126" s="4"/>
      <c r="N126" s="4"/>
      <c r="O126" s="192" t="e">
        <f>IF(O125+1&lt;=MIN('Données projet'!$E$9:$E$18),O125+1,"STOP")</f>
        <v>#VALUE!</v>
      </c>
      <c r="P126" s="183" t="e">
        <f t="shared" si="7"/>
        <v>#VALUE!</v>
      </c>
      <c r="Q126" s="233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5">
      <c r="A127" s="178">
        <f>'Données projet'!A125</f>
        <v>0</v>
      </c>
      <c r="B127" s="179">
        <f>'Données projet'!D125</f>
        <v>0</v>
      </c>
      <c r="C127" s="189"/>
      <c r="D127" s="177">
        <f t="shared" si="8"/>
        <v>0</v>
      </c>
      <c r="E127" s="191"/>
      <c r="F127" s="230"/>
      <c r="G127" s="204"/>
      <c r="H127" s="188"/>
      <c r="I127" s="189"/>
      <c r="J127" s="4"/>
      <c r="K127" s="171"/>
      <c r="L127" s="4"/>
      <c r="M127" s="4"/>
      <c r="N127" s="4"/>
      <c r="O127" s="192" t="e">
        <f>IF(O126+1&lt;=MIN('Données projet'!$E$9:$E$18),O126+1,"STOP")</f>
        <v>#VALUE!</v>
      </c>
      <c r="P127" s="183" t="e">
        <f t="shared" si="7"/>
        <v>#VALUE!</v>
      </c>
      <c r="Q127" s="233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5">
      <c r="A128" s="178">
        <f>'Données projet'!A126</f>
        <v>0</v>
      </c>
      <c r="B128" s="179">
        <f>'Données projet'!D126</f>
        <v>0</v>
      </c>
      <c r="C128" s="189"/>
      <c r="D128" s="177">
        <f t="shared" si="8"/>
        <v>0</v>
      </c>
      <c r="E128" s="191"/>
      <c r="F128" s="230"/>
      <c r="G128" s="204"/>
      <c r="H128" s="188"/>
      <c r="I128" s="189"/>
      <c r="J128" s="4"/>
      <c r="K128" s="171"/>
      <c r="L128" s="4"/>
      <c r="M128" s="4"/>
      <c r="N128" s="4"/>
      <c r="O128" s="192" t="e">
        <f>IF(O127+1&lt;=MIN('Données projet'!$E$9:$E$18),O127+1,"STOP")</f>
        <v>#VALUE!</v>
      </c>
      <c r="P128" s="183" t="e">
        <f t="shared" si="7"/>
        <v>#VALUE!</v>
      </c>
      <c r="Q128" s="233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5">
      <c r="A129" s="178">
        <f>'Données projet'!A127</f>
        <v>0</v>
      </c>
      <c r="B129" s="179">
        <f>'Données projet'!D127</f>
        <v>0</v>
      </c>
      <c r="C129" s="189"/>
      <c r="D129" s="177">
        <f t="shared" si="8"/>
        <v>0</v>
      </c>
      <c r="E129" s="191"/>
      <c r="F129" s="230"/>
      <c r="G129" s="204"/>
      <c r="H129" s="188"/>
      <c r="I129" s="189"/>
      <c r="J129" s="4"/>
      <c r="K129" s="171"/>
      <c r="L129" s="4"/>
      <c r="M129" s="4"/>
      <c r="N129" s="4"/>
      <c r="O129" s="192" t="e">
        <f>IF(O128+1&lt;=MIN('Données projet'!$E$9:$E$18),O128+1,"STOP")</f>
        <v>#VALUE!</v>
      </c>
      <c r="P129" s="183" t="e">
        <f t="shared" ref="P129:P132" si="9">$P$25/(1+$M$4)^O129</f>
        <v>#VALUE!</v>
      </c>
      <c r="Q129" s="233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5">
      <c r="A130" s="178">
        <f>'Données projet'!A128</f>
        <v>0</v>
      </c>
      <c r="B130" s="179">
        <f>'Données projet'!D128</f>
        <v>0</v>
      </c>
      <c r="C130" s="189"/>
      <c r="D130" s="177">
        <f t="shared" si="8"/>
        <v>0</v>
      </c>
      <c r="E130" s="191"/>
      <c r="F130" s="230"/>
      <c r="G130" s="204"/>
      <c r="H130" s="188"/>
      <c r="I130" s="189"/>
      <c r="J130" s="4"/>
      <c r="K130" s="171"/>
      <c r="L130" s="4"/>
      <c r="M130" s="4"/>
      <c r="N130" s="4"/>
      <c r="O130" s="192" t="e">
        <f>IF(O129+1&lt;=MIN('Données projet'!$E$9:$E$18),O129+1,"STOP")</f>
        <v>#VALUE!</v>
      </c>
      <c r="P130" s="183" t="e">
        <f t="shared" si="9"/>
        <v>#VALUE!</v>
      </c>
      <c r="Q130" s="233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5">
      <c r="A131" s="178">
        <f>'Données projet'!A129</f>
        <v>0</v>
      </c>
      <c r="B131" s="179">
        <f>'Données projet'!D129</f>
        <v>0</v>
      </c>
      <c r="C131" s="189"/>
      <c r="D131" s="177">
        <f t="shared" si="8"/>
        <v>0</v>
      </c>
      <c r="E131" s="191"/>
      <c r="F131" s="230"/>
      <c r="G131" s="204"/>
      <c r="H131" s="188"/>
      <c r="I131" s="189"/>
      <c r="J131" s="4"/>
      <c r="K131" s="171"/>
      <c r="L131" s="4"/>
      <c r="M131" s="4"/>
      <c r="N131" s="4"/>
      <c r="O131" s="192" t="e">
        <f>IF(O130+1&lt;=MIN('Données projet'!$E$9:$E$18),O130+1,"STOP")</f>
        <v>#VALUE!</v>
      </c>
      <c r="P131" s="183" t="e">
        <f t="shared" si="9"/>
        <v>#VALUE!</v>
      </c>
      <c r="Q131" s="233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5">
      <c r="A132" s="178">
        <f>'Données projet'!A130</f>
        <v>0</v>
      </c>
      <c r="B132" s="179">
        <f>'Données projet'!D130</f>
        <v>0</v>
      </c>
      <c r="C132" s="189"/>
      <c r="D132" s="177">
        <f t="shared" si="8"/>
        <v>0</v>
      </c>
      <c r="E132" s="191"/>
      <c r="F132" s="230"/>
      <c r="G132" s="204"/>
      <c r="H132" s="188"/>
      <c r="I132" s="189"/>
      <c r="J132" s="4"/>
      <c r="K132" s="171"/>
      <c r="L132" s="4"/>
      <c r="M132" s="4"/>
      <c r="N132" s="4"/>
      <c r="O132" s="192" t="e">
        <f>IF(O131+1&lt;=MIN('Données projet'!$E$9:$E$18),O131+1,"STOP")</f>
        <v>#VALUE!</v>
      </c>
      <c r="P132" s="183" t="e">
        <f t="shared" si="9"/>
        <v>#VALUE!</v>
      </c>
      <c r="Q132" s="233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5">
      <c r="A133" s="178">
        <f>'Données projet'!A131</f>
        <v>0</v>
      </c>
      <c r="B133" s="179">
        <f>'Données projet'!D131</f>
        <v>0</v>
      </c>
      <c r="C133" s="189"/>
      <c r="D133" s="177">
        <f t="shared" si="8"/>
        <v>0</v>
      </c>
      <c r="E133" s="191"/>
      <c r="F133" s="230"/>
      <c r="G133" s="204"/>
      <c r="H133" s="188"/>
      <c r="I133" s="189"/>
      <c r="J133" s="4"/>
      <c r="K133" s="171"/>
      <c r="Q133" s="233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5">
      <c r="A134" s="178">
        <f>'Données projet'!A132</f>
        <v>0</v>
      </c>
      <c r="B134" s="179">
        <f>'Données projet'!D132</f>
        <v>0</v>
      </c>
      <c r="C134" s="189"/>
      <c r="D134" s="177">
        <f t="shared" si="8"/>
        <v>0</v>
      </c>
      <c r="E134" s="191"/>
      <c r="F134" s="230"/>
      <c r="G134" s="204"/>
      <c r="H134" s="188"/>
      <c r="I134" s="189"/>
      <c r="J134" s="4"/>
      <c r="K134" s="171"/>
      <c r="Q134" s="233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5">
      <c r="A135" s="178">
        <f>'Données projet'!A133</f>
        <v>0</v>
      </c>
      <c r="B135" s="179">
        <f>'Données projet'!D133</f>
        <v>0</v>
      </c>
      <c r="C135" s="189"/>
      <c r="D135" s="177">
        <f t="shared" si="8"/>
        <v>0</v>
      </c>
      <c r="E135" s="191"/>
      <c r="F135" s="230"/>
      <c r="G135" s="204"/>
      <c r="H135" s="188"/>
      <c r="I135" s="189"/>
      <c r="J135" s="4"/>
      <c r="K135" s="171"/>
      <c r="Q135" s="233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5">
      <c r="A136" s="4"/>
      <c r="B136" s="4"/>
      <c r="C136" s="4"/>
      <c r="D136" s="4"/>
      <c r="E136" s="4"/>
      <c r="F136" s="228"/>
      <c r="G136" s="204"/>
      <c r="H136" s="188"/>
      <c r="I136" s="189"/>
      <c r="J136" s="4"/>
      <c r="K136" s="171"/>
      <c r="L136" s="4"/>
      <c r="M136" s="4"/>
      <c r="N136" s="4"/>
      <c r="Q136" s="233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5">
      <c r="A137" s="4"/>
      <c r="B137" s="4"/>
      <c r="C137" s="4"/>
      <c r="D137" s="4"/>
      <c r="E137" s="4"/>
      <c r="F137" s="228"/>
      <c r="G137" s="204"/>
      <c r="H137" s="188"/>
      <c r="I137" s="189"/>
      <c r="J137" s="4"/>
      <c r="K137" s="171"/>
      <c r="L137" s="4"/>
      <c r="M137" s="4"/>
      <c r="N137" s="4"/>
      <c r="Q137" s="233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5">
      <c r="A138" s="46" t="s">
        <v>169</v>
      </c>
      <c r="B138" s="172" t="str">
        <f>IF('Données projet'!B13="","",'Données projet'!B13)</f>
        <v>Châtaignier</v>
      </c>
      <c r="C138" s="4"/>
      <c r="D138" s="4"/>
      <c r="E138" s="4"/>
      <c r="F138" s="228"/>
      <c r="G138" s="204"/>
      <c r="H138" s="188"/>
      <c r="I138" s="189"/>
      <c r="J138" s="4"/>
      <c r="K138" s="171"/>
      <c r="L138" s="4"/>
      <c r="M138" s="4"/>
      <c r="N138" s="4"/>
      <c r="Q138" s="233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5">
      <c r="A139" s="4"/>
      <c r="B139" s="4"/>
      <c r="C139" s="4"/>
      <c r="D139" s="4"/>
      <c r="E139" s="4"/>
      <c r="F139" s="228"/>
      <c r="G139" s="204"/>
      <c r="H139" s="188"/>
      <c r="I139" s="189"/>
      <c r="J139" s="4"/>
      <c r="K139" s="171"/>
      <c r="L139" s="4"/>
      <c r="M139" s="4"/>
      <c r="N139" s="4"/>
      <c r="Q139" s="233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29"/>
      <c r="G140" s="204"/>
      <c r="H140" s="188"/>
      <c r="I140" s="189"/>
      <c r="J140" s="4"/>
      <c r="K140" s="171"/>
      <c r="L140" s="4"/>
      <c r="M140" s="4"/>
      <c r="N140" s="4"/>
      <c r="Q140" s="233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5">
      <c r="A141" s="49">
        <v>0</v>
      </c>
      <c r="B141" s="197" t="s">
        <v>132</v>
      </c>
      <c r="C141" s="196" t="s">
        <v>132</v>
      </c>
      <c r="D141" s="195" t="s">
        <v>132</v>
      </c>
      <c r="E141" s="191">
        <v>2740.48</v>
      </c>
      <c r="F141" s="229"/>
      <c r="G141" s="204"/>
      <c r="H141" s="188"/>
      <c r="I141" s="189"/>
      <c r="J141" s="4"/>
      <c r="K141" s="171"/>
      <c r="L141" s="4"/>
      <c r="M141" s="4"/>
      <c r="N141" s="4"/>
      <c r="Q141" s="233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5">
      <c r="A142" s="49">
        <v>1</v>
      </c>
      <c r="B142" s="197" t="s">
        <v>132</v>
      </c>
      <c r="C142" s="196" t="s">
        <v>132</v>
      </c>
      <c r="D142" s="195" t="s">
        <v>132</v>
      </c>
      <c r="E142" s="191"/>
      <c r="F142" s="229"/>
      <c r="G142" s="23"/>
      <c r="H142" s="188"/>
      <c r="I142" s="189"/>
      <c r="J142" s="4"/>
      <c r="K142" s="171"/>
      <c r="L142" s="4"/>
      <c r="M142" s="4"/>
      <c r="N142" s="4"/>
      <c r="Q142" s="233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5">
      <c r="A143" s="49">
        <v>2</v>
      </c>
      <c r="B143" s="197" t="s">
        <v>132</v>
      </c>
      <c r="C143" s="196" t="s">
        <v>132</v>
      </c>
      <c r="D143" s="195" t="s">
        <v>132</v>
      </c>
      <c r="E143" s="191"/>
      <c r="F143" s="229"/>
      <c r="G143" s="23"/>
      <c r="H143" s="188"/>
      <c r="I143" s="189"/>
      <c r="J143" s="4"/>
      <c r="K143" s="171"/>
      <c r="L143" s="4"/>
      <c r="M143" s="4"/>
      <c r="N143" s="4"/>
      <c r="Q143" s="233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5">
      <c r="A144" s="49">
        <v>3</v>
      </c>
      <c r="B144" s="197" t="s">
        <v>132</v>
      </c>
      <c r="C144" s="196" t="s">
        <v>132</v>
      </c>
      <c r="D144" s="195" t="s">
        <v>132</v>
      </c>
      <c r="E144" s="191"/>
      <c r="F144" s="229"/>
      <c r="G144" s="23"/>
      <c r="H144" s="188"/>
      <c r="I144" s="189"/>
      <c r="J144" s="4"/>
      <c r="K144" s="171"/>
      <c r="L144" s="4"/>
      <c r="M144" s="4"/>
      <c r="N144" s="4"/>
      <c r="Q144" s="233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5">
      <c r="A145" s="49">
        <v>4</v>
      </c>
      <c r="B145" s="197" t="s">
        <v>132</v>
      </c>
      <c r="C145" s="196" t="s">
        <v>132</v>
      </c>
      <c r="D145" s="195" t="s">
        <v>132</v>
      </c>
      <c r="E145" s="191"/>
      <c r="F145" s="229"/>
      <c r="G145" s="23"/>
      <c r="H145" s="188"/>
      <c r="I145" s="189"/>
      <c r="J145" s="4"/>
      <c r="K145" s="171"/>
      <c r="L145" s="4"/>
      <c r="M145" s="4"/>
      <c r="N145" s="4"/>
      <c r="Q145" s="233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5">
      <c r="A146" s="49">
        <v>5</v>
      </c>
      <c r="B146" s="197" t="s">
        <v>132</v>
      </c>
      <c r="C146" s="196" t="s">
        <v>132</v>
      </c>
      <c r="D146" s="195" t="s">
        <v>132</v>
      </c>
      <c r="E146" s="191"/>
      <c r="F146" s="229"/>
      <c r="G146" s="203"/>
      <c r="H146" s="188"/>
      <c r="I146" s="189"/>
      <c r="J146" s="4"/>
      <c r="K146" s="171"/>
      <c r="L146" s="4"/>
      <c r="M146" s="4"/>
      <c r="N146" s="4"/>
      <c r="Q146" s="233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5">
      <c r="A147" s="42">
        <f>'Données projet'!A140</f>
        <v>10</v>
      </c>
      <c r="B147" s="173">
        <f>'Données projet'!D140</f>
        <v>0</v>
      </c>
      <c r="C147" s="189">
        <v>20</v>
      </c>
      <c r="D147" s="180">
        <f>B147*C147</f>
        <v>0</v>
      </c>
      <c r="E147" s="191"/>
      <c r="F147" s="231"/>
      <c r="G147" s="203"/>
      <c r="H147" s="188"/>
      <c r="I147" s="189"/>
      <c r="J147" s="4"/>
      <c r="K147" s="171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5">
      <c r="A148" s="42">
        <f>'Données projet'!A141</f>
        <v>15</v>
      </c>
      <c r="B148" s="173">
        <f>'Données projet'!D141</f>
        <v>32</v>
      </c>
      <c r="C148" s="189">
        <v>20</v>
      </c>
      <c r="D148" s="180">
        <f t="shared" ref="D148:D166" si="10">B148*C148</f>
        <v>640</v>
      </c>
      <c r="E148" s="191"/>
      <c r="F148" s="231"/>
      <c r="G148" s="203"/>
      <c r="H148" s="188"/>
      <c r="I148" s="189"/>
      <c r="J148" s="4"/>
      <c r="K148" s="171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5">
      <c r="A149" s="42">
        <f>'Données projet'!A142</f>
        <v>20</v>
      </c>
      <c r="B149" s="173">
        <f>'Données projet'!D142</f>
        <v>35</v>
      </c>
      <c r="C149" s="189">
        <v>20</v>
      </c>
      <c r="D149" s="180">
        <f t="shared" si="10"/>
        <v>700</v>
      </c>
      <c r="E149" s="191"/>
      <c r="F149" s="231"/>
      <c r="G149" s="203"/>
      <c r="H149" s="188"/>
      <c r="I149" s="189"/>
      <c r="J149" s="4"/>
      <c r="K149" s="171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5">
      <c r="A150" s="42">
        <f>'Données projet'!A143</f>
        <v>25</v>
      </c>
      <c r="B150" s="173">
        <f>'Données projet'!D143</f>
        <v>35</v>
      </c>
      <c r="C150" s="189">
        <v>20</v>
      </c>
      <c r="D150" s="180">
        <f t="shared" si="10"/>
        <v>700</v>
      </c>
      <c r="E150" s="191"/>
      <c r="F150" s="231"/>
      <c r="G150" s="203"/>
      <c r="H150" s="188"/>
      <c r="I150" s="189"/>
      <c r="J150" s="4"/>
      <c r="K150" s="171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5">
      <c r="A151" s="42">
        <f>'Données projet'!A144</f>
        <v>30</v>
      </c>
      <c r="B151" s="173">
        <f>'Données projet'!D144</f>
        <v>35</v>
      </c>
      <c r="C151" s="189">
        <v>20</v>
      </c>
      <c r="D151" s="180">
        <f t="shared" si="10"/>
        <v>700</v>
      </c>
      <c r="E151" s="191"/>
      <c r="F151" s="231"/>
      <c r="G151" s="203"/>
      <c r="H151" s="188"/>
      <c r="I151" s="189"/>
      <c r="J151" s="4"/>
      <c r="K151" s="171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5">
      <c r="A152" s="42">
        <f>'Données projet'!A145</f>
        <v>35</v>
      </c>
      <c r="B152" s="173">
        <f>'Données projet'!D145</f>
        <v>35</v>
      </c>
      <c r="C152" s="189"/>
      <c r="D152" s="180">
        <f t="shared" si="10"/>
        <v>0</v>
      </c>
      <c r="E152" s="191"/>
      <c r="F152" s="231"/>
      <c r="G152" s="203"/>
      <c r="H152" s="188"/>
      <c r="I152" s="189"/>
      <c r="J152" s="4"/>
      <c r="K152" s="171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5">
      <c r="A153" s="42">
        <f>'Données projet'!A146</f>
        <v>40</v>
      </c>
      <c r="B153" s="173">
        <f>'Données projet'!D146</f>
        <v>35</v>
      </c>
      <c r="C153" s="189"/>
      <c r="D153" s="180">
        <f t="shared" si="10"/>
        <v>0</v>
      </c>
      <c r="E153" s="191"/>
      <c r="F153" s="231"/>
      <c r="G153" s="201"/>
      <c r="H153" s="188"/>
      <c r="I153" s="189"/>
      <c r="J153" s="4"/>
      <c r="K153" s="171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5">
      <c r="A154" s="42">
        <f>'Données projet'!A147</f>
        <v>45</v>
      </c>
      <c r="B154" s="173">
        <f>'Données projet'!D147</f>
        <v>24</v>
      </c>
      <c r="C154" s="189"/>
      <c r="D154" s="180">
        <f t="shared" si="10"/>
        <v>0</v>
      </c>
      <c r="E154" s="191"/>
      <c r="F154" s="231"/>
      <c r="G154" s="201"/>
      <c r="H154" s="188"/>
      <c r="I154" s="189"/>
      <c r="J154" s="4"/>
      <c r="K154" s="171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5">
      <c r="A155" s="42">
        <f>'Données projet'!A148</f>
        <v>50</v>
      </c>
      <c r="B155" s="173">
        <f>'Données projet'!D148</f>
        <v>19</v>
      </c>
      <c r="C155" s="189"/>
      <c r="D155" s="180">
        <f t="shared" si="10"/>
        <v>0</v>
      </c>
      <c r="E155" s="191"/>
      <c r="F155" s="231"/>
      <c r="G155" s="201"/>
      <c r="H155" s="188"/>
      <c r="I155" s="189"/>
      <c r="J155" s="4"/>
      <c r="K155" s="171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5">
      <c r="A156" s="42">
        <f>'Données projet'!A149</f>
        <v>55</v>
      </c>
      <c r="B156" s="173">
        <f>'Données projet'!D149</f>
        <v>16</v>
      </c>
      <c r="C156" s="189"/>
      <c r="D156" s="180">
        <f t="shared" si="10"/>
        <v>0</v>
      </c>
      <c r="E156" s="191"/>
      <c r="F156" s="231"/>
      <c r="G156" s="201"/>
      <c r="H156" s="188"/>
      <c r="I156" s="189"/>
      <c r="J156" s="4"/>
      <c r="K156" s="171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5">
      <c r="A157" s="42">
        <f>'Données projet'!A150</f>
        <v>60</v>
      </c>
      <c r="B157" s="173">
        <f>'Données projet'!D150</f>
        <v>14</v>
      </c>
      <c r="C157" s="189"/>
      <c r="D157" s="180">
        <f t="shared" si="10"/>
        <v>0</v>
      </c>
      <c r="E157" s="191"/>
      <c r="F157" s="231"/>
      <c r="G157" s="201"/>
      <c r="H157" s="188"/>
      <c r="I157" s="189"/>
      <c r="J157" s="4"/>
      <c r="K157" s="171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5">
      <c r="A158" s="42">
        <f>'Données projet'!A151</f>
        <v>65</v>
      </c>
      <c r="B158" s="173">
        <f>'Données projet'!D151</f>
        <v>13</v>
      </c>
      <c r="C158" s="189"/>
      <c r="D158" s="180">
        <f t="shared" si="10"/>
        <v>0</v>
      </c>
      <c r="E158" s="191"/>
      <c r="F158" s="231"/>
      <c r="G158" s="201"/>
      <c r="H158" s="188"/>
      <c r="I158" s="189"/>
      <c r="J158" s="4"/>
      <c r="K158" s="171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5">
      <c r="A159" s="42">
        <f>'Données projet'!A152</f>
        <v>70</v>
      </c>
      <c r="B159" s="173">
        <f>'Données projet'!D152</f>
        <v>13</v>
      </c>
      <c r="C159" s="189"/>
      <c r="D159" s="180">
        <f t="shared" si="10"/>
        <v>0</v>
      </c>
      <c r="E159" s="191"/>
      <c r="F159" s="231"/>
      <c r="G159" s="201"/>
      <c r="H159" s="188"/>
      <c r="I159" s="189"/>
      <c r="J159" s="4"/>
      <c r="K159" s="171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5">
      <c r="A160" s="42">
        <f>'Données projet'!A153</f>
        <v>75</v>
      </c>
      <c r="B160" s="173">
        <f>'Données projet'!D153</f>
        <v>12</v>
      </c>
      <c r="C160" s="189"/>
      <c r="D160" s="180">
        <f t="shared" si="10"/>
        <v>0</v>
      </c>
      <c r="E160" s="191"/>
      <c r="F160" s="231"/>
      <c r="G160" s="201"/>
      <c r="H160" s="188"/>
      <c r="I160" s="189"/>
      <c r="J160" s="4"/>
      <c r="K160" s="171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5">
      <c r="A161" s="42">
        <f>'Données projet'!A154</f>
        <v>80</v>
      </c>
      <c r="B161" s="173">
        <f>'Données projet'!D154</f>
        <v>11</v>
      </c>
      <c r="C161" s="189"/>
      <c r="D161" s="180">
        <f t="shared" si="10"/>
        <v>0</v>
      </c>
      <c r="E161" s="191"/>
      <c r="F161" s="231"/>
      <c r="G161" s="201"/>
      <c r="H161" s="188"/>
      <c r="I161" s="189"/>
      <c r="J161" s="4"/>
      <c r="K161" s="171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5">
      <c r="A162" s="42">
        <f>'Données projet'!A155</f>
        <v>0</v>
      </c>
      <c r="B162" s="173">
        <f>'Données projet'!D155</f>
        <v>0</v>
      </c>
      <c r="C162" s="189"/>
      <c r="D162" s="180">
        <f t="shared" si="10"/>
        <v>0</v>
      </c>
      <c r="E162" s="191"/>
      <c r="F162" s="231"/>
      <c r="G162" s="201"/>
      <c r="H162" s="188"/>
      <c r="I162" s="189"/>
      <c r="J162" s="4"/>
      <c r="K162" s="171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5">
      <c r="A163" s="42">
        <f>'Données projet'!A156</f>
        <v>0</v>
      </c>
      <c r="B163" s="173">
        <f>'Données projet'!D156</f>
        <v>0</v>
      </c>
      <c r="C163" s="189"/>
      <c r="D163" s="180">
        <f t="shared" si="10"/>
        <v>0</v>
      </c>
      <c r="E163" s="191"/>
      <c r="F163" s="231"/>
      <c r="G163" s="201"/>
      <c r="H163" s="188"/>
      <c r="I163" s="189"/>
      <c r="J163" s="4"/>
      <c r="K163" s="171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5">
      <c r="A164" s="42">
        <f>'Données projet'!A157</f>
        <v>0</v>
      </c>
      <c r="B164" s="173">
        <f>'Données projet'!D157</f>
        <v>0</v>
      </c>
      <c r="C164" s="189"/>
      <c r="D164" s="180">
        <f t="shared" si="10"/>
        <v>0</v>
      </c>
      <c r="E164" s="191"/>
      <c r="F164" s="231"/>
      <c r="G164" s="201"/>
      <c r="H164" s="188"/>
      <c r="I164" s="189"/>
      <c r="J164" s="4"/>
      <c r="K164" s="171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5">
      <c r="A165" s="42">
        <f>'Données projet'!A158</f>
        <v>0</v>
      </c>
      <c r="B165" s="173">
        <f>'Données projet'!D158</f>
        <v>0</v>
      </c>
      <c r="C165" s="189"/>
      <c r="D165" s="180">
        <f t="shared" si="10"/>
        <v>0</v>
      </c>
      <c r="E165" s="191"/>
      <c r="F165" s="231"/>
      <c r="G165" s="201"/>
      <c r="H165" s="188"/>
      <c r="I165" s="189"/>
      <c r="J165" s="4"/>
      <c r="K165" s="171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5">
      <c r="A166" s="42">
        <f>'Données projet'!A159</f>
        <v>0</v>
      </c>
      <c r="B166" s="173">
        <f>'Données projet'!D159</f>
        <v>0</v>
      </c>
      <c r="C166" s="189"/>
      <c r="D166" s="180">
        <f t="shared" si="10"/>
        <v>0</v>
      </c>
      <c r="E166" s="191"/>
      <c r="F166" s="231"/>
      <c r="G166" s="201"/>
      <c r="H166" s="188"/>
      <c r="I166" s="189"/>
      <c r="J166" s="4"/>
      <c r="K166" s="171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5">
      <c r="A167" s="4"/>
      <c r="B167" s="4"/>
      <c r="C167" s="4"/>
      <c r="D167" s="4"/>
      <c r="E167" s="4"/>
      <c r="F167" s="228"/>
      <c r="G167" s="201"/>
      <c r="H167" s="188"/>
      <c r="I167" s="189"/>
      <c r="J167" s="4"/>
      <c r="K167" s="171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5">
      <c r="A168" s="4"/>
      <c r="B168" s="4"/>
      <c r="C168" s="4"/>
      <c r="D168" s="4"/>
      <c r="E168" s="4"/>
      <c r="F168" s="228"/>
      <c r="G168" s="201"/>
      <c r="H168" s="188"/>
      <c r="I168" s="189"/>
      <c r="J168" s="4"/>
      <c r="K168" s="171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5">
      <c r="A169" s="46" t="s">
        <v>170</v>
      </c>
      <c r="B169" s="172" t="str">
        <f>IF('Données projet'!B14="","",'Données projet'!B14)</f>
        <v>Tilleul</v>
      </c>
      <c r="C169" s="4"/>
      <c r="D169" s="4"/>
      <c r="E169" s="4"/>
      <c r="F169" s="228"/>
      <c r="G169" s="201"/>
      <c r="H169" s="188"/>
      <c r="I169" s="189"/>
      <c r="J169" s="4"/>
      <c r="K169" s="171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5">
      <c r="A170" s="4"/>
      <c r="B170" s="4"/>
      <c r="C170" s="4"/>
      <c r="D170" s="4"/>
      <c r="E170" s="4"/>
      <c r="F170" s="228"/>
      <c r="G170" s="201"/>
      <c r="H170" s="188"/>
      <c r="I170" s="189"/>
      <c r="J170" s="4"/>
      <c r="K170" s="171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29"/>
      <c r="G171" s="201"/>
      <c r="H171" s="188"/>
      <c r="I171" s="189"/>
      <c r="J171" s="4"/>
      <c r="K171" s="171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5">
      <c r="A172" s="49">
        <v>0</v>
      </c>
      <c r="B172" s="197" t="s">
        <v>132</v>
      </c>
      <c r="C172" s="196" t="s">
        <v>132</v>
      </c>
      <c r="D172" s="195" t="s">
        <v>132</v>
      </c>
      <c r="E172" s="191">
        <v>3265.63</v>
      </c>
      <c r="F172" s="229"/>
      <c r="G172" s="201"/>
      <c r="H172" s="188"/>
      <c r="I172" s="189"/>
      <c r="J172" s="4"/>
      <c r="K172" s="171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5">
      <c r="A173" s="49">
        <v>1</v>
      </c>
      <c r="B173" s="197" t="s">
        <v>132</v>
      </c>
      <c r="C173" s="196" t="s">
        <v>132</v>
      </c>
      <c r="D173" s="195" t="s">
        <v>132</v>
      </c>
      <c r="E173" s="191"/>
      <c r="F173" s="229"/>
      <c r="G173" s="23"/>
      <c r="H173" s="188"/>
      <c r="I173" s="189"/>
      <c r="J173" s="4"/>
      <c r="K173" s="171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5">
      <c r="A174" s="49">
        <v>2</v>
      </c>
      <c r="B174" s="197" t="s">
        <v>132</v>
      </c>
      <c r="C174" s="196" t="s">
        <v>132</v>
      </c>
      <c r="D174" s="195" t="s">
        <v>132</v>
      </c>
      <c r="E174" s="191"/>
      <c r="F174" s="229"/>
      <c r="G174" s="23"/>
      <c r="H174" s="188"/>
      <c r="I174" s="189"/>
      <c r="J174" s="4"/>
      <c r="K174" s="171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5">
      <c r="A175" s="49">
        <v>3</v>
      </c>
      <c r="B175" s="197" t="s">
        <v>132</v>
      </c>
      <c r="C175" s="196" t="s">
        <v>132</v>
      </c>
      <c r="D175" s="195" t="s">
        <v>132</v>
      </c>
      <c r="E175" s="191"/>
      <c r="F175" s="229"/>
      <c r="G175" s="23"/>
      <c r="H175" s="188"/>
      <c r="I175" s="189"/>
      <c r="J175" s="4"/>
      <c r="K175" s="171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5">
      <c r="A176" s="49">
        <v>4</v>
      </c>
      <c r="B176" s="197" t="s">
        <v>132</v>
      </c>
      <c r="C176" s="196" t="s">
        <v>132</v>
      </c>
      <c r="D176" s="195" t="s">
        <v>132</v>
      </c>
      <c r="E176" s="191"/>
      <c r="F176" s="229"/>
      <c r="G176" s="23"/>
      <c r="H176" s="188"/>
      <c r="I176" s="189"/>
      <c r="J176" s="4"/>
      <c r="K176" s="171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5">
      <c r="A177" s="49">
        <v>5</v>
      </c>
      <c r="B177" s="197" t="s">
        <v>132</v>
      </c>
      <c r="C177" s="196" t="s">
        <v>132</v>
      </c>
      <c r="D177" s="195" t="s">
        <v>132</v>
      </c>
      <c r="E177" s="191"/>
      <c r="F177" s="229"/>
      <c r="G177" s="203"/>
      <c r="H177" s="188"/>
      <c r="I177" s="189"/>
      <c r="J177" s="4"/>
      <c r="K177" s="171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5">
      <c r="A178" s="178">
        <f>'Données projet'!A166</f>
        <v>30</v>
      </c>
      <c r="B178" s="179">
        <f>'Données projet'!D166</f>
        <v>0</v>
      </c>
      <c r="C178" s="191"/>
      <c r="D178" s="177">
        <f>B178*C178</f>
        <v>0</v>
      </c>
      <c r="E178" s="191"/>
      <c r="F178" s="230"/>
      <c r="G178" s="203"/>
      <c r="H178" s="188"/>
      <c r="I178" s="189"/>
      <c r="J178" s="4"/>
      <c r="K178" s="171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5">
      <c r="A179" s="178">
        <f>'Données projet'!A167</f>
        <v>35</v>
      </c>
      <c r="B179" s="179">
        <f>'Données projet'!D167</f>
        <v>69.58</v>
      </c>
      <c r="C179" s="191"/>
      <c r="D179" s="177">
        <f t="shared" ref="D179:D197" si="11">B179*C179</f>
        <v>0</v>
      </c>
      <c r="E179" s="191"/>
      <c r="F179" s="230"/>
      <c r="G179" s="203"/>
      <c r="H179" s="188"/>
      <c r="I179" s="189"/>
      <c r="J179" s="4"/>
      <c r="K179" s="171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5">
      <c r="A180" s="178">
        <f>'Données projet'!A168</f>
        <v>41</v>
      </c>
      <c r="B180" s="179">
        <f>'Données projet'!D168</f>
        <v>47.41</v>
      </c>
      <c r="C180" s="191"/>
      <c r="D180" s="177">
        <f t="shared" si="11"/>
        <v>0</v>
      </c>
      <c r="E180" s="191"/>
      <c r="F180" s="230"/>
      <c r="G180" s="203"/>
      <c r="H180" s="188"/>
      <c r="I180" s="189"/>
      <c r="J180" s="4"/>
      <c r="K180" s="171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5">
      <c r="A181" s="178">
        <f>'Données projet'!A169</f>
        <v>48</v>
      </c>
      <c r="B181" s="179">
        <f>'Données projet'!D169</f>
        <v>61.12</v>
      </c>
      <c r="C181" s="191"/>
      <c r="D181" s="177">
        <f t="shared" si="11"/>
        <v>0</v>
      </c>
      <c r="E181" s="191"/>
      <c r="F181" s="230"/>
      <c r="G181" s="203"/>
      <c r="H181" s="188"/>
      <c r="I181" s="189"/>
      <c r="J181" s="4"/>
      <c r="K181" s="171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5">
      <c r="A182" s="178">
        <f>'Données projet'!A170</f>
        <v>55</v>
      </c>
      <c r="B182" s="179">
        <f>'Données projet'!D170</f>
        <v>58.24</v>
      </c>
      <c r="C182" s="191"/>
      <c r="D182" s="177">
        <f t="shared" si="11"/>
        <v>0</v>
      </c>
      <c r="E182" s="191"/>
      <c r="F182" s="230"/>
      <c r="G182" s="203"/>
      <c r="H182" s="188"/>
      <c r="I182" s="189"/>
      <c r="J182" s="4"/>
      <c r="K182" s="171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5">
      <c r="A183" s="178">
        <f>'Données projet'!A171</f>
        <v>63</v>
      </c>
      <c r="B183" s="179">
        <f>'Données projet'!D171</f>
        <v>54.21</v>
      </c>
      <c r="C183" s="191"/>
      <c r="D183" s="177">
        <f t="shared" si="11"/>
        <v>0</v>
      </c>
      <c r="E183" s="191"/>
      <c r="F183" s="230"/>
      <c r="G183" s="203"/>
      <c r="H183" s="188"/>
      <c r="I183" s="189"/>
      <c r="J183" s="4"/>
      <c r="K183" s="171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5">
      <c r="A184" s="178">
        <f>'Données projet'!A172</f>
        <v>71</v>
      </c>
      <c r="B184" s="179">
        <f>'Données projet'!D172</f>
        <v>52.07</v>
      </c>
      <c r="C184" s="191"/>
      <c r="D184" s="177">
        <f t="shared" si="11"/>
        <v>0</v>
      </c>
      <c r="E184" s="191"/>
      <c r="F184" s="230"/>
      <c r="G184" s="204"/>
      <c r="H184" s="188"/>
      <c r="I184" s="189"/>
      <c r="J184" s="4"/>
      <c r="K184" s="171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5">
      <c r="A185" s="178">
        <f>'Données projet'!A173</f>
        <v>80</v>
      </c>
      <c r="B185" s="179">
        <f>'Données projet'!D173</f>
        <v>59.57</v>
      </c>
      <c r="C185" s="191"/>
      <c r="D185" s="177">
        <f t="shared" si="11"/>
        <v>0</v>
      </c>
      <c r="E185" s="191"/>
      <c r="F185" s="230"/>
      <c r="G185" s="204"/>
      <c r="H185" s="188"/>
      <c r="I185" s="189"/>
      <c r="J185" s="4"/>
      <c r="K185" s="171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5">
      <c r="A186" s="178">
        <f>'Données projet'!A174</f>
        <v>89</v>
      </c>
      <c r="B186" s="179">
        <f>'Données projet'!D174</f>
        <v>64.5</v>
      </c>
      <c r="C186" s="191"/>
      <c r="D186" s="177">
        <f t="shared" si="11"/>
        <v>0</v>
      </c>
      <c r="E186" s="191"/>
      <c r="F186" s="230"/>
      <c r="G186" s="204"/>
      <c r="H186" s="188"/>
      <c r="I186" s="189"/>
      <c r="J186" s="4"/>
      <c r="K186" s="171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5">
      <c r="A187" s="178">
        <f>'Données projet'!A175</f>
        <v>99</v>
      </c>
      <c r="B187" s="179">
        <f>'Données projet'!D175</f>
        <v>62.94</v>
      </c>
      <c r="C187" s="191"/>
      <c r="D187" s="177">
        <f t="shared" si="11"/>
        <v>0</v>
      </c>
      <c r="E187" s="191"/>
      <c r="F187" s="230"/>
      <c r="G187" s="204"/>
      <c r="H187" s="188"/>
      <c r="I187" s="189"/>
      <c r="J187" s="4"/>
      <c r="K187" s="171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5">
      <c r="A188" s="178">
        <f>'Données projet'!A176</f>
        <v>109</v>
      </c>
      <c r="B188" s="179">
        <f>'Données projet'!D176</f>
        <v>66.959999999999994</v>
      </c>
      <c r="C188" s="191"/>
      <c r="D188" s="177">
        <f t="shared" si="11"/>
        <v>0</v>
      </c>
      <c r="E188" s="191"/>
      <c r="F188" s="230"/>
      <c r="G188" s="204"/>
      <c r="H188" s="188"/>
      <c r="I188" s="189"/>
      <c r="J188" s="4"/>
      <c r="K188" s="171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5">
      <c r="A189" s="178">
        <f>'Données projet'!A177</f>
        <v>119</v>
      </c>
      <c r="B189" s="179">
        <f>'Données projet'!D177</f>
        <v>196.46</v>
      </c>
      <c r="C189" s="191"/>
      <c r="D189" s="177">
        <f t="shared" si="11"/>
        <v>0</v>
      </c>
      <c r="E189" s="191"/>
      <c r="F189" s="230"/>
      <c r="G189" s="204"/>
      <c r="H189" s="188"/>
      <c r="I189" s="189"/>
      <c r="J189" s="4"/>
      <c r="K189" s="171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5">
      <c r="A190" s="178">
        <f>'Données projet'!A178</f>
        <v>123</v>
      </c>
      <c r="B190" s="179">
        <f>'Données projet'!D178</f>
        <v>100.6</v>
      </c>
      <c r="C190" s="191"/>
      <c r="D190" s="177">
        <f t="shared" si="11"/>
        <v>0</v>
      </c>
      <c r="E190" s="191"/>
      <c r="F190" s="230"/>
      <c r="G190" s="204"/>
      <c r="H190" s="188"/>
      <c r="I190" s="189"/>
      <c r="J190" s="4"/>
      <c r="K190" s="171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5">
      <c r="A191" s="178">
        <f>'Données projet'!A179</f>
        <v>127</v>
      </c>
      <c r="B191" s="179">
        <f>'Données projet'!D179</f>
        <v>65.02</v>
      </c>
      <c r="C191" s="191"/>
      <c r="D191" s="177">
        <f t="shared" si="11"/>
        <v>0</v>
      </c>
      <c r="E191" s="191"/>
      <c r="F191" s="230"/>
      <c r="G191" s="204"/>
      <c r="H191" s="188"/>
      <c r="I191" s="189"/>
      <c r="J191" s="4"/>
      <c r="K191" s="171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5">
      <c r="A192" s="178">
        <f>'Données projet'!A180</f>
        <v>131</v>
      </c>
      <c r="B192" s="179">
        <f>'Données projet'!D180</f>
        <v>143.84</v>
      </c>
      <c r="C192" s="191"/>
      <c r="D192" s="177">
        <f t="shared" si="11"/>
        <v>0</v>
      </c>
      <c r="E192" s="191"/>
      <c r="F192" s="230"/>
      <c r="G192" s="204"/>
      <c r="H192" s="188"/>
      <c r="I192" s="189"/>
      <c r="J192" s="4"/>
      <c r="K192" s="171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5">
      <c r="A193" s="178">
        <f>'Données projet'!A181</f>
        <v>0</v>
      </c>
      <c r="B193" s="179">
        <f>'Données projet'!D181</f>
        <v>0</v>
      </c>
      <c r="C193" s="191"/>
      <c r="D193" s="177">
        <f t="shared" si="11"/>
        <v>0</v>
      </c>
      <c r="E193" s="191"/>
      <c r="F193" s="230"/>
      <c r="G193" s="204"/>
      <c r="H193" s="188"/>
      <c r="I193" s="189"/>
      <c r="J193" s="4"/>
      <c r="K193" s="171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5">
      <c r="A194" s="178">
        <f>'Données projet'!A182</f>
        <v>0</v>
      </c>
      <c r="B194" s="179">
        <f>'Données projet'!D182</f>
        <v>0</v>
      </c>
      <c r="C194" s="191"/>
      <c r="D194" s="177">
        <f t="shared" si="11"/>
        <v>0</v>
      </c>
      <c r="E194" s="191"/>
      <c r="F194" s="230"/>
      <c r="G194" s="204"/>
      <c r="H194" s="188"/>
      <c r="I194" s="189"/>
      <c r="J194" s="4"/>
      <c r="K194" s="171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5">
      <c r="A195" s="178">
        <f>'Données projet'!A183</f>
        <v>0</v>
      </c>
      <c r="B195" s="179">
        <f>'Données projet'!D183</f>
        <v>0</v>
      </c>
      <c r="C195" s="191"/>
      <c r="D195" s="177">
        <f t="shared" si="11"/>
        <v>0</v>
      </c>
      <c r="E195" s="191"/>
      <c r="F195" s="230"/>
      <c r="G195" s="204"/>
      <c r="H195" s="188"/>
      <c r="I195" s="189"/>
      <c r="J195" s="4"/>
      <c r="K195" s="171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5">
      <c r="A196" s="178">
        <f>'Données projet'!A184</f>
        <v>0</v>
      </c>
      <c r="B196" s="179">
        <f>'Données projet'!D184</f>
        <v>0</v>
      </c>
      <c r="C196" s="191"/>
      <c r="D196" s="177">
        <f t="shared" si="11"/>
        <v>0</v>
      </c>
      <c r="E196" s="191"/>
      <c r="F196" s="230"/>
      <c r="G196" s="204"/>
      <c r="H196" s="188"/>
      <c r="I196" s="189"/>
      <c r="J196" s="4"/>
      <c r="K196" s="171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5">
      <c r="A197" s="178">
        <f>'Données projet'!A185</f>
        <v>0</v>
      </c>
      <c r="B197" s="179">
        <f>'Données projet'!D185</f>
        <v>0</v>
      </c>
      <c r="C197" s="191"/>
      <c r="D197" s="177">
        <f t="shared" si="11"/>
        <v>0</v>
      </c>
      <c r="E197" s="191"/>
      <c r="F197" s="230"/>
      <c r="G197" s="204"/>
      <c r="H197" s="188"/>
      <c r="I197" s="189"/>
      <c r="J197" s="4"/>
      <c r="K197" s="171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5">
      <c r="A198" s="4"/>
      <c r="B198" s="4"/>
      <c r="C198" s="4"/>
      <c r="D198" s="4"/>
      <c r="E198" s="4"/>
      <c r="F198" s="228"/>
      <c r="G198" s="204"/>
      <c r="H198" s="188"/>
      <c r="I198" s="189"/>
      <c r="J198" s="4"/>
      <c r="K198" s="171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5">
      <c r="A199" s="4"/>
      <c r="B199" s="4"/>
      <c r="C199" s="4"/>
      <c r="D199" s="4"/>
      <c r="E199" s="4"/>
      <c r="F199" s="228"/>
      <c r="G199" s="204"/>
      <c r="H199" s="188"/>
      <c r="I199" s="189"/>
      <c r="J199" s="4"/>
      <c r="K199" s="171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5">
      <c r="A200" s="46" t="s">
        <v>171</v>
      </c>
      <c r="B200" s="172" t="str">
        <f>IF('Données projet'!$B$15="","",'Données projet'!$B$15)</f>
        <v>Erable sycomore</v>
      </c>
      <c r="C200" s="4"/>
      <c r="D200" s="4"/>
      <c r="E200" s="4"/>
      <c r="F200" s="228"/>
      <c r="G200" s="204"/>
      <c r="H200" s="188"/>
      <c r="I200" s="189"/>
      <c r="J200" s="4"/>
      <c r="K200" s="171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5">
      <c r="A201" s="46"/>
      <c r="B201" s="4"/>
      <c r="C201" s="4"/>
      <c r="D201" s="4"/>
      <c r="E201" s="4"/>
      <c r="F201" s="228"/>
      <c r="G201" s="204"/>
      <c r="H201" s="188"/>
      <c r="I201" s="189"/>
      <c r="J201" s="4"/>
      <c r="K201" s="171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29"/>
      <c r="G202" s="204"/>
      <c r="H202" s="188"/>
      <c r="I202" s="189"/>
      <c r="J202" s="4"/>
      <c r="K202" s="171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5">
      <c r="A203" s="49">
        <v>0</v>
      </c>
      <c r="B203" s="197" t="s">
        <v>132</v>
      </c>
      <c r="C203" s="196" t="s">
        <v>132</v>
      </c>
      <c r="D203" s="195" t="s">
        <v>132</v>
      </c>
      <c r="E203" s="191">
        <v>2682.78</v>
      </c>
      <c r="F203" s="229"/>
      <c r="G203" s="204"/>
      <c r="H203" s="188"/>
      <c r="I203" s="189"/>
      <c r="J203" s="4"/>
      <c r="K203" s="171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5">
      <c r="A204" s="49">
        <v>1</v>
      </c>
      <c r="B204" s="197" t="s">
        <v>132</v>
      </c>
      <c r="C204" s="196" t="s">
        <v>132</v>
      </c>
      <c r="D204" s="195" t="s">
        <v>132</v>
      </c>
      <c r="E204" s="191"/>
      <c r="F204" s="229"/>
      <c r="G204" s="23"/>
      <c r="H204" s="188"/>
      <c r="I204" s="189"/>
      <c r="J204" s="4"/>
      <c r="K204" s="171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5">
      <c r="A205" s="49">
        <v>2</v>
      </c>
      <c r="B205" s="197" t="s">
        <v>132</v>
      </c>
      <c r="C205" s="196" t="s">
        <v>132</v>
      </c>
      <c r="D205" s="195" t="s">
        <v>132</v>
      </c>
      <c r="E205" s="191"/>
      <c r="F205" s="229"/>
      <c r="G205" s="23"/>
      <c r="H205" s="188"/>
      <c r="I205" s="189"/>
      <c r="J205" s="4"/>
      <c r="K205" s="171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5">
      <c r="A206" s="49">
        <v>3</v>
      </c>
      <c r="B206" s="197" t="s">
        <v>132</v>
      </c>
      <c r="C206" s="196" t="s">
        <v>132</v>
      </c>
      <c r="D206" s="195" t="s">
        <v>132</v>
      </c>
      <c r="E206" s="191"/>
      <c r="F206" s="229"/>
      <c r="G206" s="23"/>
      <c r="H206" s="188"/>
      <c r="I206" s="189"/>
      <c r="J206" s="4"/>
      <c r="K206" s="171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5">
      <c r="A207" s="49">
        <v>4</v>
      </c>
      <c r="B207" s="197" t="s">
        <v>132</v>
      </c>
      <c r="C207" s="196" t="s">
        <v>132</v>
      </c>
      <c r="D207" s="195" t="s">
        <v>132</v>
      </c>
      <c r="E207" s="191"/>
      <c r="F207" s="229"/>
      <c r="G207" s="23"/>
      <c r="H207" s="188"/>
      <c r="I207" s="189"/>
      <c r="J207" s="4"/>
      <c r="K207" s="171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5">
      <c r="A208" s="49">
        <v>5</v>
      </c>
      <c r="B208" s="197" t="s">
        <v>132</v>
      </c>
      <c r="C208" s="196" t="s">
        <v>132</v>
      </c>
      <c r="D208" s="195" t="s">
        <v>132</v>
      </c>
      <c r="E208" s="191"/>
      <c r="F208" s="229"/>
      <c r="G208" s="203"/>
      <c r="H208" s="188"/>
      <c r="I208" s="189"/>
      <c r="J208" s="4"/>
      <c r="K208" s="171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5">
      <c r="A209" s="178">
        <f>'Données projet'!A192</f>
        <v>10</v>
      </c>
      <c r="B209" s="179">
        <f>'Données projet'!D192</f>
        <v>0</v>
      </c>
      <c r="C209" s="191">
        <v>20</v>
      </c>
      <c r="D209" s="177">
        <f>B209*C209</f>
        <v>0</v>
      </c>
      <c r="E209" s="191"/>
      <c r="F209" s="230"/>
      <c r="G209" s="203"/>
      <c r="H209" s="188"/>
      <c r="I209" s="189"/>
      <c r="J209" s="4"/>
      <c r="K209" s="171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5">
      <c r="A210" s="178">
        <f>'Données projet'!A193</f>
        <v>15</v>
      </c>
      <c r="B210" s="179">
        <f>'Données projet'!D193</f>
        <v>32</v>
      </c>
      <c r="C210" s="191">
        <v>20</v>
      </c>
      <c r="D210" s="177">
        <f t="shared" ref="D210:D228" si="12">B210*C210</f>
        <v>640</v>
      </c>
      <c r="E210" s="191"/>
      <c r="F210" s="230"/>
      <c r="G210" s="203"/>
      <c r="H210" s="188"/>
      <c r="I210" s="189"/>
      <c r="J210" s="4"/>
      <c r="K210" s="171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5">
      <c r="A211" s="178">
        <f>'Données projet'!A194</f>
        <v>20</v>
      </c>
      <c r="B211" s="179">
        <f>'Données projet'!D194</f>
        <v>35</v>
      </c>
      <c r="C211" s="191">
        <v>20</v>
      </c>
      <c r="D211" s="177">
        <f t="shared" si="12"/>
        <v>700</v>
      </c>
      <c r="E211" s="191"/>
      <c r="F211" s="230"/>
      <c r="G211" s="203"/>
      <c r="H211" s="188"/>
      <c r="I211" s="189"/>
      <c r="J211" s="4"/>
      <c r="K211" s="171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5">
      <c r="A212" s="178">
        <f>'Données projet'!A195</f>
        <v>25</v>
      </c>
      <c r="B212" s="179">
        <f>'Données projet'!D195</f>
        <v>35</v>
      </c>
      <c r="C212" s="191">
        <v>20</v>
      </c>
      <c r="D212" s="177">
        <f t="shared" si="12"/>
        <v>700</v>
      </c>
      <c r="E212" s="191"/>
      <c r="F212" s="230"/>
      <c r="G212" s="203"/>
      <c r="H212" s="188"/>
      <c r="I212" s="189"/>
      <c r="J212" s="4"/>
      <c r="K212" s="171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5">
      <c r="A213" s="178">
        <f>'Données projet'!A196</f>
        <v>30</v>
      </c>
      <c r="B213" s="179">
        <f>'Données projet'!D196</f>
        <v>35</v>
      </c>
      <c r="C213" s="191">
        <v>20</v>
      </c>
      <c r="D213" s="177">
        <f t="shared" si="12"/>
        <v>700</v>
      </c>
      <c r="E213" s="191"/>
      <c r="F213" s="230"/>
      <c r="G213" s="203"/>
      <c r="H213" s="188"/>
      <c r="I213" s="189"/>
      <c r="J213" s="4"/>
      <c r="K213" s="171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5">
      <c r="A214" s="178">
        <f>'Données projet'!A197</f>
        <v>35</v>
      </c>
      <c r="B214" s="179">
        <f>'Données projet'!D197</f>
        <v>35</v>
      </c>
      <c r="C214" s="191"/>
      <c r="D214" s="177">
        <f t="shared" si="12"/>
        <v>0</v>
      </c>
      <c r="E214" s="191"/>
      <c r="F214" s="230"/>
      <c r="G214" s="203"/>
      <c r="H214" s="188"/>
      <c r="I214" s="189"/>
      <c r="J214" s="4"/>
      <c r="K214" s="171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5">
      <c r="A215" s="178">
        <f>'Données projet'!A198</f>
        <v>40</v>
      </c>
      <c r="B215" s="179">
        <f>'Données projet'!D198</f>
        <v>35</v>
      </c>
      <c r="C215" s="191"/>
      <c r="D215" s="177">
        <f t="shared" si="12"/>
        <v>0</v>
      </c>
      <c r="E215" s="191"/>
      <c r="F215" s="230"/>
      <c r="G215" s="204"/>
      <c r="H215" s="188"/>
      <c r="I215" s="189"/>
      <c r="J215" s="4"/>
      <c r="K215" s="171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5">
      <c r="A216" s="178">
        <f>'Données projet'!A199</f>
        <v>45</v>
      </c>
      <c r="B216" s="179">
        <f>'Données projet'!D199</f>
        <v>24</v>
      </c>
      <c r="C216" s="191"/>
      <c r="D216" s="177">
        <f t="shared" si="12"/>
        <v>0</v>
      </c>
      <c r="E216" s="191"/>
      <c r="F216" s="230"/>
      <c r="G216" s="204"/>
      <c r="H216" s="188"/>
      <c r="I216" s="189"/>
      <c r="J216" s="4"/>
      <c r="K216" s="171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5">
      <c r="A217" s="178">
        <f>'Données projet'!A200</f>
        <v>50</v>
      </c>
      <c r="B217" s="179">
        <f>'Données projet'!D200</f>
        <v>19</v>
      </c>
      <c r="C217" s="191"/>
      <c r="D217" s="177">
        <f t="shared" si="12"/>
        <v>0</v>
      </c>
      <c r="E217" s="191"/>
      <c r="F217" s="230"/>
      <c r="G217" s="204"/>
      <c r="H217" s="188"/>
      <c r="I217" s="189"/>
      <c r="J217" s="4"/>
      <c r="K217" s="171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5">
      <c r="A218" s="178">
        <f>'Données projet'!A201</f>
        <v>55</v>
      </c>
      <c r="B218" s="179">
        <f>'Données projet'!D201</f>
        <v>16</v>
      </c>
      <c r="C218" s="191"/>
      <c r="D218" s="177">
        <f t="shared" si="12"/>
        <v>0</v>
      </c>
      <c r="E218" s="191"/>
      <c r="F218" s="230"/>
      <c r="G218" s="204"/>
      <c r="H218" s="188"/>
      <c r="I218" s="189"/>
      <c r="J218" s="4"/>
      <c r="K218" s="171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5">
      <c r="A219" s="178">
        <f>'Données projet'!A202</f>
        <v>60</v>
      </c>
      <c r="B219" s="179">
        <f>'Données projet'!D202</f>
        <v>14</v>
      </c>
      <c r="C219" s="191"/>
      <c r="D219" s="177">
        <f t="shared" si="12"/>
        <v>0</v>
      </c>
      <c r="E219" s="191"/>
      <c r="F219" s="230"/>
      <c r="G219" s="204"/>
      <c r="H219" s="188"/>
      <c r="I219" s="189"/>
      <c r="J219" s="4"/>
      <c r="K219" s="171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5">
      <c r="A220" s="178">
        <f>'Données projet'!A203</f>
        <v>65</v>
      </c>
      <c r="B220" s="179">
        <f>'Données projet'!D203</f>
        <v>13</v>
      </c>
      <c r="C220" s="191"/>
      <c r="D220" s="177">
        <f t="shared" si="12"/>
        <v>0</v>
      </c>
      <c r="E220" s="191"/>
      <c r="F220" s="230"/>
      <c r="G220" s="204"/>
      <c r="H220" s="4"/>
      <c r="I220" s="4"/>
      <c r="J220" s="4"/>
      <c r="K220" s="171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5">
      <c r="A221" s="178">
        <f>'Données projet'!A204</f>
        <v>70</v>
      </c>
      <c r="B221" s="179">
        <f>'Données projet'!D204</f>
        <v>13</v>
      </c>
      <c r="C221" s="191"/>
      <c r="D221" s="177">
        <f t="shared" si="12"/>
        <v>0</v>
      </c>
      <c r="E221" s="191"/>
      <c r="F221" s="230"/>
      <c r="G221" s="204"/>
      <c r="H221" s="4"/>
      <c r="I221" s="4"/>
      <c r="J221" s="4"/>
      <c r="K221" s="171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5">
      <c r="A222" s="178">
        <f>'Données projet'!A205</f>
        <v>75</v>
      </c>
      <c r="B222" s="179">
        <f>'Données projet'!D205</f>
        <v>12</v>
      </c>
      <c r="C222" s="191"/>
      <c r="D222" s="177">
        <f t="shared" si="12"/>
        <v>0</v>
      </c>
      <c r="E222" s="191"/>
      <c r="F222" s="230"/>
      <c r="G222" s="204"/>
      <c r="H222" s="4"/>
      <c r="I222" s="4"/>
      <c r="J222" s="4"/>
      <c r="K222" s="171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5">
      <c r="A223" s="178">
        <f>'Données projet'!A206</f>
        <v>80</v>
      </c>
      <c r="B223" s="179">
        <f>'Données projet'!D206</f>
        <v>11</v>
      </c>
      <c r="C223" s="191"/>
      <c r="D223" s="177">
        <f t="shared" si="12"/>
        <v>0</v>
      </c>
      <c r="E223" s="191"/>
      <c r="F223" s="230"/>
      <c r="G223" s="204"/>
      <c r="H223" s="4"/>
      <c r="I223" s="4"/>
      <c r="J223" s="4"/>
      <c r="K223" s="171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5">
      <c r="A224" s="178">
        <f>'Données projet'!A207</f>
        <v>0</v>
      </c>
      <c r="B224" s="179">
        <f>'Données projet'!D207</f>
        <v>0</v>
      </c>
      <c r="C224" s="191"/>
      <c r="D224" s="177">
        <f t="shared" si="12"/>
        <v>0</v>
      </c>
      <c r="E224" s="191"/>
      <c r="F224" s="230"/>
      <c r="G224" s="204"/>
      <c r="H224" s="4"/>
      <c r="I224" s="4"/>
      <c r="J224" s="4"/>
      <c r="K224" s="171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5">
      <c r="A225" s="178">
        <f>'Données projet'!A208</f>
        <v>0</v>
      </c>
      <c r="B225" s="179">
        <f>'Données projet'!D208</f>
        <v>0</v>
      </c>
      <c r="C225" s="191"/>
      <c r="D225" s="177">
        <f t="shared" si="12"/>
        <v>0</v>
      </c>
      <c r="E225" s="191"/>
      <c r="F225" s="230"/>
      <c r="G225" s="204"/>
      <c r="H225" s="4"/>
      <c r="I225" s="4"/>
      <c r="J225" s="4"/>
      <c r="K225" s="171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5">
      <c r="A226" s="178">
        <f>'Données projet'!A209</f>
        <v>0</v>
      </c>
      <c r="B226" s="179">
        <f>'Données projet'!D209</f>
        <v>0</v>
      </c>
      <c r="C226" s="191"/>
      <c r="D226" s="177">
        <f t="shared" si="12"/>
        <v>0</v>
      </c>
      <c r="E226" s="191"/>
      <c r="F226" s="230"/>
      <c r="G226" s="204"/>
      <c r="H226" s="4"/>
      <c r="I226" s="4"/>
      <c r="J226" s="4"/>
      <c r="K226" s="171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5">
      <c r="A227" s="178">
        <f>'Données projet'!A210</f>
        <v>0</v>
      </c>
      <c r="B227" s="179">
        <f>'Données projet'!D210</f>
        <v>0</v>
      </c>
      <c r="C227" s="191"/>
      <c r="D227" s="177">
        <f t="shared" si="12"/>
        <v>0</v>
      </c>
      <c r="E227" s="191"/>
      <c r="F227" s="230"/>
      <c r="G227" s="204"/>
      <c r="H227" s="4"/>
      <c r="I227" s="4"/>
      <c r="J227" s="4"/>
      <c r="K227" s="171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5">
      <c r="A228" s="178">
        <f>'Données projet'!A211</f>
        <v>0</v>
      </c>
      <c r="B228" s="179">
        <f>'Données projet'!D211</f>
        <v>0</v>
      </c>
      <c r="C228" s="191"/>
      <c r="D228" s="177">
        <f t="shared" si="12"/>
        <v>0</v>
      </c>
      <c r="E228" s="191"/>
      <c r="F228" s="230"/>
      <c r="G228" s="204"/>
      <c r="H228" s="4"/>
      <c r="I228" s="4"/>
      <c r="J228" s="4"/>
      <c r="K228" s="171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5">
      <c r="A229" s="4"/>
      <c r="B229" s="4"/>
      <c r="C229" s="4"/>
      <c r="D229" s="4"/>
      <c r="E229" s="4"/>
      <c r="F229" s="228"/>
      <c r="G229" s="204"/>
      <c r="H229" s="4"/>
      <c r="I229" s="4"/>
      <c r="J229" s="4"/>
      <c r="K229" s="171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5">
      <c r="A230" s="4"/>
      <c r="B230" s="4"/>
      <c r="C230" s="4"/>
      <c r="D230" s="4"/>
      <c r="E230" s="4"/>
      <c r="F230" s="228"/>
      <c r="G230" s="204"/>
      <c r="H230" s="4"/>
      <c r="I230" s="4"/>
      <c r="J230" s="4"/>
      <c r="K230" s="171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5">
      <c r="A231" s="46" t="s">
        <v>172</v>
      </c>
      <c r="B231" s="172" t="str">
        <f>IF('Données projet'!$B$16="","",'Données projet'!$B$16)</f>
        <v>Noyer</v>
      </c>
      <c r="C231" s="4"/>
      <c r="D231" s="4"/>
      <c r="E231" s="4"/>
      <c r="F231" s="228"/>
      <c r="G231" s="204"/>
      <c r="H231" s="4"/>
      <c r="I231" s="4"/>
      <c r="J231" s="4"/>
      <c r="K231" s="171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5">
      <c r="A232" s="46"/>
      <c r="B232" s="4"/>
      <c r="C232" s="4"/>
      <c r="D232" s="4"/>
      <c r="E232" s="4"/>
      <c r="F232" s="228"/>
      <c r="G232" s="204"/>
      <c r="H232" s="4"/>
      <c r="I232" s="4"/>
      <c r="J232" s="4"/>
      <c r="K232" s="171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29"/>
      <c r="G233" s="204"/>
      <c r="H233" s="4"/>
      <c r="I233" s="4"/>
      <c r="J233" s="4"/>
      <c r="K233" s="171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5">
      <c r="A234" s="49">
        <v>0</v>
      </c>
      <c r="B234" s="197" t="s">
        <v>132</v>
      </c>
      <c r="C234" s="196" t="s">
        <v>132</v>
      </c>
      <c r="D234" s="195" t="s">
        <v>132</v>
      </c>
      <c r="E234" s="191">
        <v>2728.94</v>
      </c>
      <c r="F234" s="229"/>
      <c r="G234" s="204"/>
      <c r="H234" s="4"/>
      <c r="I234" s="4"/>
      <c r="J234" s="4"/>
      <c r="K234" s="171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5">
      <c r="A235" s="49">
        <v>1</v>
      </c>
      <c r="B235" s="197" t="s">
        <v>132</v>
      </c>
      <c r="C235" s="196" t="s">
        <v>132</v>
      </c>
      <c r="D235" s="195" t="s">
        <v>132</v>
      </c>
      <c r="E235" s="191"/>
      <c r="F235" s="229"/>
      <c r="G235" s="23"/>
      <c r="H235" s="4"/>
      <c r="I235" s="4"/>
      <c r="J235" s="4"/>
      <c r="K235" s="171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5">
      <c r="A236" s="49">
        <v>2</v>
      </c>
      <c r="B236" s="197" t="s">
        <v>132</v>
      </c>
      <c r="C236" s="196" t="s">
        <v>132</v>
      </c>
      <c r="D236" s="195" t="s">
        <v>132</v>
      </c>
      <c r="E236" s="191"/>
      <c r="F236" s="229"/>
      <c r="G236" s="23"/>
      <c r="H236" s="4"/>
      <c r="I236" s="4"/>
      <c r="J236" s="4"/>
      <c r="K236" s="171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5">
      <c r="A237" s="49">
        <v>3</v>
      </c>
      <c r="B237" s="197" t="s">
        <v>132</v>
      </c>
      <c r="C237" s="196" t="s">
        <v>132</v>
      </c>
      <c r="D237" s="195" t="s">
        <v>132</v>
      </c>
      <c r="E237" s="191"/>
      <c r="F237" s="229"/>
      <c r="G237" s="23"/>
      <c r="H237" s="4"/>
      <c r="I237" s="4"/>
      <c r="J237" s="4"/>
      <c r="K237" s="171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5">
      <c r="A238" s="49">
        <v>4</v>
      </c>
      <c r="B238" s="197" t="s">
        <v>132</v>
      </c>
      <c r="C238" s="196" t="s">
        <v>132</v>
      </c>
      <c r="D238" s="195" t="s">
        <v>132</v>
      </c>
      <c r="E238" s="191"/>
      <c r="F238" s="229"/>
      <c r="G238" s="23"/>
      <c r="H238" s="4"/>
      <c r="I238" s="4"/>
      <c r="J238" s="4"/>
      <c r="K238" s="171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5">
      <c r="A239" s="49">
        <v>5</v>
      </c>
      <c r="B239" s="197" t="s">
        <v>132</v>
      </c>
      <c r="C239" s="196" t="s">
        <v>132</v>
      </c>
      <c r="D239" s="195" t="s">
        <v>132</v>
      </c>
      <c r="E239" s="191"/>
      <c r="F239" s="229"/>
      <c r="G239" s="203"/>
      <c r="H239" s="4"/>
      <c r="I239" s="4"/>
      <c r="J239" s="4"/>
      <c r="K239" s="171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5">
      <c r="A240" s="178">
        <f>'Données projet'!A218</f>
        <v>10</v>
      </c>
      <c r="B240" s="179">
        <f>'Données projet'!D218</f>
        <v>0</v>
      </c>
      <c r="C240" s="191">
        <v>20</v>
      </c>
      <c r="D240" s="177">
        <f>B240*C240</f>
        <v>0</v>
      </c>
      <c r="E240" s="191"/>
      <c r="F240" s="230"/>
      <c r="G240" s="203"/>
      <c r="H240" s="4"/>
      <c r="I240" s="4"/>
      <c r="J240" s="4"/>
      <c r="K240" s="171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5">
      <c r="A241" s="178">
        <f>'Données projet'!A219</f>
        <v>15</v>
      </c>
      <c r="B241" s="179">
        <f>'Données projet'!D219</f>
        <v>32</v>
      </c>
      <c r="C241" s="191">
        <v>20</v>
      </c>
      <c r="D241" s="177">
        <f t="shared" ref="D241:D259" si="13">B241*C241</f>
        <v>640</v>
      </c>
      <c r="E241" s="191"/>
      <c r="F241" s="230"/>
      <c r="G241" s="203"/>
      <c r="H241" s="4"/>
      <c r="I241" s="4"/>
      <c r="J241" s="4"/>
      <c r="K241" s="171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5">
      <c r="A242" s="178">
        <f>'Données projet'!A220</f>
        <v>20</v>
      </c>
      <c r="B242" s="179">
        <f>'Données projet'!D220</f>
        <v>35</v>
      </c>
      <c r="C242" s="191">
        <v>20</v>
      </c>
      <c r="D242" s="177">
        <f t="shared" si="13"/>
        <v>700</v>
      </c>
      <c r="E242" s="191"/>
      <c r="F242" s="230"/>
      <c r="G242" s="203"/>
      <c r="H242" s="4"/>
      <c r="I242" s="4"/>
      <c r="J242" s="4"/>
      <c r="K242" s="171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5">
      <c r="A243" s="178">
        <f>'Données projet'!A221</f>
        <v>25</v>
      </c>
      <c r="B243" s="179">
        <f>'Données projet'!D221</f>
        <v>35</v>
      </c>
      <c r="C243" s="191">
        <v>20</v>
      </c>
      <c r="D243" s="177">
        <f t="shared" si="13"/>
        <v>700</v>
      </c>
      <c r="E243" s="191"/>
      <c r="F243" s="230"/>
      <c r="G243" s="203"/>
      <c r="H243" s="4"/>
      <c r="I243" s="4"/>
      <c r="J243" s="4"/>
      <c r="K243" s="171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5">
      <c r="A244" s="178">
        <f>'Données projet'!A222</f>
        <v>30</v>
      </c>
      <c r="B244" s="179">
        <f>'Données projet'!D222</f>
        <v>35</v>
      </c>
      <c r="C244" s="191">
        <v>20</v>
      </c>
      <c r="D244" s="177">
        <f t="shared" si="13"/>
        <v>700</v>
      </c>
      <c r="E244" s="191"/>
      <c r="F244" s="230"/>
      <c r="G244" s="203"/>
      <c r="H244" s="4"/>
      <c r="I244" s="4"/>
      <c r="J244" s="4"/>
      <c r="K244" s="171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5">
      <c r="A245" s="178">
        <f>'Données projet'!A223</f>
        <v>35</v>
      </c>
      <c r="B245" s="179">
        <f>'Données projet'!D223</f>
        <v>35</v>
      </c>
      <c r="C245" s="191"/>
      <c r="D245" s="177">
        <f t="shared" si="13"/>
        <v>0</v>
      </c>
      <c r="E245" s="191"/>
      <c r="F245" s="230"/>
      <c r="G245" s="203"/>
      <c r="H245" s="4"/>
      <c r="I245" s="4"/>
      <c r="J245" s="4"/>
      <c r="K245" s="171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5">
      <c r="A246" s="178">
        <f>'Données projet'!A224</f>
        <v>40</v>
      </c>
      <c r="B246" s="179">
        <f>'Données projet'!D224</f>
        <v>35</v>
      </c>
      <c r="C246" s="191"/>
      <c r="D246" s="177">
        <f t="shared" si="13"/>
        <v>0</v>
      </c>
      <c r="E246" s="191"/>
      <c r="F246" s="230"/>
      <c r="G246" s="204"/>
      <c r="H246" s="4"/>
      <c r="I246" s="4"/>
      <c r="J246" s="4"/>
      <c r="K246" s="171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5">
      <c r="A247" s="178">
        <f>'Données projet'!A225</f>
        <v>45</v>
      </c>
      <c r="B247" s="179">
        <f>'Données projet'!D225</f>
        <v>24</v>
      </c>
      <c r="C247" s="191"/>
      <c r="D247" s="177">
        <f t="shared" si="13"/>
        <v>0</v>
      </c>
      <c r="E247" s="191"/>
      <c r="F247" s="230"/>
      <c r="G247" s="204"/>
      <c r="H247" s="4"/>
      <c r="I247" s="4"/>
      <c r="J247" s="4"/>
      <c r="K247" s="171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5">
      <c r="A248" s="178">
        <f>'Données projet'!A226</f>
        <v>50</v>
      </c>
      <c r="B248" s="179">
        <f>'Données projet'!D226</f>
        <v>19</v>
      </c>
      <c r="C248" s="191"/>
      <c r="D248" s="177">
        <f t="shared" si="13"/>
        <v>0</v>
      </c>
      <c r="E248" s="191"/>
      <c r="F248" s="230"/>
      <c r="G248" s="204"/>
      <c r="H248" s="4"/>
      <c r="I248" s="4"/>
      <c r="J248" s="4"/>
      <c r="K248" s="171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5">
      <c r="A249" s="178">
        <f>'Données projet'!A227</f>
        <v>55</v>
      </c>
      <c r="B249" s="179">
        <f>'Données projet'!D227</f>
        <v>16</v>
      </c>
      <c r="C249" s="191"/>
      <c r="D249" s="177">
        <f t="shared" si="13"/>
        <v>0</v>
      </c>
      <c r="E249" s="191"/>
      <c r="F249" s="230"/>
      <c r="G249" s="204"/>
      <c r="H249" s="4"/>
      <c r="I249" s="4"/>
      <c r="J249" s="4"/>
      <c r="K249" s="171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5">
      <c r="A250" s="178">
        <f>'Données projet'!A228</f>
        <v>60</v>
      </c>
      <c r="B250" s="179">
        <f>'Données projet'!D228</f>
        <v>14</v>
      </c>
      <c r="C250" s="191"/>
      <c r="D250" s="177">
        <f t="shared" si="13"/>
        <v>0</v>
      </c>
      <c r="E250" s="191"/>
      <c r="F250" s="230"/>
      <c r="G250" s="204"/>
      <c r="H250" s="4"/>
      <c r="I250" s="4"/>
      <c r="J250" s="4"/>
      <c r="K250" s="171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5">
      <c r="A251" s="178">
        <f>'Données projet'!A229</f>
        <v>65</v>
      </c>
      <c r="B251" s="179">
        <f>'Données projet'!D229</f>
        <v>13</v>
      </c>
      <c r="C251" s="191"/>
      <c r="D251" s="177">
        <f t="shared" si="13"/>
        <v>0</v>
      </c>
      <c r="E251" s="191"/>
      <c r="F251" s="230"/>
      <c r="G251" s="204"/>
      <c r="H251" s="4"/>
      <c r="I251" s="4"/>
      <c r="J251" s="4"/>
      <c r="K251" s="171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5">
      <c r="A252" s="178">
        <f>'Données projet'!A230</f>
        <v>70</v>
      </c>
      <c r="B252" s="179">
        <f>'Données projet'!D230</f>
        <v>13</v>
      </c>
      <c r="C252" s="191"/>
      <c r="D252" s="177">
        <f t="shared" si="13"/>
        <v>0</v>
      </c>
      <c r="E252" s="191"/>
      <c r="F252" s="230"/>
      <c r="G252" s="204"/>
      <c r="H252" s="4"/>
      <c r="I252" s="4"/>
      <c r="J252" s="4"/>
      <c r="K252" s="171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5">
      <c r="A253" s="178">
        <f>'Données projet'!A231</f>
        <v>75</v>
      </c>
      <c r="B253" s="179">
        <f>'Données projet'!D231</f>
        <v>12</v>
      </c>
      <c r="C253" s="191"/>
      <c r="D253" s="177">
        <f t="shared" si="13"/>
        <v>0</v>
      </c>
      <c r="E253" s="191"/>
      <c r="F253" s="230"/>
      <c r="G253" s="204"/>
      <c r="H253" s="4"/>
      <c r="I253" s="4"/>
      <c r="J253" s="4"/>
      <c r="K253" s="171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5">
      <c r="A254" s="178">
        <f>'Données projet'!A232</f>
        <v>80</v>
      </c>
      <c r="B254" s="179">
        <f>'Données projet'!D232</f>
        <v>11</v>
      </c>
      <c r="C254" s="191"/>
      <c r="D254" s="177">
        <f t="shared" si="13"/>
        <v>0</v>
      </c>
      <c r="E254" s="191"/>
      <c r="F254" s="230"/>
      <c r="G254" s="204"/>
      <c r="H254" s="4"/>
      <c r="I254" s="4"/>
      <c r="J254" s="4"/>
      <c r="K254" s="171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5">
      <c r="A255" s="178">
        <f>'Données projet'!A233</f>
        <v>0</v>
      </c>
      <c r="B255" s="179">
        <f>'Données projet'!D233</f>
        <v>0</v>
      </c>
      <c r="C255" s="191"/>
      <c r="D255" s="177">
        <f t="shared" si="13"/>
        <v>0</v>
      </c>
      <c r="E255" s="191"/>
      <c r="F255" s="230"/>
      <c r="G255" s="204"/>
      <c r="H255" s="4"/>
      <c r="I255" s="4"/>
      <c r="J255" s="4"/>
      <c r="K255" s="171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5">
      <c r="A256" s="178">
        <f>'Données projet'!A234</f>
        <v>0</v>
      </c>
      <c r="B256" s="179">
        <f>'Données projet'!D234</f>
        <v>0</v>
      </c>
      <c r="C256" s="191"/>
      <c r="D256" s="177">
        <f t="shared" si="13"/>
        <v>0</v>
      </c>
      <c r="E256" s="191"/>
      <c r="F256" s="230"/>
      <c r="G256" s="204"/>
      <c r="H256" s="4"/>
      <c r="I256" s="4"/>
      <c r="J256" s="4"/>
      <c r="K256" s="171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5">
      <c r="A257" s="178">
        <f>'Données projet'!A235</f>
        <v>0</v>
      </c>
      <c r="B257" s="179">
        <f>'Données projet'!D235</f>
        <v>0</v>
      </c>
      <c r="C257" s="191"/>
      <c r="D257" s="177">
        <f t="shared" si="13"/>
        <v>0</v>
      </c>
      <c r="E257" s="191"/>
      <c r="F257" s="230"/>
      <c r="G257" s="204"/>
      <c r="H257" s="4"/>
      <c r="I257" s="4"/>
      <c r="J257" s="4"/>
      <c r="K257" s="171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5">
      <c r="A258" s="178">
        <f>'Données projet'!A236</f>
        <v>0</v>
      </c>
      <c r="B258" s="179">
        <f>'Données projet'!D236</f>
        <v>0</v>
      </c>
      <c r="C258" s="191"/>
      <c r="D258" s="177">
        <f t="shared" si="13"/>
        <v>0</v>
      </c>
      <c r="E258" s="191"/>
      <c r="F258" s="230"/>
      <c r="G258" s="204"/>
      <c r="H258" s="4"/>
      <c r="I258" s="4"/>
      <c r="J258" s="4"/>
      <c r="K258" s="171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5">
      <c r="A259" s="178">
        <f>'Données projet'!A237</f>
        <v>0</v>
      </c>
      <c r="B259" s="179">
        <f>'Données projet'!D237</f>
        <v>0</v>
      </c>
      <c r="C259" s="191"/>
      <c r="D259" s="177">
        <f t="shared" si="13"/>
        <v>0</v>
      </c>
      <c r="E259" s="191"/>
      <c r="F259" s="230"/>
      <c r="G259" s="204"/>
      <c r="H259" s="4"/>
      <c r="I259" s="4"/>
      <c r="J259" s="4"/>
      <c r="K259" s="171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5">
      <c r="A260" s="4"/>
      <c r="B260" s="4"/>
      <c r="C260" s="4"/>
      <c r="D260" s="4"/>
      <c r="E260" s="4"/>
      <c r="F260" s="228"/>
      <c r="G260" s="204"/>
      <c r="H260" s="4"/>
      <c r="I260" s="4"/>
      <c r="J260" s="4"/>
      <c r="K260" s="171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5">
      <c r="A261" s="4"/>
      <c r="B261" s="4"/>
      <c r="C261" s="4"/>
      <c r="D261" s="4"/>
      <c r="E261" s="4"/>
      <c r="F261" s="228"/>
      <c r="G261" s="204"/>
      <c r="H261" s="4"/>
      <c r="I261" s="4"/>
      <c r="J261" s="4"/>
      <c r="K261" s="171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5">
      <c r="A262" s="46" t="s">
        <v>173</v>
      </c>
      <c r="B262" s="172" t="str">
        <f>IF('Données projet'!$B$17="","",'Données projet'!$B$17)</f>
        <v>Charme</v>
      </c>
      <c r="C262" s="4"/>
      <c r="D262" s="4"/>
      <c r="E262" s="4"/>
      <c r="F262" s="228"/>
      <c r="G262" s="204"/>
      <c r="H262" s="4"/>
      <c r="I262" s="4"/>
      <c r="J262" s="4"/>
      <c r="K262" s="171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5">
      <c r="A263" s="46"/>
      <c r="B263" s="4"/>
      <c r="C263" s="4"/>
      <c r="D263" s="4"/>
      <c r="E263" s="4"/>
      <c r="F263" s="228"/>
      <c r="G263" s="204"/>
      <c r="H263" s="4"/>
      <c r="I263" s="4"/>
      <c r="J263" s="4"/>
      <c r="K263" s="171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29"/>
      <c r="G264" s="204"/>
      <c r="H264" s="4"/>
      <c r="I264" s="4"/>
      <c r="J264" s="4"/>
      <c r="K264" s="171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5">
      <c r="A265" s="49">
        <v>0</v>
      </c>
      <c r="B265" s="197" t="s">
        <v>132</v>
      </c>
      <c r="C265" s="196" t="s">
        <v>132</v>
      </c>
      <c r="D265" s="195" t="s">
        <v>132</v>
      </c>
      <c r="E265" s="191">
        <v>2271.5</v>
      </c>
      <c r="F265" s="229"/>
      <c r="G265" s="204"/>
      <c r="H265" s="4"/>
      <c r="I265" s="4"/>
      <c r="J265" s="4"/>
      <c r="K265" s="171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5">
      <c r="A266" s="49">
        <v>1</v>
      </c>
      <c r="B266" s="197" t="s">
        <v>132</v>
      </c>
      <c r="C266" s="196" t="s">
        <v>132</v>
      </c>
      <c r="D266" s="195" t="s">
        <v>132</v>
      </c>
      <c r="E266" s="191"/>
      <c r="F266" s="229"/>
      <c r="G266" s="23"/>
      <c r="H266" s="4"/>
      <c r="I266" s="4"/>
      <c r="J266" s="4"/>
      <c r="K266" s="171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5">
      <c r="A267" s="49">
        <v>2</v>
      </c>
      <c r="B267" s="197" t="s">
        <v>132</v>
      </c>
      <c r="C267" s="196" t="s">
        <v>132</v>
      </c>
      <c r="D267" s="195" t="s">
        <v>132</v>
      </c>
      <c r="E267" s="191"/>
      <c r="F267" s="229"/>
      <c r="G267" s="23"/>
      <c r="H267" s="4"/>
      <c r="I267" s="4"/>
      <c r="J267" s="4"/>
      <c r="K267" s="171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5">
      <c r="A268" s="49">
        <v>3</v>
      </c>
      <c r="B268" s="197" t="s">
        <v>132</v>
      </c>
      <c r="C268" s="196" t="s">
        <v>132</v>
      </c>
      <c r="D268" s="195" t="s">
        <v>132</v>
      </c>
      <c r="E268" s="191"/>
      <c r="F268" s="229"/>
      <c r="G268" s="23"/>
      <c r="H268" s="4"/>
      <c r="I268" s="4"/>
      <c r="J268" s="4"/>
      <c r="K268" s="171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5">
      <c r="A269" s="49">
        <v>4</v>
      </c>
      <c r="B269" s="197" t="s">
        <v>132</v>
      </c>
      <c r="C269" s="196" t="s">
        <v>132</v>
      </c>
      <c r="D269" s="195" t="s">
        <v>132</v>
      </c>
      <c r="E269" s="191"/>
      <c r="F269" s="229"/>
      <c r="G269" s="23"/>
      <c r="H269" s="4"/>
      <c r="I269" s="4"/>
      <c r="J269" s="4"/>
      <c r="K269" s="171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5">
      <c r="A270" s="49">
        <v>5</v>
      </c>
      <c r="B270" s="197" t="s">
        <v>132</v>
      </c>
      <c r="C270" s="196" t="s">
        <v>132</v>
      </c>
      <c r="D270" s="195" t="s">
        <v>132</v>
      </c>
      <c r="E270" s="191"/>
      <c r="F270" s="229"/>
      <c r="G270" s="203"/>
      <c r="H270" s="4"/>
      <c r="I270" s="4"/>
      <c r="J270" s="4"/>
      <c r="K270" s="171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5">
      <c r="A271" s="178">
        <f>'Données projet'!A244</f>
        <v>30</v>
      </c>
      <c r="B271" s="179">
        <f>'Données projet'!D244</f>
        <v>0</v>
      </c>
      <c r="C271" s="191"/>
      <c r="D271" s="177">
        <f>B271*C271</f>
        <v>0</v>
      </c>
      <c r="E271" s="191"/>
      <c r="F271" s="230"/>
      <c r="G271" s="203"/>
      <c r="H271" s="4"/>
      <c r="I271" s="4"/>
      <c r="J271" s="4"/>
      <c r="K271" s="171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5">
      <c r="A272" s="178">
        <f>'Données projet'!A245</f>
        <v>35</v>
      </c>
      <c r="B272" s="179">
        <f>'Données projet'!D245</f>
        <v>69.58</v>
      </c>
      <c r="C272" s="191"/>
      <c r="D272" s="177">
        <f t="shared" ref="D272:D290" si="14">B272*C272</f>
        <v>0</v>
      </c>
      <c r="E272" s="191"/>
      <c r="F272" s="230"/>
      <c r="G272" s="203"/>
      <c r="H272" s="4"/>
      <c r="I272" s="4"/>
      <c r="J272" s="4"/>
      <c r="K272" s="171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5">
      <c r="A273" s="178">
        <f>'Données projet'!A246</f>
        <v>41</v>
      </c>
      <c r="B273" s="179">
        <f>'Données projet'!D246</f>
        <v>47.41</v>
      </c>
      <c r="C273" s="191"/>
      <c r="D273" s="177">
        <f t="shared" si="14"/>
        <v>0</v>
      </c>
      <c r="E273" s="191"/>
      <c r="F273" s="230"/>
      <c r="G273" s="203"/>
      <c r="H273" s="4"/>
      <c r="I273" s="4"/>
      <c r="J273" s="4"/>
      <c r="K273" s="171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5">
      <c r="A274" s="178">
        <f>'Données projet'!A247</f>
        <v>48</v>
      </c>
      <c r="B274" s="179">
        <f>'Données projet'!D247</f>
        <v>61.12</v>
      </c>
      <c r="C274" s="191"/>
      <c r="D274" s="177">
        <f t="shared" si="14"/>
        <v>0</v>
      </c>
      <c r="E274" s="191"/>
      <c r="F274" s="230"/>
      <c r="G274" s="203"/>
      <c r="H274" s="4"/>
      <c r="I274" s="4"/>
      <c r="J274" s="4"/>
      <c r="K274" s="171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5">
      <c r="A275" s="178">
        <f>'Données projet'!A248</f>
        <v>55</v>
      </c>
      <c r="B275" s="179">
        <f>'Données projet'!D248</f>
        <v>58.24</v>
      </c>
      <c r="C275" s="191"/>
      <c r="D275" s="177">
        <f t="shared" si="14"/>
        <v>0</v>
      </c>
      <c r="E275" s="191"/>
      <c r="F275" s="230"/>
      <c r="G275" s="203"/>
      <c r="H275" s="4"/>
      <c r="I275" s="4"/>
      <c r="J275" s="4"/>
      <c r="K275" s="171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5">
      <c r="A276" s="178">
        <f>'Données projet'!A249</f>
        <v>63</v>
      </c>
      <c r="B276" s="179">
        <f>'Données projet'!D249</f>
        <v>54.21</v>
      </c>
      <c r="C276" s="191"/>
      <c r="D276" s="177">
        <f t="shared" si="14"/>
        <v>0</v>
      </c>
      <c r="E276" s="191"/>
      <c r="F276" s="230"/>
      <c r="G276" s="203"/>
      <c r="H276" s="4"/>
      <c r="I276" s="4"/>
      <c r="J276" s="4"/>
      <c r="K276" s="171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5">
      <c r="A277" s="178">
        <f>'Données projet'!A250</f>
        <v>71</v>
      </c>
      <c r="B277" s="179">
        <f>'Données projet'!D250</f>
        <v>52.07</v>
      </c>
      <c r="C277" s="191"/>
      <c r="D277" s="177">
        <f t="shared" si="14"/>
        <v>0</v>
      </c>
      <c r="E277" s="191"/>
      <c r="F277" s="230"/>
      <c r="G277" s="204"/>
      <c r="H277" s="4"/>
      <c r="I277" s="4"/>
      <c r="J277" s="4"/>
      <c r="K277" s="171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5">
      <c r="A278" s="178">
        <f>'Données projet'!A251</f>
        <v>80</v>
      </c>
      <c r="B278" s="179">
        <f>'Données projet'!D251</f>
        <v>59.57</v>
      </c>
      <c r="C278" s="191"/>
      <c r="D278" s="177">
        <f t="shared" si="14"/>
        <v>0</v>
      </c>
      <c r="E278" s="191"/>
      <c r="F278" s="230"/>
      <c r="G278" s="204"/>
      <c r="H278" s="4"/>
      <c r="I278" s="4"/>
      <c r="J278" s="4"/>
      <c r="K278" s="171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5">
      <c r="A279" s="178">
        <f>'Données projet'!A252</f>
        <v>89</v>
      </c>
      <c r="B279" s="179">
        <f>'Données projet'!D252</f>
        <v>64.5</v>
      </c>
      <c r="C279" s="191"/>
      <c r="D279" s="177">
        <f t="shared" si="14"/>
        <v>0</v>
      </c>
      <c r="E279" s="191"/>
      <c r="F279" s="230"/>
      <c r="G279" s="204"/>
      <c r="H279" s="4"/>
      <c r="I279" s="4"/>
      <c r="J279" s="4"/>
      <c r="K279" s="171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5">
      <c r="A280" s="178">
        <f>'Données projet'!A253</f>
        <v>99</v>
      </c>
      <c r="B280" s="179">
        <f>'Données projet'!D253</f>
        <v>62.94</v>
      </c>
      <c r="C280" s="191"/>
      <c r="D280" s="177">
        <f t="shared" si="14"/>
        <v>0</v>
      </c>
      <c r="E280" s="191"/>
      <c r="F280" s="230"/>
      <c r="G280" s="204"/>
      <c r="H280" s="4"/>
      <c r="I280" s="4"/>
      <c r="J280" s="4"/>
      <c r="K280" s="171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5">
      <c r="A281" s="178">
        <f>'Données projet'!A254</f>
        <v>109</v>
      </c>
      <c r="B281" s="179">
        <f>'Données projet'!D254</f>
        <v>66.959999999999994</v>
      </c>
      <c r="C281" s="191"/>
      <c r="D281" s="177">
        <f t="shared" si="14"/>
        <v>0</v>
      </c>
      <c r="E281" s="191"/>
      <c r="F281" s="230"/>
      <c r="G281" s="204"/>
      <c r="H281" s="4"/>
      <c r="I281" s="4"/>
      <c r="J281" s="4"/>
      <c r="K281" s="171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5">
      <c r="A282" s="178">
        <f>'Données projet'!A255</f>
        <v>119</v>
      </c>
      <c r="B282" s="179">
        <f>'Données projet'!D255</f>
        <v>196.46</v>
      </c>
      <c r="C282" s="191"/>
      <c r="D282" s="177">
        <f t="shared" si="14"/>
        <v>0</v>
      </c>
      <c r="E282" s="191"/>
      <c r="F282" s="230"/>
      <c r="G282" s="204"/>
      <c r="H282" s="4"/>
      <c r="I282" s="4"/>
      <c r="J282" s="4"/>
      <c r="K282" s="171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5">
      <c r="A283" s="178">
        <f>'Données projet'!A256</f>
        <v>123</v>
      </c>
      <c r="B283" s="179">
        <f>'Données projet'!D256</f>
        <v>100.6</v>
      </c>
      <c r="C283" s="191"/>
      <c r="D283" s="177">
        <f t="shared" si="14"/>
        <v>0</v>
      </c>
      <c r="E283" s="191"/>
      <c r="F283" s="230"/>
      <c r="G283" s="204"/>
      <c r="H283" s="4"/>
      <c r="I283" s="4"/>
      <c r="J283" s="4"/>
      <c r="K283" s="171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5">
      <c r="A284" s="178">
        <f>'Données projet'!A257</f>
        <v>127</v>
      </c>
      <c r="B284" s="179">
        <f>'Données projet'!D257</f>
        <v>65.02</v>
      </c>
      <c r="C284" s="191"/>
      <c r="D284" s="177">
        <f t="shared" si="14"/>
        <v>0</v>
      </c>
      <c r="E284" s="191"/>
      <c r="F284" s="230"/>
      <c r="G284" s="204"/>
      <c r="H284" s="4"/>
      <c r="I284" s="4"/>
      <c r="J284" s="4"/>
      <c r="K284" s="171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5">
      <c r="A285" s="178">
        <f>'Données projet'!A258</f>
        <v>131</v>
      </c>
      <c r="B285" s="179">
        <f>'Données projet'!D258</f>
        <v>143.84</v>
      </c>
      <c r="C285" s="191"/>
      <c r="D285" s="177">
        <f t="shared" si="14"/>
        <v>0</v>
      </c>
      <c r="E285" s="191"/>
      <c r="F285" s="230"/>
      <c r="G285" s="204"/>
      <c r="H285" s="4"/>
      <c r="I285" s="4"/>
      <c r="J285" s="4"/>
      <c r="K285" s="171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5">
      <c r="A286" s="178">
        <f>'Données projet'!A259</f>
        <v>0</v>
      </c>
      <c r="B286" s="179">
        <f>'Données projet'!D259</f>
        <v>0</v>
      </c>
      <c r="C286" s="191"/>
      <c r="D286" s="177">
        <f t="shared" si="14"/>
        <v>0</v>
      </c>
      <c r="E286" s="191"/>
      <c r="F286" s="230"/>
      <c r="G286" s="204"/>
      <c r="H286" s="4"/>
      <c r="I286" s="4"/>
      <c r="J286" s="4"/>
      <c r="K286" s="171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5">
      <c r="A287" s="178">
        <f>'Données projet'!A260</f>
        <v>0</v>
      </c>
      <c r="B287" s="179">
        <f>'Données projet'!D260</f>
        <v>0</v>
      </c>
      <c r="C287" s="191"/>
      <c r="D287" s="177">
        <f t="shared" si="14"/>
        <v>0</v>
      </c>
      <c r="E287" s="191"/>
      <c r="F287" s="230"/>
      <c r="G287" s="204"/>
      <c r="H287" s="4"/>
      <c r="I287" s="4"/>
      <c r="J287" s="4"/>
      <c r="K287" s="171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5">
      <c r="A288" s="178">
        <f>'Données projet'!A261</f>
        <v>0</v>
      </c>
      <c r="B288" s="179">
        <f>'Données projet'!D261</f>
        <v>0</v>
      </c>
      <c r="C288" s="191"/>
      <c r="D288" s="177">
        <f t="shared" si="14"/>
        <v>0</v>
      </c>
      <c r="E288" s="191"/>
      <c r="F288" s="230"/>
      <c r="G288" s="204"/>
      <c r="H288" s="4"/>
      <c r="I288" s="4"/>
      <c r="J288" s="4"/>
      <c r="K288" s="171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5">
      <c r="A289" s="178">
        <f>'Données projet'!A262</f>
        <v>0</v>
      </c>
      <c r="B289" s="179">
        <f>'Données projet'!D262</f>
        <v>0</v>
      </c>
      <c r="C289" s="191"/>
      <c r="D289" s="177">
        <f t="shared" si="14"/>
        <v>0</v>
      </c>
      <c r="E289" s="191"/>
      <c r="F289" s="230"/>
      <c r="G289" s="204"/>
      <c r="H289" s="4"/>
      <c r="I289" s="4"/>
      <c r="J289" s="4"/>
      <c r="K289" s="171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5">
      <c r="A290" s="178">
        <f>'Données projet'!A263</f>
        <v>0</v>
      </c>
      <c r="B290" s="179">
        <f>'Données projet'!D263</f>
        <v>0</v>
      </c>
      <c r="C290" s="191"/>
      <c r="D290" s="177">
        <f t="shared" si="14"/>
        <v>0</v>
      </c>
      <c r="E290" s="191"/>
      <c r="F290" s="230"/>
      <c r="G290" s="204"/>
      <c r="H290" s="4"/>
      <c r="I290" s="4"/>
      <c r="J290" s="4"/>
      <c r="K290" s="171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5">
      <c r="A291" s="4"/>
      <c r="B291" s="4"/>
      <c r="C291" s="4"/>
      <c r="D291" s="4"/>
      <c r="E291" s="4"/>
      <c r="F291" s="228"/>
      <c r="G291" s="204"/>
      <c r="H291" s="4"/>
      <c r="I291" s="4"/>
      <c r="J291" s="4"/>
      <c r="K291" s="171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5">
      <c r="A292" s="4"/>
      <c r="B292" s="4"/>
      <c r="C292" s="4"/>
      <c r="D292" s="4"/>
      <c r="E292" s="4"/>
      <c r="F292" s="228"/>
      <c r="G292" s="204"/>
      <c r="H292" s="4"/>
      <c r="I292" s="4"/>
      <c r="J292" s="4"/>
      <c r="K292" s="171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5">
      <c r="A293" s="46" t="s">
        <v>174</v>
      </c>
      <c r="B293" s="172" t="str">
        <f>IF('Données projet'!$B$18="","",'Données projet'!$B$18)</f>
        <v>Merisier</v>
      </c>
      <c r="C293" s="4"/>
      <c r="D293" s="4"/>
      <c r="E293" s="4"/>
      <c r="F293" s="228"/>
      <c r="G293" s="204"/>
      <c r="H293" s="4"/>
      <c r="I293" s="4"/>
      <c r="J293" s="4"/>
      <c r="K293" s="171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5">
      <c r="A294" s="46"/>
      <c r="B294" s="4"/>
      <c r="C294" s="4"/>
      <c r="D294" s="4"/>
      <c r="E294" s="4"/>
      <c r="F294" s="228"/>
      <c r="G294" s="204"/>
      <c r="H294" s="4"/>
      <c r="I294" s="4"/>
      <c r="J294" s="4"/>
      <c r="K294" s="171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29"/>
      <c r="G295" s="204"/>
      <c r="H295" s="4"/>
      <c r="I295" s="4"/>
      <c r="J295" s="4"/>
      <c r="K295" s="171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5">
      <c r="A296" s="49">
        <v>0</v>
      </c>
      <c r="B296" s="197" t="s">
        <v>132</v>
      </c>
      <c r="C296" s="196" t="s">
        <v>132</v>
      </c>
      <c r="D296" s="195" t="s">
        <v>132</v>
      </c>
      <c r="E296" s="191">
        <v>2777.88</v>
      </c>
      <c r="F296" s="229"/>
      <c r="G296" s="204"/>
      <c r="H296" s="4"/>
      <c r="I296" s="4"/>
      <c r="J296" s="4"/>
      <c r="K296" s="171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5">
      <c r="A297" s="49">
        <v>1</v>
      </c>
      <c r="B297" s="197" t="s">
        <v>132</v>
      </c>
      <c r="C297" s="196" t="s">
        <v>132</v>
      </c>
      <c r="D297" s="195" t="s">
        <v>132</v>
      </c>
      <c r="E297" s="191"/>
      <c r="F297" s="229"/>
      <c r="G297" s="23"/>
      <c r="H297" s="4"/>
      <c r="I297" s="4"/>
      <c r="J297" s="4"/>
      <c r="K297" s="171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5">
      <c r="A298" s="49">
        <v>2</v>
      </c>
      <c r="B298" s="197" t="s">
        <v>132</v>
      </c>
      <c r="C298" s="196" t="s">
        <v>132</v>
      </c>
      <c r="D298" s="195" t="s">
        <v>132</v>
      </c>
      <c r="E298" s="191"/>
      <c r="F298" s="229"/>
      <c r="G298" s="23"/>
      <c r="H298" s="4"/>
      <c r="I298" s="4"/>
      <c r="J298" s="4"/>
      <c r="K298" s="171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5">
      <c r="A299" s="49">
        <v>3</v>
      </c>
      <c r="B299" s="197" t="s">
        <v>132</v>
      </c>
      <c r="C299" s="196" t="s">
        <v>132</v>
      </c>
      <c r="D299" s="195" t="s">
        <v>132</v>
      </c>
      <c r="E299" s="191"/>
      <c r="F299" s="229"/>
      <c r="G299" s="23"/>
      <c r="H299" s="4"/>
      <c r="I299" s="4"/>
      <c r="J299" s="4"/>
      <c r="K299" s="171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5">
      <c r="A300" s="49">
        <v>4</v>
      </c>
      <c r="B300" s="197" t="s">
        <v>132</v>
      </c>
      <c r="C300" s="196" t="s">
        <v>132</v>
      </c>
      <c r="D300" s="195" t="s">
        <v>132</v>
      </c>
      <c r="E300" s="191"/>
      <c r="F300" s="229"/>
      <c r="G300" s="23"/>
      <c r="H300" s="4"/>
      <c r="I300" s="4"/>
      <c r="J300" s="4"/>
      <c r="K300" s="171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5">
      <c r="A301" s="49">
        <v>5</v>
      </c>
      <c r="B301" s="197" t="s">
        <v>132</v>
      </c>
      <c r="C301" s="196" t="s">
        <v>132</v>
      </c>
      <c r="D301" s="195" t="s">
        <v>132</v>
      </c>
      <c r="E301" s="191"/>
      <c r="F301" s="229"/>
      <c r="G301" s="203"/>
      <c r="H301" s="4"/>
      <c r="I301" s="4"/>
      <c r="J301" s="4"/>
      <c r="K301" s="171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5">
      <c r="A302" s="178">
        <f>'Données projet'!A270</f>
        <v>15</v>
      </c>
      <c r="B302" s="179">
        <f>'Données projet'!D270</f>
        <v>3</v>
      </c>
      <c r="C302" s="189">
        <v>20</v>
      </c>
      <c r="D302" s="180">
        <f>B302*C302</f>
        <v>60</v>
      </c>
      <c r="E302" s="191"/>
      <c r="F302" s="231"/>
      <c r="G302" s="203"/>
      <c r="H302" s="4"/>
      <c r="I302" s="4"/>
      <c r="J302" s="4"/>
      <c r="K302" s="171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5">
      <c r="A303" s="178">
        <f>'Données projet'!A271</f>
        <v>20</v>
      </c>
      <c r="B303" s="179">
        <f>'Données projet'!D271</f>
        <v>25</v>
      </c>
      <c r="C303" s="189">
        <v>20</v>
      </c>
      <c r="D303" s="180">
        <f t="shared" ref="D303:D321" si="15">B303*C303</f>
        <v>500</v>
      </c>
      <c r="E303" s="191"/>
      <c r="F303" s="231"/>
      <c r="G303" s="203"/>
      <c r="H303" s="4"/>
      <c r="I303" s="4"/>
      <c r="J303" s="4"/>
      <c r="K303" s="171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5">
      <c r="A304" s="178">
        <f>'Données projet'!A272</f>
        <v>25</v>
      </c>
      <c r="B304" s="179">
        <f>'Données projet'!D272</f>
        <v>27</v>
      </c>
      <c r="C304" s="189">
        <v>20</v>
      </c>
      <c r="D304" s="180">
        <f t="shared" si="15"/>
        <v>540</v>
      </c>
      <c r="E304" s="191"/>
      <c r="F304" s="231"/>
      <c r="G304" s="203"/>
      <c r="H304" s="4"/>
      <c r="I304" s="4"/>
      <c r="J304" s="4"/>
      <c r="K304" s="171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5">
      <c r="A305" s="178">
        <f>'Données projet'!A273</f>
        <v>31</v>
      </c>
      <c r="B305" s="179">
        <f>'Données projet'!D273</f>
        <v>36</v>
      </c>
      <c r="C305" s="189"/>
      <c r="D305" s="180">
        <f t="shared" si="15"/>
        <v>0</v>
      </c>
      <c r="E305" s="191"/>
      <c r="F305" s="231"/>
      <c r="G305" s="203"/>
      <c r="H305" s="4"/>
      <c r="I305" s="4"/>
      <c r="J305" s="4"/>
      <c r="K305" s="171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5">
      <c r="A306" s="178">
        <f>'Données projet'!A274</f>
        <v>37</v>
      </c>
      <c r="B306" s="179">
        <f>'Données projet'!D274</f>
        <v>36</v>
      </c>
      <c r="C306" s="189"/>
      <c r="D306" s="180">
        <f t="shared" si="15"/>
        <v>0</v>
      </c>
      <c r="E306" s="191"/>
      <c r="F306" s="231"/>
      <c r="G306" s="203"/>
      <c r="H306" s="4"/>
      <c r="I306" s="4"/>
      <c r="J306" s="4"/>
      <c r="K306" s="171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5">
      <c r="A307" s="178">
        <f>'Données projet'!A275</f>
        <v>44</v>
      </c>
      <c r="B307" s="179">
        <f>'Données projet'!D275</f>
        <v>43</v>
      </c>
      <c r="C307" s="189"/>
      <c r="D307" s="180">
        <f t="shared" si="15"/>
        <v>0</v>
      </c>
      <c r="E307" s="191"/>
      <c r="F307" s="231"/>
      <c r="G307" s="203"/>
      <c r="H307" s="4"/>
      <c r="I307" s="4"/>
      <c r="J307" s="4"/>
      <c r="K307" s="171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5">
      <c r="A308" s="178">
        <f>'Données projet'!A276</f>
        <v>52</v>
      </c>
      <c r="B308" s="179">
        <f>'Données projet'!D276</f>
        <v>48</v>
      </c>
      <c r="C308" s="189"/>
      <c r="D308" s="180">
        <f t="shared" si="15"/>
        <v>0</v>
      </c>
      <c r="E308" s="191"/>
      <c r="F308" s="231"/>
      <c r="G308" s="201"/>
      <c r="H308" s="4"/>
      <c r="I308" s="4"/>
      <c r="J308" s="4"/>
      <c r="K308" s="171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5">
      <c r="A309" s="178">
        <f>'Données projet'!A277</f>
        <v>60</v>
      </c>
      <c r="B309" s="179">
        <f>'Données projet'!D277</f>
        <v>47</v>
      </c>
      <c r="C309" s="189"/>
      <c r="D309" s="180">
        <f t="shared" si="15"/>
        <v>0</v>
      </c>
      <c r="E309" s="191"/>
      <c r="F309" s="231"/>
      <c r="G309" s="201"/>
      <c r="H309" s="4"/>
      <c r="I309" s="4"/>
      <c r="J309" s="4"/>
      <c r="K309" s="171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5">
      <c r="A310" s="178">
        <f>'Données projet'!A278</f>
        <v>69</v>
      </c>
      <c r="B310" s="179">
        <f>'Données projet'!D278</f>
        <v>0</v>
      </c>
      <c r="C310" s="189"/>
      <c r="D310" s="180">
        <f t="shared" si="15"/>
        <v>0</v>
      </c>
      <c r="E310" s="191"/>
      <c r="F310" s="231"/>
      <c r="G310" s="201"/>
      <c r="H310" s="4"/>
      <c r="I310" s="4"/>
      <c r="J310" s="4"/>
      <c r="K310" s="171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5">
      <c r="A311" s="178">
        <f>'Données projet'!A279</f>
        <v>0</v>
      </c>
      <c r="B311" s="179">
        <f>'Données projet'!D279</f>
        <v>0</v>
      </c>
      <c r="C311" s="189"/>
      <c r="D311" s="180">
        <f t="shared" si="15"/>
        <v>0</v>
      </c>
      <c r="E311" s="191"/>
      <c r="F311" s="231"/>
      <c r="G311" s="201"/>
      <c r="H311" s="4"/>
      <c r="I311" s="4"/>
      <c r="J311" s="4"/>
      <c r="K311" s="171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5">
      <c r="A312" s="178">
        <f>'Données projet'!A280</f>
        <v>0</v>
      </c>
      <c r="B312" s="179">
        <f>'Données projet'!D280</f>
        <v>0</v>
      </c>
      <c r="C312" s="189"/>
      <c r="D312" s="180">
        <f t="shared" si="15"/>
        <v>0</v>
      </c>
      <c r="E312" s="191"/>
      <c r="F312" s="231"/>
      <c r="G312" s="201"/>
      <c r="H312" s="4"/>
      <c r="I312" s="4"/>
      <c r="J312" s="4"/>
      <c r="K312" s="171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5">
      <c r="A313" s="178">
        <f>'Données projet'!A281</f>
        <v>0</v>
      </c>
      <c r="B313" s="179">
        <f>'Données projet'!D281</f>
        <v>0</v>
      </c>
      <c r="C313" s="189"/>
      <c r="D313" s="180">
        <f t="shared" si="15"/>
        <v>0</v>
      </c>
      <c r="E313" s="191"/>
      <c r="F313" s="231"/>
      <c r="G313" s="201"/>
      <c r="H313" s="4"/>
      <c r="I313" s="4"/>
      <c r="J313" s="4"/>
      <c r="K313" s="171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5">
      <c r="A314" s="178">
        <f>'Données projet'!A282</f>
        <v>0</v>
      </c>
      <c r="B314" s="179">
        <f>'Données projet'!D282</f>
        <v>0</v>
      </c>
      <c r="C314" s="189"/>
      <c r="D314" s="180">
        <f t="shared" si="15"/>
        <v>0</v>
      </c>
      <c r="E314" s="191"/>
      <c r="F314" s="231"/>
      <c r="G314" s="201"/>
      <c r="H314" s="4"/>
      <c r="I314" s="4"/>
      <c r="J314" s="4"/>
      <c r="K314" s="171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5">
      <c r="A315" s="178">
        <f>'Données projet'!A283</f>
        <v>0</v>
      </c>
      <c r="B315" s="179">
        <f>'Données projet'!D283</f>
        <v>0</v>
      </c>
      <c r="C315" s="189"/>
      <c r="D315" s="180">
        <f t="shared" si="15"/>
        <v>0</v>
      </c>
      <c r="E315" s="191"/>
      <c r="F315" s="231"/>
      <c r="G315" s="201"/>
      <c r="H315" s="4"/>
      <c r="I315" s="4"/>
      <c r="J315" s="4"/>
      <c r="K315" s="171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5">
      <c r="A316" s="178">
        <f>'Données projet'!A284</f>
        <v>0</v>
      </c>
      <c r="B316" s="179">
        <f>'Données projet'!D284</f>
        <v>0</v>
      </c>
      <c r="C316" s="189"/>
      <c r="D316" s="180">
        <f t="shared" si="15"/>
        <v>0</v>
      </c>
      <c r="E316" s="191"/>
      <c r="F316" s="231"/>
      <c r="G316" s="201"/>
      <c r="H316" s="4"/>
      <c r="I316" s="4"/>
      <c r="J316" s="4"/>
      <c r="K316" s="171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5">
      <c r="A317" s="178">
        <f>'Données projet'!A285</f>
        <v>0</v>
      </c>
      <c r="B317" s="179">
        <f>'Données projet'!D285</f>
        <v>0</v>
      </c>
      <c r="C317" s="189"/>
      <c r="D317" s="180">
        <f t="shared" si="15"/>
        <v>0</v>
      </c>
      <c r="E317" s="191"/>
      <c r="F317" s="231"/>
      <c r="G317" s="201"/>
      <c r="H317" s="4"/>
      <c r="I317" s="4"/>
      <c r="J317" s="4"/>
      <c r="K317" s="171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5">
      <c r="A318" s="178">
        <f>'Données projet'!A286</f>
        <v>0</v>
      </c>
      <c r="B318" s="179">
        <f>'Données projet'!D286</f>
        <v>0</v>
      </c>
      <c r="C318" s="189"/>
      <c r="D318" s="180">
        <f t="shared" si="15"/>
        <v>0</v>
      </c>
      <c r="E318" s="191"/>
      <c r="F318" s="231"/>
      <c r="G318" s="201"/>
      <c r="H318" s="4"/>
      <c r="I318" s="4"/>
      <c r="J318" s="4"/>
      <c r="K318" s="171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5">
      <c r="A319" s="178">
        <f>'Données projet'!A287</f>
        <v>0</v>
      </c>
      <c r="B319" s="179">
        <f>'Données projet'!D287</f>
        <v>0</v>
      </c>
      <c r="C319" s="189"/>
      <c r="D319" s="180">
        <f t="shared" si="15"/>
        <v>0</v>
      </c>
      <c r="E319" s="191"/>
      <c r="F319" s="231"/>
      <c r="G319" s="201"/>
      <c r="H319" s="4"/>
      <c r="I319" s="4"/>
      <c r="J319" s="4"/>
      <c r="K319" s="171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5">
      <c r="A320" s="178">
        <f>'Données projet'!A288</f>
        <v>0</v>
      </c>
      <c r="B320" s="179">
        <f>'Données projet'!D288</f>
        <v>0</v>
      </c>
      <c r="C320" s="189"/>
      <c r="D320" s="180">
        <f t="shared" si="15"/>
        <v>0</v>
      </c>
      <c r="E320" s="191"/>
      <c r="F320" s="231"/>
      <c r="G320" s="201"/>
      <c r="H320" s="4"/>
      <c r="I320" s="4"/>
      <c r="J320" s="4"/>
      <c r="K320" s="171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5">
      <c r="A321" s="178">
        <f>'Données projet'!A289</f>
        <v>0</v>
      </c>
      <c r="B321" s="179">
        <f>'Données projet'!D289</f>
        <v>0</v>
      </c>
      <c r="C321" s="194"/>
      <c r="D321" s="180">
        <f t="shared" si="15"/>
        <v>0</v>
      </c>
      <c r="E321" s="191"/>
      <c r="F321" s="231"/>
      <c r="G321" s="201"/>
      <c r="H321" s="4"/>
      <c r="I321" s="4"/>
      <c r="J321" s="4"/>
      <c r="K321" s="171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5">
      <c r="G322" s="201"/>
      <c r="H322" s="4"/>
      <c r="I322" s="4"/>
      <c r="J322" s="4"/>
      <c r="K322" s="171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5">
      <c r="G323" s="201"/>
      <c r="H323" s="4"/>
      <c r="I323" s="4"/>
      <c r="J323" s="4"/>
      <c r="K323" s="171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5">
      <c r="G324" s="201"/>
      <c r="H324" s="4"/>
      <c r="I324" s="4"/>
      <c r="J324" s="4"/>
      <c r="K324" s="171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5">
      <c r="G325" s="201"/>
      <c r="H325" s="4"/>
      <c r="I325" s="4"/>
      <c r="J325" s="4"/>
      <c r="K325" s="171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5">
      <c r="G326" s="201"/>
      <c r="H326" s="4"/>
      <c r="I326" s="4"/>
      <c r="J326" s="4"/>
      <c r="K326" s="171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5">
      <c r="G327" s="201"/>
      <c r="H327" s="4"/>
      <c r="I327" s="4"/>
      <c r="J327" s="4"/>
      <c r="K327" s="171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Goulven Kersante</cp:lastModifiedBy>
  <dcterms:created xsi:type="dcterms:W3CDTF">2021-02-01T08:22:39Z</dcterms:created>
  <dcterms:modified xsi:type="dcterms:W3CDTF">2024-06-03T14:05:16Z</dcterms:modified>
</cp:coreProperties>
</file>