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codeName="ThisWorkbook"/>
  <mc:AlternateContent xmlns:mc="http://schemas.openxmlformats.org/markup-compatibility/2006">
    <mc:Choice Requires="x15">
      <x15ac:absPath xmlns:x15ac="http://schemas.microsoft.com/office/spreadsheetml/2010/11/ac" url="P:\Bureau\PARTAGE\Label Bas Carbone\10_Val de Seine-Normandie\Rânes (61)\"/>
    </mc:Choice>
  </mc:AlternateContent>
  <xr:revisionPtr revIDLastSave="0" documentId="13_ncr:1_{C0DC468E-08F7-4192-A581-B0B6A1197CB8}" xr6:coauthVersionLast="47" xr6:coauthVersionMax="47" xr10:uidLastSave="{00000000-0000-0000-0000-000000000000}"/>
  <bookViews>
    <workbookView xWindow="-120" yWindow="-120" windowWidth="29040" windowHeight="1584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8" i="1" l="1"/>
  <c r="B228" i="1"/>
  <c r="D227" i="1"/>
  <c r="B227" i="1"/>
  <c r="D226" i="1"/>
  <c r="B226" i="1"/>
  <c r="D225" i="1"/>
  <c r="B225" i="1"/>
  <c r="D224" i="1"/>
  <c r="B224" i="1"/>
  <c r="D223" i="1"/>
  <c r="B223" i="1"/>
  <c r="D222" i="1"/>
  <c r="B222" i="1"/>
  <c r="D221" i="1"/>
  <c r="B221" i="1"/>
  <c r="D220" i="1"/>
  <c r="B220" i="1"/>
  <c r="D219" i="1"/>
  <c r="B219" i="1"/>
  <c r="B124" i="1" l="1"/>
  <c r="D124" i="1" s="1"/>
  <c r="D123" i="1"/>
  <c r="B123" i="1"/>
  <c r="D122" i="1"/>
  <c r="B122" i="1"/>
  <c r="D121" i="1"/>
  <c r="B121" i="1"/>
  <c r="D120" i="1"/>
  <c r="B120" i="1"/>
  <c r="D119" i="1"/>
  <c r="B119" i="1"/>
  <c r="D118" i="1"/>
  <c r="B118" i="1"/>
  <c r="D117" i="1"/>
  <c r="B117" i="1"/>
  <c r="D116" i="1"/>
  <c r="B116" i="1"/>
  <c r="D115" i="1"/>
  <c r="B115" i="1"/>
  <c r="B114" i="1"/>
  <c r="D94" i="1"/>
  <c r="B94" i="1"/>
  <c r="D93" i="1"/>
  <c r="B93" i="1"/>
  <c r="D92" i="1"/>
  <c r="B92" i="1"/>
  <c r="D91" i="1"/>
  <c r="B91" i="1"/>
  <c r="D90" i="1"/>
  <c r="B90" i="1"/>
  <c r="D89" i="1"/>
  <c r="B89" i="1"/>
  <c r="B72" i="1"/>
  <c r="D72" i="1" s="1"/>
  <c r="D71" i="1"/>
  <c r="B71" i="1"/>
  <c r="D70" i="1"/>
  <c r="B70" i="1"/>
  <c r="D69" i="1"/>
  <c r="B69" i="1"/>
  <c r="D68" i="1"/>
  <c r="B68" i="1"/>
  <c r="D67" i="1"/>
  <c r="B67" i="1"/>
  <c r="D66" i="1"/>
  <c r="B66" i="1"/>
  <c r="D65" i="1"/>
  <c r="B65" i="1"/>
  <c r="D64" i="1"/>
  <c r="B64" i="1"/>
  <c r="D63" i="1"/>
  <c r="B63" i="1"/>
  <c r="B62" i="1"/>
  <c r="B46" i="1"/>
  <c r="D46" i="1" s="1"/>
  <c r="D45" i="1"/>
  <c r="B45" i="1"/>
  <c r="D44" i="1"/>
  <c r="B44" i="1"/>
  <c r="D43" i="1"/>
  <c r="B43" i="1"/>
  <c r="D42" i="1"/>
  <c r="B42" i="1"/>
  <c r="D41" i="1"/>
  <c r="B41" i="1"/>
  <c r="D40" i="1"/>
  <c r="B40" i="1"/>
  <c r="D39" i="1"/>
  <c r="B39" i="1"/>
  <c r="D38" i="1"/>
  <c r="B38" i="1"/>
  <c r="D37" i="1"/>
  <c r="B37" i="1"/>
  <c r="B36" i="1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FQ4" i="2"/>
  <c r="FR4" i="2"/>
  <c r="BR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HI7" i="2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B10" i="2" l="1"/>
  <c r="HG10" i="2"/>
  <c r="EA10" i="2"/>
  <c r="HH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EB14" i="2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FS18" i="2"/>
  <c r="EV18" i="2"/>
  <c r="EW18" i="2"/>
  <c r="HG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FS20" i="2" l="1"/>
  <c r="EW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V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EA22" i="2"/>
  <c r="EB22" i="2"/>
  <c r="EW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EB28" i="2"/>
  <c r="HG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W33" i="2"/>
  <c r="EB33" i="2"/>
  <c r="HG33" i="2"/>
  <c r="HH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HH35" i="2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EA38" i="2"/>
  <c r="HH38" i="2"/>
  <c r="EX38" i="2"/>
  <c r="HI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DG43" i="2"/>
  <c r="EA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EW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EV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A75" i="2"/>
  <c r="EB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V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HH105" i="2"/>
  <c r="FS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HG107" i="2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W108" i="2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W113" i="2"/>
  <c r="EX113" i="2"/>
  <c r="FS113" i="2"/>
  <c r="HI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EX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FR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H122" i="2"/>
  <c r="FS122" i="2"/>
  <c r="HI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W124" i="2"/>
  <c r="HH124" i="2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W130" i="2"/>
  <c r="HG130" i="2"/>
  <c r="FS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HI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HH140" i="2"/>
  <c r="EX140" i="2"/>
  <c r="EB140" i="2"/>
  <c r="FR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HH141" i="2"/>
  <c r="EA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G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EA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EV150" i="2"/>
  <c r="FS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EB154" i="2" l="1"/>
  <c r="AB154" i="2"/>
  <c r="EX154" i="2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Y154" i="2" l="1"/>
  <c r="EW155" i="2"/>
  <c r="DI154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AX152" i="2"/>
  <c r="EX156" i="2" l="1"/>
  <c r="EB156" i="2"/>
  <c r="FS156" i="2"/>
  <c r="DH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A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W158" i="2" l="1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EC159" i="2"/>
  <c r="HI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EC160" i="2"/>
  <c r="FS160" i="2"/>
  <c r="EY159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D160" i="2" l="1"/>
  <c r="EA161" i="2"/>
  <c r="AB161" i="2"/>
  <c r="EB161" i="2"/>
  <c r="EX161" i="2"/>
  <c r="FS161" i="2"/>
  <c r="AW161" i="2"/>
  <c r="EC161" i="2"/>
  <c r="ED161" i="2" s="1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Y161" i="2" l="1"/>
  <c r="EW162" i="2"/>
  <c r="EC162" i="2"/>
  <c r="DI161" i="2"/>
  <c r="EB162" i="2"/>
  <c r="HH162" i="2"/>
  <c r="HG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EB163" i="2"/>
  <c r="EA163" i="2"/>
  <c r="EV163" i="2"/>
  <c r="HI163" i="2"/>
  <c r="FS163" i="2"/>
  <c r="EC163" i="2"/>
  <c r="ED163" i="2" s="1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FS164" i="2"/>
  <c r="DH164" i="2"/>
  <c r="DI163" i="2"/>
  <c r="EA164" i="2"/>
  <c r="EX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X165" i="2"/>
  <c r="EB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C166" i="2" l="1"/>
  <c r="ED165" i="2"/>
  <c r="CN165" i="2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FR167" i="2"/>
  <c r="EX167" i="2"/>
  <c r="DG167" i="2"/>
  <c r="EB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B168" i="2" l="1"/>
  <c r="EW168" i="2"/>
  <c r="DI167" i="2"/>
  <c r="DG168" i="2"/>
  <c r="EV168" i="2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EX169" i="2"/>
  <c r="EA169" i="2"/>
  <c r="EB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D171" i="2" s="1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EV172" i="2"/>
  <c r="EY171" i="2"/>
  <c r="EB172" i="2"/>
  <c r="EA172" i="2"/>
  <c r="HG172" i="2"/>
  <c r="EC172" i="2"/>
  <c r="ED172" i="2" s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EW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D174" i="2" l="1"/>
  <c r="EB175" i="2"/>
  <c r="EW175" i="2"/>
  <c r="FS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FS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W178" i="2" l="1"/>
  <c r="ED177" i="2"/>
  <c r="EB178" i="2"/>
  <c r="HH178" i="2"/>
  <c r="HG178" i="2"/>
  <c r="FS178" i="2"/>
  <c r="HI178" i="2"/>
  <c r="EX178" i="2"/>
  <c r="EC178" i="2"/>
  <c r="ED178" i="2" s="1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DF179" i="2" l="1"/>
  <c r="EB179" i="2"/>
  <c r="EA179" i="2"/>
  <c r="EV179" i="2"/>
  <c r="HI179" i="2"/>
  <c r="HH179" i="2"/>
  <c r="HG179" i="2"/>
  <c r="FS179" i="2"/>
  <c r="EX179" i="2"/>
  <c r="EY179" i="2" s="1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X180" i="2" l="1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FS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DG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EA183" i="2" l="1"/>
  <c r="ED182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FS184" i="2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A185" i="2" l="1"/>
  <c r="EV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R186" i="2" l="1"/>
  <c r="FS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EB187" i="2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Y188" i="2" l="1"/>
  <c r="EB189" i="2"/>
  <c r="EV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V190" i="2" l="1"/>
  <c r="EY189" i="2"/>
  <c r="EW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H191" i="2" l="1"/>
  <c r="HG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W192" i="2" l="1"/>
  <c r="EV192" i="2"/>
  <c r="EC192" i="2"/>
  <c r="EB192" i="2"/>
  <c r="EA192" i="2"/>
  <c r="HH192" i="2"/>
  <c r="AW192" i="2"/>
  <c r="EX192" i="2"/>
  <c r="EY192" i="2" s="1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AX190" i="2"/>
  <c r="FQ193" i="2" l="1"/>
  <c r="DI192" i="2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EX195" i="2" l="1"/>
  <c r="EY194" i="2"/>
  <c r="DH195" i="2"/>
  <c r="EA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Y196" i="2" l="1"/>
  <c r="EW197" i="2"/>
  <c r="EA197" i="2"/>
  <c r="AA197" i="2"/>
  <c r="FS197" i="2"/>
  <c r="EC197" i="2"/>
  <c r="EX197" i="2"/>
  <c r="EB197" i="2"/>
  <c r="ED197" i="2" s="1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W198" i="2" l="1"/>
  <c r="HI198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EA199" i="2"/>
  <c r="EV199" i="2"/>
  <c r="EW199" i="2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 l="1"/>
  <c r="EA201" i="2"/>
  <c r="DI200" i="2"/>
  <c r="FS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R202" i="2" l="1"/>
  <c r="EW202" i="2"/>
  <c r="EX202" i="2"/>
  <c r="FZ6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35" i="2" a="1"/>
  <c r="FY35" i="2" s="1"/>
  <c r="FY120" i="2" a="1"/>
  <c r="FY120" i="2" s="1"/>
  <c r="FY159" i="2" a="1"/>
  <c r="FY159" i="2" s="1"/>
  <c r="FY99" i="2" a="1"/>
  <c r="FY99" i="2" s="1"/>
  <c r="FY78" i="2" a="1"/>
  <c r="FY78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BC82" i="2" a="1"/>
  <c r="BC82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44" i="2" a="1"/>
  <c r="FD44" i="2" s="1"/>
  <c r="FD107" i="2" a="1"/>
  <c r="FD107" i="2" s="1"/>
  <c r="BC164" i="2" a="1"/>
  <c r="BC164" i="2" s="1"/>
  <c r="BC83" i="2" a="1"/>
  <c r="BC83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DN187" i="2" a="1"/>
  <c r="DN187" i="2" s="1"/>
  <c r="HJ202" i="2"/>
  <c r="EY202" i="2"/>
  <c r="AX200" i="2"/>
  <c r="FY146" i="2" l="1" a="1"/>
  <c r="FY146" i="2" s="1"/>
  <c r="FY186" i="2" a="1"/>
  <c r="FY186" i="2" s="1"/>
  <c r="FY69" i="2" a="1"/>
  <c r="FY69" i="2" s="1"/>
  <c r="FD187" i="2" a="1"/>
  <c r="FD187" i="2" s="1"/>
  <c r="FD131" i="2" a="1"/>
  <c r="FD131" i="2" s="1"/>
  <c r="FD60" i="2" a="1"/>
  <c r="FD60" i="2" s="1"/>
  <c r="FD59" i="2" a="1"/>
  <c r="FD59" i="2" s="1"/>
  <c r="FD167" i="2" a="1"/>
  <c r="FD167" i="2" s="1"/>
  <c r="FD194" i="2" a="1"/>
  <c r="FD194" i="2" s="1"/>
  <c r="FD43" i="2" a="1"/>
  <c r="FD43" i="2" s="1"/>
  <c r="FD144" i="2" a="1"/>
  <c r="FD144" i="2" s="1"/>
  <c r="FD188" i="2" a="1"/>
  <c r="FD188" i="2" s="1"/>
  <c r="FD19" i="2" a="1"/>
  <c r="FD19" i="2" s="1"/>
  <c r="FD64" i="2" a="1"/>
  <c r="FD64" i="2" s="1"/>
  <c r="FD21" i="2" a="1"/>
  <c r="FD21" i="2" s="1"/>
  <c r="FD82" i="2" a="1"/>
  <c r="FD82" i="2" s="1"/>
  <c r="FD160" i="2" a="1"/>
  <c r="FD160" i="2" s="1"/>
  <c r="FD189" i="2" a="1"/>
  <c r="FD189" i="2" s="1"/>
  <c r="FD137" i="2" a="1"/>
  <c r="FD137" i="2" s="1"/>
  <c r="FD14" i="2" a="1"/>
  <c r="FD14" i="2" s="1"/>
  <c r="FD159" i="2" a="1"/>
  <c r="FD159" i="2" s="1"/>
  <c r="FD48" i="2" a="1"/>
  <c r="FD48" i="2" s="1"/>
  <c r="FY174" i="2" a="1"/>
  <c r="FY174" i="2" s="1"/>
  <c r="FY173" i="2" a="1"/>
  <c r="FY173" i="2" s="1"/>
  <c r="FY66" i="2" a="1"/>
  <c r="FY66" i="2" s="1"/>
  <c r="FY165" i="2" a="1"/>
  <c r="FY165" i="2" s="1"/>
  <c r="FY109" i="2" a="1"/>
  <c r="FY109" i="2" s="1"/>
  <c r="FY79" i="2" a="1"/>
  <c r="FY79" i="2" s="1"/>
  <c r="FY116" i="2" a="1"/>
  <c r="FY116" i="2" s="1"/>
  <c r="FY143" i="2" a="1"/>
  <c r="FY143" i="2" s="1"/>
  <c r="FY71" i="2" a="1"/>
  <c r="FY71" i="2" s="1"/>
  <c r="FY32" i="2" a="1"/>
  <c r="FY32" i="2" s="1"/>
  <c r="FY47" i="2" a="1"/>
  <c r="FY47" i="2" s="1"/>
  <c r="FY92" i="2" a="1"/>
  <c r="FY92" i="2" s="1"/>
  <c r="FY191" i="2" a="1"/>
  <c r="FY191" i="2" s="1"/>
  <c r="FY18" i="2" a="1"/>
  <c r="FY18" i="2" s="1"/>
  <c r="FY22" i="2" a="1"/>
  <c r="FY22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FY28" i="2" a="1"/>
  <c r="FY28" i="2" s="1"/>
  <c r="FY152" i="2" a="1"/>
  <c r="FY152" i="2" s="1"/>
  <c r="FY102" i="2" a="1"/>
  <c r="FY102" i="2" s="1"/>
  <c r="FY29" i="2" a="1"/>
  <c r="FY29" i="2" s="1"/>
  <c r="FY54" i="2" a="1"/>
  <c r="FY54" i="2" s="1"/>
  <c r="BC151" i="2" a="1"/>
  <c r="BC151" i="2" s="1"/>
  <c r="BC192" i="2" a="1"/>
  <c r="BC192" i="2" s="1"/>
  <c r="BC47" i="2" a="1"/>
  <c r="BC47" i="2" s="1"/>
  <c r="BC7" i="2" a="1"/>
  <c r="BC7" i="2" s="1"/>
  <c r="BC55" i="2" a="1"/>
  <c r="BC55" i="2" s="1"/>
  <c r="BC68" i="2" a="1"/>
  <c r="BC68" i="2" s="1"/>
  <c r="BC130" i="2" a="1"/>
  <c r="BC130" i="2" s="1"/>
  <c r="BC117" i="2" a="1"/>
  <c r="BC117" i="2" s="1"/>
  <c r="BC58" i="2" a="1"/>
  <c r="BC58" i="2" s="1"/>
  <c r="BC143" i="2" a="1"/>
  <c r="BC143" i="2" s="1"/>
  <c r="BC181" i="2" a="1"/>
  <c r="BC181" i="2" s="1"/>
  <c r="BC34" i="2" a="1"/>
  <c r="BC34" i="2" s="1"/>
  <c r="BC185" i="2" a="1"/>
  <c r="BC185" i="2" s="1"/>
  <c r="BC31" i="2" a="1"/>
  <c r="BC31" i="2" s="1"/>
  <c r="BC65" i="2" a="1"/>
  <c r="BC65" i="2" s="1"/>
  <c r="BC18" i="2" a="1"/>
  <c r="BC18" i="2" s="1"/>
  <c r="BC84" i="2" a="1"/>
  <c r="BC84" i="2" s="1"/>
  <c r="BC114" i="2" a="1"/>
  <c r="BC114" i="2" s="1"/>
  <c r="BC38" i="2" a="1"/>
  <c r="BC38" i="2" s="1"/>
  <c r="BC32" i="2" a="1"/>
  <c r="BC32" i="2" s="1"/>
  <c r="BC126" i="2" a="1"/>
  <c r="BC126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ED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GE11" i="2" l="1"/>
  <c r="GE19" i="2"/>
  <c r="GE6" i="2"/>
  <c r="GE177" i="2"/>
  <c r="GE196" i="2"/>
  <c r="GE116" i="2"/>
  <c r="GE90" i="2"/>
  <c r="GE28" i="2"/>
  <c r="GE17" i="2"/>
  <c r="GE57" i="2"/>
  <c r="GE166" i="2"/>
  <c r="GE186" i="2"/>
  <c r="GE201" i="2"/>
  <c r="GE24" i="2"/>
  <c r="GE120" i="2"/>
  <c r="GE71" i="2"/>
  <c r="GE163" i="2"/>
  <c r="GE122" i="2"/>
  <c r="GE199" i="2"/>
  <c r="GE123" i="2"/>
  <c r="GE161" i="2"/>
  <c r="GE140" i="2"/>
  <c r="GE10" i="2"/>
  <c r="GE189" i="2"/>
  <c r="GE159" i="2"/>
  <c r="GE170" i="2"/>
  <c r="GE99" i="2"/>
  <c r="GE101" i="2"/>
  <c r="GE38" i="2"/>
  <c r="GE190" i="2"/>
  <c r="GE32" i="2"/>
  <c r="GE191" i="2"/>
  <c r="GE27" i="2"/>
  <c r="GE182" i="2"/>
  <c r="GE184" i="2"/>
  <c r="GE130" i="2"/>
  <c r="GE54" i="2"/>
  <c r="GE146" i="2"/>
  <c r="GE127" i="2"/>
  <c r="GE104" i="2"/>
  <c r="GE68" i="2"/>
  <c r="GE33" i="2"/>
  <c r="GE98" i="2"/>
  <c r="GE156" i="2"/>
  <c r="GE142" i="2"/>
  <c r="GE20" i="2"/>
  <c r="GE144" i="2"/>
  <c r="GE63" i="2"/>
  <c r="GE40" i="2"/>
  <c r="GE26" i="2"/>
  <c r="GE87" i="2"/>
  <c r="GE134" i="2"/>
  <c r="GE203" i="2"/>
  <c r="GE154" i="2"/>
  <c r="GE94" i="2"/>
  <c r="GE42" i="2"/>
  <c r="GE115" i="2"/>
  <c r="GE174" i="2"/>
  <c r="GE67" i="2"/>
  <c r="GE152" i="2"/>
  <c r="GE136" i="2"/>
  <c r="GE45" i="2"/>
  <c r="GE135" i="2"/>
  <c r="GE7" i="2"/>
  <c r="GE58" i="2"/>
  <c r="GE192" i="2"/>
  <c r="GE151" i="2"/>
  <c r="GE178" i="2"/>
  <c r="GE95" i="2"/>
  <c r="GE171" i="2"/>
  <c r="GE70" i="2"/>
  <c r="GE46" i="2"/>
  <c r="GE78" i="2"/>
  <c r="GE12" i="2"/>
  <c r="GE36" i="2"/>
  <c r="GE128" i="2"/>
  <c r="GE34" i="2"/>
  <c r="GE16" i="2"/>
  <c r="GE110" i="2"/>
  <c r="GE141" i="2"/>
  <c r="GE22" i="2"/>
  <c r="GE158" i="2"/>
  <c r="GE119" i="2"/>
  <c r="GE129" i="2"/>
  <c r="GE167" i="2"/>
  <c r="GE73" i="2"/>
  <c r="GE97" i="2"/>
  <c r="GE139" i="2"/>
  <c r="GE59" i="2"/>
  <c r="GE93" i="2"/>
  <c r="GE55" i="2"/>
  <c r="GE64" i="2"/>
  <c r="GE138" i="2"/>
  <c r="GE200" i="2"/>
  <c r="GE15" i="2"/>
  <c r="GE23" i="2"/>
  <c r="GE37" i="2"/>
  <c r="GE83" i="2"/>
  <c r="GE88" i="2"/>
  <c r="GE47" i="2"/>
  <c r="GE168" i="2"/>
  <c r="GE81" i="2"/>
  <c r="GE108" i="2"/>
  <c r="GE114" i="2"/>
  <c r="GE79" i="2"/>
  <c r="GE109" i="2"/>
  <c r="GE195" i="2"/>
  <c r="GE148" i="2"/>
  <c r="GE133" i="2"/>
  <c r="GE49" i="2"/>
  <c r="GE86" i="2"/>
  <c r="GE85" i="2"/>
  <c r="GE125" i="2"/>
  <c r="GE62" i="2"/>
  <c r="GE113" i="2"/>
  <c r="GE80" i="2"/>
  <c r="GE51" i="2"/>
  <c r="GE48" i="2"/>
  <c r="GE25" i="2"/>
  <c r="GE100" i="2"/>
  <c r="GE106" i="2"/>
  <c r="GE41" i="2"/>
  <c r="GE187" i="2"/>
  <c r="GE117" i="2"/>
  <c r="GE202" i="2"/>
  <c r="GE18" i="2"/>
  <c r="GE188" i="2"/>
  <c r="GE91" i="2"/>
  <c r="GE29" i="2"/>
  <c r="GE197" i="2"/>
  <c r="GE30" i="2"/>
  <c r="GE111" i="2"/>
  <c r="GE160" i="2"/>
  <c r="GE103" i="2"/>
  <c r="GE77" i="2"/>
  <c r="GE43" i="2"/>
  <c r="GE21" i="2"/>
  <c r="GE84" i="2"/>
  <c r="GE132" i="2"/>
  <c r="GE61" i="2"/>
  <c r="GE181" i="2"/>
  <c r="GE53" i="2"/>
  <c r="GE124" i="2"/>
  <c r="GE164" i="2"/>
  <c r="GE66" i="2"/>
  <c r="GE169" i="2"/>
  <c r="GE176" i="2"/>
  <c r="GE8" i="2"/>
  <c r="GE172" i="2"/>
  <c r="GE76" i="2"/>
  <c r="GE4" i="2"/>
  <c r="GE157" i="2"/>
  <c r="GE75" i="2"/>
  <c r="GE126" i="2"/>
  <c r="GE165" i="2"/>
  <c r="GE13" i="2"/>
  <c r="GE193" i="2"/>
  <c r="GE175" i="2"/>
  <c r="GE143" i="2"/>
  <c r="GE107" i="2"/>
  <c r="GE173" i="2"/>
  <c r="GE52" i="2"/>
  <c r="GE155" i="2"/>
  <c r="GE92" i="2"/>
  <c r="GE112" i="2"/>
  <c r="GE121" i="2"/>
  <c r="GE5" i="2"/>
  <c r="GE39" i="2"/>
  <c r="GE145" i="2"/>
  <c r="GE35" i="2"/>
  <c r="GE96" i="2"/>
  <c r="GE74" i="2"/>
  <c r="GE149" i="2"/>
  <c r="GE137" i="2"/>
  <c r="GE56" i="2"/>
  <c r="GE72" i="2"/>
  <c r="GE153" i="2"/>
  <c r="GE194" i="2"/>
  <c r="GE50" i="2"/>
  <c r="GE31" i="2"/>
  <c r="GE162" i="2"/>
  <c r="GE14" i="2"/>
  <c r="GE9" i="2"/>
  <c r="GE150" i="2"/>
  <c r="GE105" i="2"/>
  <c r="GE3" i="2"/>
  <c r="C14" i="4" s="1"/>
  <c r="E14" i="4" s="1"/>
  <c r="F14" i="4" s="1"/>
  <c r="G14" i="4" s="1"/>
  <c r="L14" i="4" s="1"/>
  <c r="GE82" i="2"/>
  <c r="GE179" i="2"/>
  <c r="GE185" i="2"/>
  <c r="GE198" i="2"/>
  <c r="GE147" i="2"/>
  <c r="GE118" i="2"/>
  <c r="GE60" i="2"/>
  <c r="GE183" i="2"/>
  <c r="GE65" i="2"/>
  <c r="GE89" i="2"/>
  <c r="GE180" i="2"/>
  <c r="GE131" i="2"/>
  <c r="GE44" i="2"/>
  <c r="GE102" i="2"/>
  <c r="GE69" i="2"/>
  <c r="FE85" i="2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J156" i="2" l="1"/>
  <c r="FJ150" i="2"/>
  <c r="FJ188" i="2"/>
  <c r="FJ175" i="2"/>
  <c r="FJ195" i="2"/>
  <c r="FJ182" i="2"/>
  <c r="FJ138" i="2"/>
  <c r="FJ168" i="2"/>
  <c r="FJ201" i="2"/>
  <c r="FJ146" i="2"/>
  <c r="FJ103" i="2"/>
  <c r="FJ143" i="2"/>
  <c r="FJ76" i="2"/>
  <c r="FJ148" i="2"/>
  <c r="FJ199" i="2"/>
  <c r="FJ17" i="2"/>
  <c r="FJ79" i="2"/>
  <c r="FJ42" i="2"/>
  <c r="FJ180" i="2"/>
  <c r="FJ3" i="2"/>
  <c r="C13" i="4" s="1"/>
  <c r="E13" i="4" s="1"/>
  <c r="F13" i="4" s="1"/>
  <c r="G13" i="4" s="1"/>
  <c r="L13" i="4" s="1"/>
  <c r="FJ111" i="2"/>
  <c r="FJ19" i="2"/>
  <c r="FJ145" i="2"/>
  <c r="FJ110" i="2"/>
  <c r="FJ130" i="2"/>
  <c r="FJ165" i="2"/>
  <c r="FJ34" i="2"/>
  <c r="FJ78" i="2"/>
  <c r="FJ67" i="2"/>
  <c r="FJ116" i="2"/>
  <c r="FJ125" i="2"/>
  <c r="FJ12" i="2"/>
  <c r="FJ83" i="2"/>
  <c r="FJ115" i="2"/>
  <c r="FJ183" i="2"/>
  <c r="FJ129" i="2"/>
  <c r="FJ11" i="2"/>
  <c r="FJ51" i="2"/>
  <c r="FJ128" i="2"/>
  <c r="FJ24" i="2"/>
  <c r="FJ41" i="2"/>
  <c r="FJ82" i="2"/>
  <c r="FJ14" i="2"/>
  <c r="FJ65" i="2"/>
  <c r="FJ60" i="2"/>
  <c r="FJ95" i="2"/>
  <c r="FJ10" i="2"/>
  <c r="FJ147" i="2"/>
  <c r="FJ37" i="2"/>
  <c r="FJ68" i="2"/>
  <c r="FJ74" i="2"/>
  <c r="FJ107" i="2"/>
  <c r="FJ167" i="2"/>
  <c r="FJ46" i="2"/>
  <c r="FJ71" i="2"/>
  <c r="FJ155" i="2"/>
  <c r="FJ52" i="2"/>
  <c r="FJ104" i="2"/>
  <c r="FJ178" i="2"/>
  <c r="FJ200" i="2"/>
  <c r="FJ102" i="2"/>
  <c r="FJ48" i="2"/>
  <c r="FJ92" i="2"/>
  <c r="FJ122" i="2"/>
  <c r="FJ189" i="2"/>
  <c r="FJ154" i="2"/>
  <c r="FJ131" i="2"/>
  <c r="FJ21" i="2"/>
  <c r="FJ132" i="2"/>
  <c r="FJ173" i="2"/>
  <c r="FJ61" i="2"/>
  <c r="FJ4" i="2"/>
  <c r="FJ163" i="2"/>
  <c r="FJ96" i="2"/>
  <c r="FJ35" i="2"/>
  <c r="FJ53" i="2"/>
  <c r="FJ20" i="2"/>
  <c r="FJ142" i="2"/>
  <c r="FJ31" i="2"/>
  <c r="FJ84" i="2"/>
  <c r="FJ172" i="2"/>
  <c r="FJ118" i="2"/>
  <c r="FJ159" i="2"/>
  <c r="FJ97" i="2"/>
  <c r="FJ179" i="2"/>
  <c r="FJ191" i="2"/>
  <c r="FJ15" i="2"/>
  <c r="FJ8" i="2"/>
  <c r="FJ22" i="2"/>
  <c r="FJ77" i="2"/>
  <c r="FJ135" i="2"/>
  <c r="FJ75" i="2"/>
  <c r="FJ58" i="2"/>
  <c r="FJ16" i="2"/>
  <c r="FJ177" i="2"/>
  <c r="FJ174" i="2"/>
  <c r="FJ152" i="2"/>
  <c r="FJ50" i="2"/>
  <c r="FJ47" i="2"/>
  <c r="FJ30" i="2"/>
  <c r="FJ91" i="2"/>
  <c r="FJ54" i="2"/>
  <c r="FJ86" i="2"/>
  <c r="FJ57" i="2"/>
  <c r="FJ186" i="2"/>
  <c r="FJ192" i="2"/>
  <c r="FJ193" i="2"/>
  <c r="FJ88" i="2"/>
  <c r="FJ160" i="2"/>
  <c r="FJ9" i="2"/>
  <c r="FJ202" i="2"/>
  <c r="FJ184" i="2"/>
  <c r="FJ63" i="2"/>
  <c r="FJ108" i="2"/>
  <c r="FJ18" i="2"/>
  <c r="FJ124" i="2"/>
  <c r="FJ25" i="2"/>
  <c r="FJ99" i="2"/>
  <c r="FJ28" i="2"/>
  <c r="FJ59" i="2"/>
  <c r="FJ62" i="2"/>
  <c r="FJ127" i="2"/>
  <c r="FJ162" i="2"/>
  <c r="FJ27" i="2"/>
  <c r="FJ29" i="2"/>
  <c r="FJ149" i="2"/>
  <c r="FJ56" i="2"/>
  <c r="FJ32" i="2"/>
  <c r="FJ72" i="2"/>
  <c r="FJ170" i="2"/>
  <c r="FJ87" i="2"/>
  <c r="FJ105" i="2"/>
  <c r="FJ151" i="2"/>
  <c r="FJ121" i="2"/>
  <c r="FJ114" i="2"/>
  <c r="FJ113" i="2"/>
  <c r="FJ94" i="2"/>
  <c r="FJ169" i="2"/>
  <c r="FJ43" i="2"/>
  <c r="FJ153" i="2"/>
  <c r="FJ194" i="2"/>
  <c r="FJ133" i="2"/>
  <c r="FJ98" i="2"/>
  <c r="FJ100" i="2"/>
  <c r="FJ196" i="2"/>
  <c r="FJ23" i="2"/>
  <c r="FJ144" i="2"/>
  <c r="FJ36" i="2"/>
  <c r="FJ49" i="2"/>
  <c r="FJ161" i="2"/>
  <c r="FJ70" i="2"/>
  <c r="FJ73" i="2"/>
  <c r="FJ166" i="2"/>
  <c r="FJ136" i="2"/>
  <c r="FJ139" i="2"/>
  <c r="FJ7" i="2"/>
  <c r="FJ93" i="2"/>
  <c r="FJ5" i="2"/>
  <c r="FJ176" i="2"/>
  <c r="FJ89" i="2"/>
  <c r="FJ101" i="2"/>
  <c r="FJ181" i="2"/>
  <c r="FJ137" i="2"/>
  <c r="FJ164" i="2"/>
  <c r="FJ185" i="2"/>
  <c r="FJ33" i="2"/>
  <c r="FJ120" i="2"/>
  <c r="FJ157" i="2"/>
  <c r="FJ109" i="2"/>
  <c r="FJ66" i="2"/>
  <c r="FJ171" i="2"/>
  <c r="FJ85" i="2"/>
  <c r="FJ203" i="2"/>
  <c r="FJ80" i="2"/>
  <c r="FJ119" i="2"/>
  <c r="FJ158" i="2"/>
  <c r="FJ6" i="2"/>
  <c r="FJ140" i="2"/>
  <c r="FJ141" i="2"/>
  <c r="FJ112" i="2"/>
  <c r="FJ190" i="2"/>
  <c r="FJ39" i="2"/>
  <c r="FJ106" i="2"/>
  <c r="FJ64" i="2"/>
  <c r="FJ90" i="2"/>
  <c r="FJ13" i="2"/>
  <c r="FJ123" i="2"/>
  <c r="FJ40" i="2"/>
  <c r="FJ26" i="2"/>
  <c r="FJ197" i="2"/>
  <c r="FJ126" i="2"/>
  <c r="FJ38" i="2"/>
  <c r="FJ134" i="2"/>
  <c r="FJ187" i="2"/>
  <c r="FJ198" i="2"/>
  <c r="FJ44" i="2"/>
  <c r="FJ81" i="2"/>
  <c r="FJ69" i="2"/>
  <c r="FJ117" i="2"/>
  <c r="FJ45" i="2"/>
  <c r="FJ55" i="2"/>
  <c r="CD19" i="2"/>
  <c r="CD65" i="2"/>
  <c r="CD51" i="2"/>
  <c r="CD48" i="2"/>
  <c r="CD57" i="2"/>
  <c r="CD12" i="2"/>
  <c r="CD52" i="2"/>
  <c r="CD18" i="2"/>
  <c r="CD141" i="2"/>
  <c r="CD39" i="2"/>
  <c r="CD89" i="2"/>
  <c r="CD26" i="2"/>
  <c r="CD201" i="2"/>
  <c r="CD91" i="2"/>
  <c r="CD99" i="2"/>
  <c r="CD186" i="2"/>
  <c r="CD151" i="2"/>
  <c r="CD55" i="2"/>
  <c r="CD165" i="2"/>
  <c r="CD107" i="2"/>
  <c r="CD42" i="2"/>
  <c r="CD127" i="2"/>
  <c r="CD30" i="2"/>
  <c r="CD90" i="2"/>
  <c r="CD67" i="2"/>
  <c r="CD120" i="2"/>
  <c r="CD37" i="2"/>
  <c r="CD162" i="2"/>
  <c r="CD35" i="2"/>
  <c r="CD119" i="2"/>
  <c r="CD24" i="2"/>
  <c r="CD27" i="2"/>
  <c r="CD94" i="2"/>
  <c r="CD126" i="2"/>
  <c r="CD88" i="2"/>
  <c r="CD175" i="2"/>
  <c r="CD176" i="2"/>
  <c r="CD28" i="2"/>
  <c r="CD66" i="2"/>
  <c r="CD194" i="2"/>
  <c r="CD150" i="2"/>
  <c r="CD132" i="2"/>
  <c r="CD38" i="2"/>
  <c r="CD167" i="2"/>
  <c r="CD168" i="2"/>
  <c r="CD86" i="2"/>
  <c r="CD118" i="2"/>
  <c r="CD161" i="2"/>
  <c r="CD105" i="2"/>
  <c r="CD164" i="2"/>
  <c r="CD166" i="2"/>
  <c r="CD147" i="2"/>
  <c r="CD75" i="2"/>
  <c r="CD17" i="2"/>
  <c r="CD152" i="2"/>
  <c r="CD36" i="2"/>
  <c r="CD34" i="2"/>
  <c r="CD104" i="2"/>
  <c r="CD71" i="2"/>
  <c r="CD129" i="2"/>
  <c r="CD196" i="2"/>
  <c r="CD125" i="2"/>
  <c r="CD138" i="2"/>
  <c r="CD8" i="2"/>
  <c r="CD20" i="2"/>
  <c r="CD4" i="2"/>
  <c r="CD58" i="2"/>
  <c r="CD177" i="2"/>
  <c r="CD53" i="2"/>
  <c r="CD202" i="2"/>
  <c r="CD96" i="2"/>
  <c r="CD5" i="2"/>
  <c r="CD134" i="2"/>
  <c r="CD50" i="2"/>
  <c r="CD33" i="2"/>
  <c r="CD61" i="2"/>
  <c r="CD183" i="2"/>
  <c r="CD60" i="2"/>
  <c r="CD188" i="2"/>
  <c r="CD68" i="2"/>
  <c r="CD203" i="2"/>
  <c r="CD47" i="2"/>
  <c r="CD131" i="2"/>
  <c r="CD172" i="2"/>
  <c r="CD158" i="2"/>
  <c r="CD156" i="2"/>
  <c r="CD187" i="2"/>
  <c r="CD145" i="2"/>
  <c r="CD133" i="2"/>
  <c r="CD29" i="2"/>
  <c r="CD169" i="2"/>
  <c r="CD124" i="2"/>
  <c r="CD117" i="2"/>
  <c r="CD122" i="2"/>
  <c r="CD76" i="2"/>
  <c r="CD6" i="2"/>
  <c r="CD70" i="2"/>
  <c r="CD64" i="2"/>
  <c r="CD171" i="2"/>
  <c r="CD170" i="2"/>
  <c r="CD149" i="2"/>
  <c r="CD78" i="2"/>
  <c r="CD136" i="2"/>
  <c r="CD128" i="2"/>
  <c r="CD98" i="2"/>
  <c r="CD184" i="2"/>
  <c r="CD157" i="2"/>
  <c r="CD192" i="2"/>
  <c r="CD189" i="2"/>
  <c r="CD199" i="2"/>
  <c r="CD173" i="2"/>
  <c r="CD148" i="2"/>
  <c r="CD59" i="2"/>
  <c r="CD181" i="2"/>
  <c r="CD63" i="2"/>
  <c r="CD25" i="2"/>
  <c r="CD179" i="2"/>
  <c r="CD93" i="2"/>
  <c r="CD73" i="2"/>
  <c r="CD190" i="2"/>
  <c r="CD32" i="2"/>
  <c r="CD14" i="2"/>
  <c r="CD102" i="2"/>
  <c r="CD92" i="2"/>
  <c r="CD83" i="2"/>
  <c r="CD16" i="2"/>
  <c r="CD31" i="2"/>
  <c r="CD85" i="2"/>
  <c r="CD101" i="2"/>
  <c r="CD109" i="2"/>
  <c r="CD3" i="2"/>
  <c r="C9" i="4" s="1"/>
  <c r="E9" i="4" s="1"/>
  <c r="F9" i="4" s="1"/>
  <c r="G9" i="4" s="1"/>
  <c r="L9" i="4" s="1"/>
  <c r="CD54" i="2"/>
  <c r="CD9" i="2"/>
  <c r="CD146" i="2"/>
  <c r="CD56" i="2"/>
  <c r="CD191" i="2"/>
  <c r="CD144" i="2"/>
  <c r="CD116" i="2"/>
  <c r="CD115" i="2"/>
  <c r="CD87" i="2"/>
  <c r="CD197" i="2"/>
  <c r="CD185" i="2"/>
  <c r="CD21" i="2"/>
  <c r="CD163" i="2"/>
  <c r="CD139" i="2"/>
  <c r="CD69" i="2"/>
  <c r="CD13" i="2"/>
  <c r="CD97" i="2"/>
  <c r="CD23" i="2"/>
  <c r="CD95" i="2"/>
  <c r="CD195" i="2"/>
  <c r="CD174" i="2"/>
  <c r="CD72" i="2"/>
  <c r="CD160" i="2"/>
  <c r="CD84" i="2"/>
  <c r="CD11" i="2"/>
  <c r="CD82" i="2"/>
  <c r="CD22" i="2"/>
  <c r="CD110" i="2"/>
  <c r="CD180" i="2"/>
  <c r="CD10" i="2"/>
  <c r="CD62" i="2"/>
  <c r="CD112" i="2"/>
  <c r="CD77" i="2"/>
  <c r="CD7" i="2"/>
  <c r="CD43" i="2"/>
  <c r="CD123" i="2"/>
  <c r="CD108" i="2"/>
  <c r="CD154" i="2"/>
  <c r="CD137" i="2"/>
  <c r="CD80" i="2"/>
  <c r="CD41" i="2"/>
  <c r="CD193" i="2"/>
  <c r="CD114" i="2"/>
  <c r="CD130" i="2"/>
  <c r="CD103" i="2"/>
  <c r="CD44" i="2"/>
  <c r="CD143" i="2"/>
  <c r="CD155" i="2"/>
  <c r="CD111" i="2"/>
  <c r="CD40" i="2"/>
  <c r="CD100" i="2"/>
  <c r="CD135" i="2"/>
  <c r="CD198" i="2"/>
  <c r="CD140" i="2"/>
  <c r="CD182" i="2"/>
  <c r="CD106" i="2"/>
  <c r="CD159" i="2"/>
  <c r="CD121" i="2"/>
  <c r="CD200" i="2"/>
  <c r="CD49" i="2"/>
  <c r="CD178" i="2"/>
  <c r="CD153" i="2"/>
  <c r="CD142" i="2"/>
  <c r="CD113" i="2"/>
  <c r="CD79" i="2"/>
  <c r="CD74" i="2"/>
  <c r="CD15" i="2"/>
  <c r="CD46" i="2"/>
  <c r="CD81" i="2"/>
  <c r="CD45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CY24" i="2" l="1"/>
  <c r="CY124" i="2"/>
  <c r="CY158" i="2"/>
  <c r="CY188" i="2"/>
  <c r="CY45" i="2"/>
  <c r="CY64" i="2"/>
  <c r="CY176" i="2"/>
  <c r="CY155" i="2"/>
  <c r="CY135" i="2"/>
  <c r="CY174" i="2"/>
  <c r="CY34" i="2"/>
  <c r="CY17" i="2"/>
  <c r="CY145" i="2"/>
  <c r="CY8" i="2"/>
  <c r="CY122" i="2"/>
  <c r="CY165" i="2"/>
  <c r="CY109" i="2"/>
  <c r="CY68" i="2"/>
  <c r="CY154" i="2"/>
  <c r="CY149" i="2"/>
  <c r="CY33" i="2"/>
  <c r="CY14" i="2"/>
  <c r="CY87" i="2"/>
  <c r="CY153" i="2"/>
  <c r="CY5" i="2"/>
  <c r="CY101" i="2"/>
  <c r="CY127" i="2"/>
  <c r="CY43" i="2"/>
  <c r="CY11" i="2"/>
  <c r="CY130" i="2"/>
  <c r="CY44" i="2"/>
  <c r="CY85" i="2"/>
  <c r="CY81" i="2"/>
  <c r="CY90" i="2"/>
  <c r="CY114" i="2"/>
  <c r="CY97" i="2"/>
  <c r="CY192" i="2"/>
  <c r="CY29" i="2"/>
  <c r="CY182" i="2"/>
  <c r="CY10" i="2"/>
  <c r="CY150" i="2"/>
  <c r="CY187" i="2"/>
  <c r="CY60" i="2"/>
  <c r="CY184" i="2"/>
  <c r="CY196" i="2"/>
  <c r="CY15" i="2"/>
  <c r="CY166" i="2"/>
  <c r="CY69" i="2"/>
  <c r="CY30" i="2"/>
  <c r="CY171" i="2"/>
  <c r="CY136" i="2"/>
  <c r="CY143" i="2"/>
  <c r="CY118" i="2"/>
  <c r="CY202" i="2"/>
  <c r="CY26" i="2"/>
  <c r="CY31" i="2"/>
  <c r="CY125" i="2"/>
  <c r="CY137" i="2"/>
  <c r="CY103" i="2"/>
  <c r="CY27" i="2"/>
  <c r="CY23" i="2"/>
  <c r="CY99" i="2"/>
  <c r="CY170" i="2"/>
  <c r="CY82" i="2"/>
  <c r="CY9" i="2"/>
  <c r="CY189" i="2"/>
  <c r="CY75" i="2"/>
  <c r="CY146" i="2"/>
  <c r="CY22" i="2"/>
  <c r="CY71" i="2"/>
  <c r="CY25" i="2"/>
  <c r="CY72" i="2"/>
  <c r="CY77" i="2"/>
  <c r="CY144" i="2"/>
  <c r="CY42" i="2"/>
  <c r="CY56" i="2"/>
  <c r="CY183" i="2"/>
  <c r="CY98" i="2"/>
  <c r="CY67" i="2"/>
  <c r="CY199" i="2"/>
  <c r="CY3" i="2"/>
  <c r="C10" i="4" s="1"/>
  <c r="E10" i="4" s="1"/>
  <c r="F10" i="4" s="1"/>
  <c r="G10" i="4" s="1"/>
  <c r="L10" i="4" s="1"/>
  <c r="CY76" i="2"/>
  <c r="CY7" i="2"/>
  <c r="CY73" i="2"/>
  <c r="CY138" i="2"/>
  <c r="CY59" i="2"/>
  <c r="CY147" i="2"/>
  <c r="CY41" i="2"/>
  <c r="CY46" i="2"/>
  <c r="CY63" i="2"/>
  <c r="CY28" i="2"/>
  <c r="CY161" i="2"/>
  <c r="CY95" i="2"/>
  <c r="CY21" i="2"/>
  <c r="CY164" i="2"/>
  <c r="CY134" i="2"/>
  <c r="CY83" i="2"/>
  <c r="CY91" i="2"/>
  <c r="CY177" i="2"/>
  <c r="CY39" i="2"/>
  <c r="CY80" i="2"/>
  <c r="CY61" i="2"/>
  <c r="CY201" i="2"/>
  <c r="CY93" i="2"/>
  <c r="CY50" i="2"/>
  <c r="CY152" i="2"/>
  <c r="CY198" i="2"/>
  <c r="CY102" i="2"/>
  <c r="CY194" i="2"/>
  <c r="CY112" i="2"/>
  <c r="CY58" i="2"/>
  <c r="CY108" i="2"/>
  <c r="CY151" i="2"/>
  <c r="CY126" i="2"/>
  <c r="CY142" i="2"/>
  <c r="CY179" i="2"/>
  <c r="CY18" i="2"/>
  <c r="CY70" i="2"/>
  <c r="CY110" i="2"/>
  <c r="CY186" i="2"/>
  <c r="CY200" i="2"/>
  <c r="CY133" i="2"/>
  <c r="CY132" i="2"/>
  <c r="CY115" i="2"/>
  <c r="CY167" i="2"/>
  <c r="CY96" i="2"/>
  <c r="CY172" i="2"/>
  <c r="CY113" i="2"/>
  <c r="CY105" i="2"/>
  <c r="CY117" i="2"/>
  <c r="CY123" i="2"/>
  <c r="CY53" i="2"/>
  <c r="CY38" i="2"/>
  <c r="CY148" i="2"/>
  <c r="CY37" i="2"/>
  <c r="CY120" i="2"/>
  <c r="CY193" i="2"/>
  <c r="CY88" i="2"/>
  <c r="CY74" i="2"/>
  <c r="CY181" i="2"/>
  <c r="CY13" i="2"/>
  <c r="CY157" i="2"/>
  <c r="CY86" i="2"/>
  <c r="CY16" i="2"/>
  <c r="CY51" i="2"/>
  <c r="CY173" i="2"/>
  <c r="CY62" i="2"/>
  <c r="CY160" i="2"/>
  <c r="CY49" i="2"/>
  <c r="CY175" i="2"/>
  <c r="CY163" i="2"/>
  <c r="CY55" i="2"/>
  <c r="CY129" i="2"/>
  <c r="CY57" i="2"/>
  <c r="CY191" i="2"/>
  <c r="CY32" i="2"/>
  <c r="CY119" i="2"/>
  <c r="CY84" i="2"/>
  <c r="CY92" i="2"/>
  <c r="CY20" i="2"/>
  <c r="CY185" i="2"/>
  <c r="CY203" i="2"/>
  <c r="CY40" i="2"/>
  <c r="CY168" i="2"/>
  <c r="CY19" i="2"/>
  <c r="CY100" i="2"/>
  <c r="CY178" i="2"/>
  <c r="CY66" i="2"/>
  <c r="CY195" i="2"/>
  <c r="CY169" i="2"/>
  <c r="CY52" i="2"/>
  <c r="CY35" i="2"/>
  <c r="CY65" i="2"/>
  <c r="CY47" i="2"/>
  <c r="CY107" i="2"/>
  <c r="CY12" i="2"/>
  <c r="CY94" i="2"/>
  <c r="CY140" i="2"/>
  <c r="CY106" i="2"/>
  <c r="CY116" i="2"/>
  <c r="CY6" i="2"/>
  <c r="CY159" i="2"/>
  <c r="CY36" i="2"/>
  <c r="CY79" i="2"/>
  <c r="CY180" i="2"/>
  <c r="CY156" i="2"/>
  <c r="CY190" i="2"/>
  <c r="CY162" i="2"/>
  <c r="CY121" i="2"/>
  <c r="CY78" i="2"/>
  <c r="CY4" i="2"/>
  <c r="CY197" i="2"/>
  <c r="CY139" i="2"/>
  <c r="CY141" i="2"/>
  <c r="CY48" i="2"/>
  <c r="CY89" i="2"/>
  <c r="CY104" i="2"/>
  <c r="CY54" i="2"/>
  <c r="CY131" i="2"/>
  <c r="CY111" i="2"/>
  <c r="CY128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<sst xmlns="http://schemas.openxmlformats.org/spreadsheetml/2006/main" count="1185" uniqueCount="331">
  <si>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</si>
  <si>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</si>
  <si>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</si>
  <si>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</si>
  <si>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</si>
  <si>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</si>
  <si>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</si>
  <si>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</si>
  <si>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</si>
  <si>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</si>
  <si>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</si>
  <si>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</si>
  <si>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</si>
  <si>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</si>
  <si>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</si>
  <si>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</si>
  <si>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</si>
  <si>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</si>
  <si>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</si>
  <si>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</si>
  <si>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</si>
  <si>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</si>
  <si>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</si>
  <si>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</si>
  <si>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</si>
  <si>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</si>
  <si>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</si>
  <si>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</si>
  <si>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</si>
  <si>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</si>
  <si>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</si>
  <si>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</si>
  <si>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</si>
  <si>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</si>
  <si>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</si>
  <si>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</si>
  <si>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</si>
  <si>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</si>
  <si>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</si>
  <si>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</si>
  <si>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</si>
  <si>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</si>
  <si>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</si>
  <si>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</si>
  <si>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</si>
  <si>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</si>
  <si>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</si>
  <si>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</si>
  <si>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</si>
  <si>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</si>
  <si>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</si>
  <si>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</si>
  <si>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</si>
  <si>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</si>
  <si>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</si>
  <si>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</si>
  <si>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</si>
  <si>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</si>
  <si>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</si>
  <si>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</si>
  <si>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</si>
  <si>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</si>
  <si>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</si>
  <si>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</si>
  <si>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</si>
  <si>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</si>
  <si>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</si>
  <si>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</si>
  <si>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</si>
  <si>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</si>
  <si>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</si>
  <si>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</si>
  <si>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</si>
  <si>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</si>
  <si>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</si>
  <si>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</si>
  <si>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</si>
  <si>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</si>
  <si>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</si>
  <si>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</si>
  <si>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</si>
  <si>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</si>
  <si>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</si>
  <si>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</si>
  <si>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</si>
  <si>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</si>
  <si>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</si>
  <si>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</si>
  <si>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</si>
  <si>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</si>
  <si>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</si>
  <si>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</si>
  <si>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</si>
  <si>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</si>
  <si>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</si>
  <si>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</si>
  <si>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</si>
  <si>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</si>
  <si>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</si>
  <si>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</si>
  <si>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</si>
  <si>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</si>
  <si>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</si>
  <si>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</si>
  <si>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</si>
  <si>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</si>
  <si>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</si>
  <si>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</si>
  <si>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</si>
  <si>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</si>
  <si>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</si>
  <si>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</si>
  <si>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</si>
  <si>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</si>
  <si>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</si>
  <si>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</si>
  <si>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</si>
  <si>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</si>
  <si>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</si>
  <si>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</si>
  <si>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</si>
  <si>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</si>
  <si>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</si>
  <si>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</si>
  <si>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</si>
  <si>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</si>
  <si>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</si>
  <si>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</si>
  <si>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</si>
  <si>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</si>
  <si>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</si>
  <si>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</si>
  <si>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</si>
  <si>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</si>
  <si>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</si>
  <si>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</si>
  <si>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</si>
  <si>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</si>
  <si>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</si>
  <si>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</si>
  <si>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</si>
  <si>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</si>
  <si>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</si>
  <si>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</si>
  <si>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</si>
  <si>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</si>
  <si>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</si>
  <si>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</si>
  <si>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</si>
  <si>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</si>
  <si>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</si>
  <si>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</si>
  <si>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</si>
  <si>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</si>
  <si>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</si>
  <si>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</si>
  <si>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</si>
  <si>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</si>
  <si>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</si>
  <si>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</si>
  <si>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</si>
  <si>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</si>
  <si>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</si>
  <si>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</si>
  <si>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</si>
  <si>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</si>
  <si>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</si>
  <si>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</si>
  <si>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</si>
  <si>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</si>
  <si>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</si>
  <si>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</si>
  <si>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</si>
  <si>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</si>
  <si>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</si>
  <si>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</si>
  <si>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</si>
  <si>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</si>
  <si>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</si>
  <si>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</si>
  <si>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</si>
  <si>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</si>
  <si>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</si>
  <si>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</si>
  <si>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</si>
  <si>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</si>
  <si>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</si>
  <si>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</si>
  <si>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</si>
  <si>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</si>
  <si>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</si>
  <si>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</si>
  <si>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</si>
  <si>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</si>
  <si>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</si>
  <si>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</si>
  <si>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</si>
  <si>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</si>
  <si>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</si>
  <si>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</si>
  <si>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</si>
  <si>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</si>
  <si>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</si>
  <si>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</si>
  <si>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</si>
  <si>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</si>
  <si>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</si>
  <si>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</si>
  <si>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</si>
  <si>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</si>
  <si>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</si>
  <si>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</si>
  <si>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</si>
  <si>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</si>
  <si>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</si>
  <si>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</si>
  <si>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</si>
  <si>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</si>
  <si>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</si>
  <si>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</si>
  <si>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</si>
  <si>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</si>
  <si>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</si>
  <si>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</si>
  <si>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</si>
  <si>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</si>
  <si>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</si>
  <si>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</si>
  <si>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</si>
  <si>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</si>
  <si>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</si>
  <si>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</si>
  <si>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</si>
  <si>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</si>
  <si>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</si>
  <si>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</si>
  <si>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</si>
  <si>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</si>
  <si>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</si>
  <si>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</si>
  <si>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</si>
  <si>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</si>
  <si>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</si>
  <si>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</si>
  <si>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</si>
  <si>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</si>
  <si>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</si>
  <si>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</si>
  <si>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</si>
  <si>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</si>
  <si>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</si>
  <si>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</si>
  <si>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</si>
  <si>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</si>
  <si>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</si>
  <si>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</si>
  <si>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</si>
  <si>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</si>
  <si>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</si>
  <si>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</si>
  <si>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</si>
  <si>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</si>
  <si>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</si>
  <si>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</si>
  <si>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</si>
  <si>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</si>
  <si>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</si>
  <si>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</si>
  <si>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</si>
  <si>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</si>
  <si>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</si>
  <si>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</si>
  <si>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</si>
  <si>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</si>
  <si>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</si>
  <si>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</si>
  <si>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</si>
  <si>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</si>
  <si>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</si>
  <si>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</si>
  <si>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</si>
  <si>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</si>
  <si>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</si>
  <si>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</si>
  <si>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</si>
  <si>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</si>
  <si>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</si>
  <si>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</si>
  <si>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</si>
  <si>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</si>
  <si>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</si>
  <si>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</si>
  <si>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</si>
  <si>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</si>
  <si>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</si>
  <si>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</si>
  <si>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</si>
  <si>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</si>
  <si>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</si>
  <si>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</si>
  <si>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</si>
  <si>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</si>
  <si>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</si>
  <si>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</si>
  <si>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</si>
  <si>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</si>
  <si>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</si>
  <si>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</si>
  <si>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</si>
  <si>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</si>
  <si>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</si>
  <si>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</si>
  <si>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</si>
  <si>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</si>
  <si>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</si>
  <si>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</si>
  <si>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</si>
  <si>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</si>
  <si>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</si>
  <si>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</si>
  <si>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</si>
  <si>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</si>
  <si>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</si>
  <si>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</si>
  <si>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prépa sol</t>
  </si>
  <si>
    <t>protection (cloture + protection indivudelle)</t>
  </si>
  <si>
    <t>côut plantation</t>
  </si>
  <si>
    <t>MO expert</t>
  </si>
  <si>
    <t>Entretien 1</t>
  </si>
  <si>
    <t>Entretien 2</t>
  </si>
  <si>
    <t>Entretien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</si>
</sst>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8" zoomScale="130" zoomScaleNormal="130" workbookViewId="0">
      <selection activeCell="J25" sqref="J25:K25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8" t="s">
        <v>231</v>
      </c>
      <c r="B5" s="268"/>
      <c r="C5" s="24">
        <v>8.0273000000000003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14</v>
      </c>
      <c r="C9" s="32">
        <v>0.62</v>
      </c>
      <c r="D9" s="33">
        <f t="shared" ref="D9:D18" si="0">C9*$C$5</f>
        <v>4.9769259999999997</v>
      </c>
      <c r="E9" s="34">
        <v>120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1</v>
      </c>
      <c r="C10" s="32">
        <v>0.04</v>
      </c>
      <c r="D10" s="33">
        <f t="shared" si="0"/>
        <v>0.32109200000000004</v>
      </c>
      <c r="E10" s="34">
        <v>120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29</v>
      </c>
      <c r="C11" s="32">
        <v>0.04</v>
      </c>
      <c r="D11" s="33">
        <f t="shared" si="0"/>
        <v>0.32109200000000004</v>
      </c>
      <c r="E11" s="34">
        <v>80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 t="s">
        <v>11</v>
      </c>
      <c r="C12" s="32">
        <v>7.2999999999999995E-2</v>
      </c>
      <c r="D12" s="33">
        <f t="shared" si="0"/>
        <v>0.58599290000000004</v>
      </c>
      <c r="E12" s="34">
        <v>120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 t="s">
        <v>25</v>
      </c>
      <c r="C13" s="32">
        <v>0.02</v>
      </c>
      <c r="D13" s="33">
        <f t="shared" si="0"/>
        <v>0.16054600000000002</v>
      </c>
      <c r="E13" s="34">
        <v>150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 t="s">
        <v>18</v>
      </c>
      <c r="C14" s="32">
        <v>7.0000000000000007E-2</v>
      </c>
      <c r="D14" s="33">
        <f t="shared" si="0"/>
        <v>0.56191100000000005</v>
      </c>
      <c r="E14" s="34">
        <v>80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 t="s">
        <v>14</v>
      </c>
      <c r="C15" s="32">
        <v>0.11</v>
      </c>
      <c r="D15" s="33">
        <f t="shared" si="0"/>
        <v>0.88300300000000009</v>
      </c>
      <c r="E15" s="34">
        <v>120</v>
      </c>
      <c r="F15" s="35" t="str">
        <f t="array" ref="F15">IF(E15="","",IF(INDEX(A:A,MAX(IF(ISNUMBER($A$192:$A$211),ROW($A$192:$A$211),"")))&lt;&gt;E15,"Corrigez : révolution incorrecte","OK"))</f>
        <v>OK</v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 t="s">
        <v>1</v>
      </c>
      <c r="C16" s="32">
        <v>1.35E-2</v>
      </c>
      <c r="D16" s="33">
        <f t="shared" si="0"/>
        <v>0.10836855000000001</v>
      </c>
      <c r="E16" s="34">
        <v>120</v>
      </c>
      <c r="F16" s="35" t="str">
        <f t="array" ref="F16">IF(E16="","",IF(INDEX(A:A,MAX(IF(ISNUMBER($A$218:$A$237),ROW($A$218:$A$237),"")))&lt;&gt;E16,"Corrigez : révolution incorrecte","OK"))</f>
        <v>OK</v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 t="s">
        <v>29</v>
      </c>
      <c r="C17" s="32">
        <v>1.35E-2</v>
      </c>
      <c r="D17" s="33">
        <f t="shared" si="0"/>
        <v>0.10836855000000001</v>
      </c>
      <c r="E17" s="34">
        <v>75</v>
      </c>
      <c r="F17" s="35" t="str">
        <f t="array" ref="F17">IF(E17="","",IF(INDEX(A:A,MAX(IF(ISNUMBER($A$244:$A$263),ROW($A$244:$A$263),"")))&lt;&gt;E17,"Corrigez : révolution incorrecte","OK"))</f>
        <v>OK</v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0.99999999999999989</v>
      </c>
      <c r="D19" s="38">
        <f>SUM(D9:D18)</f>
        <v>8.0273000000000003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Chêne sessile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20</v>
      </c>
      <c r="B36" s="60">
        <f>67+6</f>
        <v>73</v>
      </c>
      <c r="C36" s="60">
        <v>1</v>
      </c>
      <c r="D36" s="60">
        <v>6</v>
      </c>
      <c r="E36" s="51"/>
      <c r="F36" s="51">
        <v>0.25</v>
      </c>
      <c r="G36" s="51">
        <v>0.25</v>
      </c>
      <c r="H36" s="51">
        <v>0.5</v>
      </c>
      <c r="I36" s="49">
        <f>IFERROR(B36/A36,"")</f>
        <v>3.65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30</v>
      </c>
      <c r="B37" s="60">
        <f>93+28+28</f>
        <v>149</v>
      </c>
      <c r="C37" s="60">
        <v>2</v>
      </c>
      <c r="D37" s="60">
        <f>28+28</f>
        <v>56</v>
      </c>
      <c r="E37" s="51">
        <v>0.1</v>
      </c>
      <c r="F37" s="51">
        <v>0.45</v>
      </c>
      <c r="G37" s="51">
        <v>0.45</v>
      </c>
      <c r="H37" s="51"/>
      <c r="I37" s="53">
        <f t="shared" ref="I37:I55" si="1">IF(A37&lt;&gt;0,(B37-(B36-D36))/(A37-A36),"")</f>
        <v>8.1999999999999993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40</v>
      </c>
      <c r="B38" s="60">
        <f>147+28+28</f>
        <v>203</v>
      </c>
      <c r="C38" s="60">
        <v>3</v>
      </c>
      <c r="D38" s="60">
        <f>28+28</f>
        <v>56</v>
      </c>
      <c r="E38" s="51"/>
      <c r="F38" s="51"/>
      <c r="G38" s="51"/>
      <c r="H38" s="51"/>
      <c r="I38" s="53">
        <f t="shared" si="1"/>
        <v>11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50</v>
      </c>
      <c r="B39" s="60">
        <f>203+28+28</f>
        <v>259</v>
      </c>
      <c r="C39" s="60">
        <v>4</v>
      </c>
      <c r="D39" s="60">
        <f>28+28</f>
        <v>56</v>
      </c>
      <c r="E39" s="51"/>
      <c r="F39" s="51"/>
      <c r="G39" s="51"/>
      <c r="H39" s="51"/>
      <c r="I39" s="49">
        <f t="shared" si="1"/>
        <v>11.2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60</v>
      </c>
      <c r="B40" s="60">
        <f>245+28+28</f>
        <v>301</v>
      </c>
      <c r="C40" s="60">
        <v>5</v>
      </c>
      <c r="D40" s="60">
        <f t="shared" ref="D40:D43" si="2">28+28</f>
        <v>56</v>
      </c>
      <c r="E40" s="51"/>
      <c r="F40" s="51"/>
      <c r="G40" s="51"/>
      <c r="H40" s="51"/>
      <c r="I40" s="49">
        <f t="shared" si="1"/>
        <v>9.8000000000000007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70</v>
      </c>
      <c r="B41" s="60">
        <f>274+28+28</f>
        <v>330</v>
      </c>
      <c r="C41" s="60">
        <v>6</v>
      </c>
      <c r="D41" s="60">
        <f t="shared" si="2"/>
        <v>56</v>
      </c>
      <c r="E41" s="51"/>
      <c r="F41" s="51"/>
      <c r="G41" s="51"/>
      <c r="H41" s="51"/>
      <c r="I41" s="53">
        <f t="shared" si="1"/>
        <v>8.5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80</v>
      </c>
      <c r="B42" s="60">
        <f>292+28+28</f>
        <v>348</v>
      </c>
      <c r="C42" s="60">
        <v>7</v>
      </c>
      <c r="D42" s="60">
        <f t="shared" si="2"/>
        <v>56</v>
      </c>
      <c r="E42" s="51"/>
      <c r="F42" s="51"/>
      <c r="G42" s="51"/>
      <c r="H42" s="51"/>
      <c r="I42" s="53">
        <f t="shared" si="1"/>
        <v>7.4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90</v>
      </c>
      <c r="B43" s="60">
        <f>302+28+28</f>
        <v>358</v>
      </c>
      <c r="C43" s="60">
        <v>8</v>
      </c>
      <c r="D43" s="60">
        <f t="shared" si="2"/>
        <v>56</v>
      </c>
      <c r="E43" s="51"/>
      <c r="F43" s="51"/>
      <c r="G43" s="51"/>
      <c r="H43" s="51"/>
      <c r="I43" s="49">
        <f t="shared" si="1"/>
        <v>6.6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>
        <v>100</v>
      </c>
      <c r="B44" s="60">
        <f>306+28+27</f>
        <v>361</v>
      </c>
      <c r="C44" s="60">
        <v>9</v>
      </c>
      <c r="D44" s="60">
        <f>28+27</f>
        <v>55</v>
      </c>
      <c r="E44" s="51"/>
      <c r="F44" s="51"/>
      <c r="G44" s="51"/>
      <c r="H44" s="51"/>
      <c r="I44" s="49">
        <f t="shared" si="1"/>
        <v>5.9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>
        <v>110</v>
      </c>
      <c r="B45" s="60">
        <f>307+26+25</f>
        <v>358</v>
      </c>
      <c r="C45" s="60">
        <v>10</v>
      </c>
      <c r="D45" s="60">
        <f>26+25</f>
        <v>51</v>
      </c>
      <c r="E45" s="51"/>
      <c r="F45" s="51"/>
      <c r="G45" s="51"/>
      <c r="H45" s="51"/>
      <c r="I45" s="49">
        <f t="shared" si="1"/>
        <v>5.2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>
        <v>120</v>
      </c>
      <c r="B46" s="60">
        <f>305+24+23</f>
        <v>352</v>
      </c>
      <c r="C46" s="60">
        <v>11</v>
      </c>
      <c r="D46" s="60">
        <f>B46</f>
        <v>352</v>
      </c>
      <c r="E46" s="51"/>
      <c r="F46" s="51"/>
      <c r="G46" s="51"/>
      <c r="H46" s="51"/>
      <c r="I46" s="49">
        <f t="shared" si="1"/>
        <v>4.5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Alisier torminal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20</v>
      </c>
      <c r="B62" s="60">
        <f>67+6</f>
        <v>73</v>
      </c>
      <c r="C62" s="60">
        <v>1</v>
      </c>
      <c r="D62" s="60">
        <v>6</v>
      </c>
      <c r="E62" s="51"/>
      <c r="F62" s="51">
        <v>0.25</v>
      </c>
      <c r="G62" s="51">
        <v>0.25</v>
      </c>
      <c r="H62" s="51">
        <v>0.5</v>
      </c>
      <c r="I62" s="53">
        <f>IFERROR(B62/A62,"")</f>
        <v>3.65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30</v>
      </c>
      <c r="B63" s="60">
        <f>93+28+28</f>
        <v>149</v>
      </c>
      <c r="C63" s="60">
        <v>2</v>
      </c>
      <c r="D63" s="60">
        <f>28+28</f>
        <v>56</v>
      </c>
      <c r="E63" s="51">
        <v>0.1</v>
      </c>
      <c r="F63" s="51">
        <v>0.45</v>
      </c>
      <c r="G63" s="51">
        <v>0.45</v>
      </c>
      <c r="H63" s="51"/>
      <c r="I63" s="49">
        <f>IF(A63&lt;&gt;0,(B63-(B62-D62))/(A63-A62),"")</f>
        <v>8.1999999999999993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40</v>
      </c>
      <c r="B64" s="60">
        <f>147+28+28</f>
        <v>203</v>
      </c>
      <c r="C64" s="60">
        <v>3</v>
      </c>
      <c r="D64" s="60">
        <f>28+28</f>
        <v>56</v>
      </c>
      <c r="E64" s="51"/>
      <c r="F64" s="51"/>
      <c r="G64" s="51"/>
      <c r="H64" s="51"/>
      <c r="I64" s="49">
        <f>IF(A64&lt;&gt;0,(B64-(B63-D63))/(A64-A63),"")</f>
        <v>11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50</v>
      </c>
      <c r="B65" s="60">
        <f>203+28+28</f>
        <v>259</v>
      </c>
      <c r="C65" s="60">
        <v>4</v>
      </c>
      <c r="D65" s="60">
        <f>28+28</f>
        <v>56</v>
      </c>
      <c r="E65" s="51"/>
      <c r="F65" s="51"/>
      <c r="G65" s="51"/>
      <c r="H65" s="51"/>
      <c r="I65" s="49">
        <f>IF(A65&lt;&gt;0,(B65-(B64-D64))/(A65-A64),"")</f>
        <v>11.2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60</v>
      </c>
      <c r="B66" s="60">
        <f>245+28+28</f>
        <v>301</v>
      </c>
      <c r="C66" s="60">
        <v>5</v>
      </c>
      <c r="D66" s="60">
        <f t="shared" ref="D66:D69" si="3">28+28</f>
        <v>56</v>
      </c>
      <c r="E66" s="51"/>
      <c r="F66" s="51"/>
      <c r="G66" s="51"/>
      <c r="H66" s="51"/>
      <c r="I66" s="49">
        <f t="shared" ref="I66:I81" si="4">IF(A66&lt;&gt;0,(B66-(B65-D65))/(A66-A65),"")</f>
        <v>9.8000000000000007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70</v>
      </c>
      <c r="B67" s="60">
        <f>274+28+28</f>
        <v>330</v>
      </c>
      <c r="C67" s="60">
        <v>6</v>
      </c>
      <c r="D67" s="60">
        <f t="shared" si="3"/>
        <v>56</v>
      </c>
      <c r="E67" s="51"/>
      <c r="F67" s="51"/>
      <c r="G67" s="51"/>
      <c r="H67" s="51"/>
      <c r="I67" s="49">
        <f t="shared" si="4"/>
        <v>8.5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80</v>
      </c>
      <c r="B68" s="60">
        <f>292+28+28</f>
        <v>348</v>
      </c>
      <c r="C68" s="60">
        <v>7</v>
      </c>
      <c r="D68" s="60">
        <f t="shared" si="3"/>
        <v>56</v>
      </c>
      <c r="E68" s="51"/>
      <c r="F68" s="51"/>
      <c r="G68" s="51"/>
      <c r="H68" s="51"/>
      <c r="I68" s="49">
        <f t="shared" si="4"/>
        <v>7.4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>
        <v>90</v>
      </c>
      <c r="B69" s="50">
        <f>302+28+28</f>
        <v>358</v>
      </c>
      <c r="C69" s="50">
        <v>8</v>
      </c>
      <c r="D69" s="50">
        <f t="shared" si="3"/>
        <v>56</v>
      </c>
      <c r="E69" s="51"/>
      <c r="F69" s="51"/>
      <c r="G69" s="51"/>
      <c r="H69" s="51"/>
      <c r="I69" s="49">
        <f t="shared" si="4"/>
        <v>6.6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>
        <v>100</v>
      </c>
      <c r="B70" s="50">
        <f>306+28+27</f>
        <v>361</v>
      </c>
      <c r="C70" s="50">
        <v>9</v>
      </c>
      <c r="D70" s="50">
        <f>28+27</f>
        <v>55</v>
      </c>
      <c r="E70" s="51"/>
      <c r="F70" s="51"/>
      <c r="G70" s="51"/>
      <c r="H70" s="51"/>
      <c r="I70" s="49">
        <f t="shared" si="4"/>
        <v>5.9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>
        <v>110</v>
      </c>
      <c r="B71" s="50">
        <f>307+26+25</f>
        <v>358</v>
      </c>
      <c r="C71" s="50">
        <v>10</v>
      </c>
      <c r="D71" s="50">
        <f>26+25</f>
        <v>51</v>
      </c>
      <c r="E71" s="51"/>
      <c r="F71" s="51"/>
      <c r="G71" s="51"/>
      <c r="H71" s="51"/>
      <c r="I71" s="49">
        <f t="shared" si="4"/>
        <v>5.2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>
        <v>120</v>
      </c>
      <c r="B72" s="50">
        <f>305+24+23</f>
        <v>352</v>
      </c>
      <c r="C72" s="50">
        <v>11</v>
      </c>
      <c r="D72" s="50">
        <f>B72</f>
        <v>352</v>
      </c>
      <c r="E72" s="51"/>
      <c r="F72" s="51"/>
      <c r="G72" s="51"/>
      <c r="H72" s="51"/>
      <c r="I72" s="49">
        <f t="shared" si="4"/>
        <v>4.5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4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4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4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4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4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4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4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4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4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Merisier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20</v>
      </c>
      <c r="B88" s="60">
        <v>117</v>
      </c>
      <c r="C88" s="60">
        <v>1</v>
      </c>
      <c r="D88" s="60">
        <v>27</v>
      </c>
      <c r="E88" s="51"/>
      <c r="F88" s="51">
        <v>0.25</v>
      </c>
      <c r="G88" s="51">
        <v>0.25</v>
      </c>
      <c r="H88" s="87">
        <v>0.5</v>
      </c>
      <c r="I88" s="53">
        <f>IFERROR(B88/A88,"")</f>
        <v>5.85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>
        <v>30</v>
      </c>
      <c r="B89" s="60">
        <f>178+16</f>
        <v>194</v>
      </c>
      <c r="C89" s="60">
        <v>2</v>
      </c>
      <c r="D89" s="60">
        <f>16+23</f>
        <v>39</v>
      </c>
      <c r="E89" s="51">
        <v>0.1</v>
      </c>
      <c r="F89" s="51">
        <v>0.45</v>
      </c>
      <c r="G89" s="51">
        <v>0.45</v>
      </c>
      <c r="H89" s="87"/>
      <c r="I89" s="53">
        <f t="shared" ref="I89:I107" si="5">IF(A89&lt;&gt;0,(B89-(B88-D88))/(A89-A88),"")</f>
        <v>10.4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>
        <v>40</v>
      </c>
      <c r="B90" s="60">
        <f>241+29</f>
        <v>270</v>
      </c>
      <c r="C90" s="60">
        <v>3</v>
      </c>
      <c r="D90" s="60">
        <f>29+32</f>
        <v>61</v>
      </c>
      <c r="E90" s="87"/>
      <c r="F90" s="87"/>
      <c r="G90" s="87"/>
      <c r="H90" s="87"/>
      <c r="I90" s="53">
        <f t="shared" si="5"/>
        <v>11.5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>
        <v>50</v>
      </c>
      <c r="B91" s="60">
        <f>283+36</f>
        <v>319</v>
      </c>
      <c r="C91" s="60">
        <v>4</v>
      </c>
      <c r="D91" s="60">
        <f>36+35</f>
        <v>71</v>
      </c>
      <c r="E91" s="87"/>
      <c r="F91" s="87"/>
      <c r="G91" s="87"/>
      <c r="H91" s="87"/>
      <c r="I91" s="53">
        <f t="shared" si="5"/>
        <v>11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>
        <v>60</v>
      </c>
      <c r="B92" s="60">
        <f>310+35</f>
        <v>345</v>
      </c>
      <c r="C92" s="60">
        <v>5</v>
      </c>
      <c r="D92" s="60">
        <f>35+37</f>
        <v>72</v>
      </c>
      <c r="E92" s="87"/>
      <c r="F92" s="87"/>
      <c r="G92" s="87"/>
      <c r="H92" s="87"/>
      <c r="I92" s="53">
        <f t="shared" si="5"/>
        <v>9.6999999999999993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>
        <v>70</v>
      </c>
      <c r="B93" s="60">
        <f>327+37</f>
        <v>364</v>
      </c>
      <c r="C93" s="60">
        <v>6</v>
      </c>
      <c r="D93" s="60">
        <f>37+32</f>
        <v>69</v>
      </c>
      <c r="E93" s="87"/>
      <c r="F93" s="87"/>
      <c r="G93" s="87"/>
      <c r="H93" s="87"/>
      <c r="I93" s="53">
        <f t="shared" si="5"/>
        <v>9.1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>
        <v>80</v>
      </c>
      <c r="B94" s="60">
        <f>349+31</f>
        <v>380</v>
      </c>
      <c r="C94" s="60">
        <v>7</v>
      </c>
      <c r="D94" s="60">
        <f>B94</f>
        <v>380</v>
      </c>
      <c r="E94" s="87"/>
      <c r="F94" s="87"/>
      <c r="G94" s="87"/>
      <c r="H94" s="87"/>
      <c r="I94" s="53">
        <f t="shared" si="5"/>
        <v>8.5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/>
      <c r="B95" s="60"/>
      <c r="C95" s="60"/>
      <c r="D95" s="60"/>
      <c r="E95" s="87"/>
      <c r="F95" s="87"/>
      <c r="G95" s="87"/>
      <c r="H95" s="87"/>
      <c r="I95" s="53" t="str">
        <f t="shared" si="5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/>
      <c r="B96" s="60"/>
      <c r="C96" s="60"/>
      <c r="D96" s="60"/>
      <c r="E96" s="87"/>
      <c r="F96" s="87"/>
      <c r="G96" s="87"/>
      <c r="H96" s="87"/>
      <c r="I96" s="53" t="str">
        <f t="shared" si="5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/>
      <c r="B97" s="60"/>
      <c r="C97" s="60"/>
      <c r="D97" s="60"/>
      <c r="E97" s="87"/>
      <c r="F97" s="87"/>
      <c r="G97" s="87"/>
      <c r="H97" s="87"/>
      <c r="I97" s="53" t="str">
        <f t="shared" si="5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/>
      <c r="B98" s="60"/>
      <c r="C98" s="60"/>
      <c r="D98" s="60"/>
      <c r="E98" s="87"/>
      <c r="F98" s="87"/>
      <c r="G98" s="87"/>
      <c r="H98" s="87"/>
      <c r="I98" s="53" t="str">
        <f t="shared" si="5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5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5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5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5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5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5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5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5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5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>Chêne pédonculé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>
        <v>20</v>
      </c>
      <c r="B114" s="60">
        <f>67+6</f>
        <v>73</v>
      </c>
      <c r="C114" s="50">
        <v>1</v>
      </c>
      <c r="D114" s="60">
        <v>6</v>
      </c>
      <c r="E114" s="51"/>
      <c r="F114" s="51">
        <v>0.25</v>
      </c>
      <c r="G114" s="51">
        <v>0.25</v>
      </c>
      <c r="H114" s="51">
        <v>0.5</v>
      </c>
      <c r="I114" s="53">
        <f>IFERROR(B114/A114,"")</f>
        <v>3.65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>
        <v>30</v>
      </c>
      <c r="B115" s="60">
        <f>93+28+28</f>
        <v>149</v>
      </c>
      <c r="C115" s="50">
        <v>2</v>
      </c>
      <c r="D115" s="60">
        <f>28+28</f>
        <v>56</v>
      </c>
      <c r="E115" s="51">
        <v>0.1</v>
      </c>
      <c r="F115" s="51">
        <v>0.45</v>
      </c>
      <c r="G115" s="51">
        <v>0.45</v>
      </c>
      <c r="H115" s="51"/>
      <c r="I115" s="53">
        <f t="shared" ref="I115:I133" si="6">IF(A115&lt;&gt;0,(B115-(B114-D114))/(A115-A114),"")</f>
        <v>8.1999999999999993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>
        <v>40</v>
      </c>
      <c r="B116" s="60">
        <f>147+28+28</f>
        <v>203</v>
      </c>
      <c r="C116" s="50">
        <v>3</v>
      </c>
      <c r="D116" s="60">
        <f>28+28</f>
        <v>56</v>
      </c>
      <c r="E116" s="51"/>
      <c r="F116" s="51"/>
      <c r="G116" s="51"/>
      <c r="H116" s="51"/>
      <c r="I116" s="53">
        <f t="shared" si="6"/>
        <v>11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>
        <v>50</v>
      </c>
      <c r="B117" s="60">
        <f>203+28+28</f>
        <v>259</v>
      </c>
      <c r="C117" s="50">
        <v>4</v>
      </c>
      <c r="D117" s="60">
        <f>28+28</f>
        <v>56</v>
      </c>
      <c r="E117" s="51"/>
      <c r="F117" s="51"/>
      <c r="G117" s="51"/>
      <c r="H117" s="51"/>
      <c r="I117" s="53">
        <f t="shared" si="6"/>
        <v>11.2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>
        <v>60</v>
      </c>
      <c r="B118" s="60">
        <f>245+28+28</f>
        <v>301</v>
      </c>
      <c r="C118" s="50">
        <v>5</v>
      </c>
      <c r="D118" s="60">
        <f t="shared" ref="D118:D121" si="7">28+28</f>
        <v>56</v>
      </c>
      <c r="E118" s="51"/>
      <c r="F118" s="51"/>
      <c r="G118" s="51"/>
      <c r="H118" s="51"/>
      <c r="I118" s="53">
        <f t="shared" si="6"/>
        <v>9.8000000000000007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>
        <v>70</v>
      </c>
      <c r="B119" s="60">
        <f>274+28+28</f>
        <v>330</v>
      </c>
      <c r="C119" s="50">
        <v>6</v>
      </c>
      <c r="D119" s="60">
        <f t="shared" si="7"/>
        <v>56</v>
      </c>
      <c r="E119" s="51"/>
      <c r="F119" s="51"/>
      <c r="G119" s="51"/>
      <c r="H119" s="51"/>
      <c r="I119" s="53">
        <f t="shared" si="6"/>
        <v>8.5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>
        <v>80</v>
      </c>
      <c r="B120" s="60">
        <f>292+28+28</f>
        <v>348</v>
      </c>
      <c r="C120" s="60">
        <v>7</v>
      </c>
      <c r="D120" s="60">
        <f t="shared" si="7"/>
        <v>56</v>
      </c>
      <c r="E120" s="87"/>
      <c r="F120" s="87"/>
      <c r="G120" s="87"/>
      <c r="H120" s="87"/>
      <c r="I120" s="53">
        <f t="shared" si="6"/>
        <v>7.4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>
        <v>90</v>
      </c>
      <c r="B121" s="60">
        <f>302+28+28</f>
        <v>358</v>
      </c>
      <c r="C121" s="60">
        <v>8</v>
      </c>
      <c r="D121" s="60">
        <f t="shared" si="7"/>
        <v>56</v>
      </c>
      <c r="E121" s="87"/>
      <c r="F121" s="87"/>
      <c r="G121" s="87"/>
      <c r="H121" s="87"/>
      <c r="I121" s="53">
        <f t="shared" si="6"/>
        <v>6.6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>
        <v>100</v>
      </c>
      <c r="B122" s="60">
        <f>306+28+27</f>
        <v>361</v>
      </c>
      <c r="C122" s="60">
        <v>9</v>
      </c>
      <c r="D122" s="60">
        <f>28+27</f>
        <v>55</v>
      </c>
      <c r="E122" s="87"/>
      <c r="F122" s="87"/>
      <c r="G122" s="87"/>
      <c r="H122" s="87"/>
      <c r="I122" s="53">
        <f t="shared" si="6"/>
        <v>5.9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>
        <v>110</v>
      </c>
      <c r="B123" s="60">
        <f>307+26+25</f>
        <v>358</v>
      </c>
      <c r="C123" s="60">
        <v>10</v>
      </c>
      <c r="D123" s="60">
        <f>26+25</f>
        <v>51</v>
      </c>
      <c r="E123" s="87"/>
      <c r="F123" s="87"/>
      <c r="G123" s="87"/>
      <c r="H123" s="87"/>
      <c r="I123" s="53">
        <f t="shared" si="6"/>
        <v>5.2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>
        <v>120</v>
      </c>
      <c r="B124" s="60">
        <f>305+24+23</f>
        <v>352</v>
      </c>
      <c r="C124" s="60">
        <v>11</v>
      </c>
      <c r="D124" s="60">
        <f>B124</f>
        <v>352</v>
      </c>
      <c r="E124" s="87"/>
      <c r="F124" s="87"/>
      <c r="G124" s="87"/>
      <c r="H124" s="87"/>
      <c r="I124" s="53">
        <f t="shared" si="6"/>
        <v>4.5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6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6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6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6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6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6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6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6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6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>Hêtre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>
        <v>20</v>
      </c>
      <c r="B140" s="60">
        <v>32</v>
      </c>
      <c r="C140" s="50"/>
      <c r="D140" s="60">
        <v>0</v>
      </c>
      <c r="E140" s="51"/>
      <c r="F140" s="51"/>
      <c r="G140" s="51"/>
      <c r="H140" s="51"/>
      <c r="I140" s="57">
        <f>IFERROR(B140/A140,"")</f>
        <v>1.6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>
        <v>30</v>
      </c>
      <c r="B141" s="60">
        <v>123</v>
      </c>
      <c r="C141" s="50">
        <v>1</v>
      </c>
      <c r="D141" s="60">
        <v>35</v>
      </c>
      <c r="E141" s="51"/>
      <c r="F141" s="51">
        <v>0.25</v>
      </c>
      <c r="G141" s="51">
        <v>0.25</v>
      </c>
      <c r="H141" s="51">
        <v>0.5</v>
      </c>
      <c r="I141" s="57">
        <f t="shared" ref="I141:I159" si="8">IF(A141&lt;&gt;0,(B141-(B140-D140))/(A141-A140),"")</f>
        <v>9.1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>
        <v>40</v>
      </c>
      <c r="B142" s="60">
        <v>191</v>
      </c>
      <c r="C142" s="50">
        <v>2</v>
      </c>
      <c r="D142" s="60">
        <v>56</v>
      </c>
      <c r="E142" s="51"/>
      <c r="F142" s="51"/>
      <c r="G142" s="51"/>
      <c r="H142" s="51"/>
      <c r="I142" s="57">
        <f t="shared" si="8"/>
        <v>10.3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>
        <v>50</v>
      </c>
      <c r="B143" s="60">
        <v>245</v>
      </c>
      <c r="C143" s="50">
        <v>3</v>
      </c>
      <c r="D143" s="60">
        <v>56</v>
      </c>
      <c r="E143" s="51"/>
      <c r="F143" s="51"/>
      <c r="G143" s="51"/>
      <c r="H143" s="51"/>
      <c r="I143" s="57">
        <f t="shared" si="8"/>
        <v>11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>
        <v>60</v>
      </c>
      <c r="B144" s="60">
        <v>298</v>
      </c>
      <c r="C144" s="50">
        <v>4</v>
      </c>
      <c r="D144" s="60">
        <v>56</v>
      </c>
      <c r="E144" s="51"/>
      <c r="F144" s="51"/>
      <c r="G144" s="51"/>
      <c r="H144" s="51"/>
      <c r="I144" s="57">
        <f t="shared" si="8"/>
        <v>10.9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>
        <v>70</v>
      </c>
      <c r="B145" s="60">
        <v>344</v>
      </c>
      <c r="C145" s="50">
        <v>5</v>
      </c>
      <c r="D145" s="60">
        <v>56</v>
      </c>
      <c r="E145" s="51"/>
      <c r="F145" s="51"/>
      <c r="G145" s="51"/>
      <c r="H145" s="51"/>
      <c r="I145" s="57">
        <f t="shared" si="8"/>
        <v>10.199999999999999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>
        <v>80</v>
      </c>
      <c r="B146" s="60">
        <v>379</v>
      </c>
      <c r="C146" s="50">
        <v>6</v>
      </c>
      <c r="D146" s="60">
        <v>56</v>
      </c>
      <c r="E146" s="51"/>
      <c r="F146" s="51"/>
      <c r="G146" s="51"/>
      <c r="H146" s="51"/>
      <c r="I146" s="57">
        <f t="shared" si="8"/>
        <v>9.1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>
        <v>90</v>
      </c>
      <c r="B147" s="60">
        <v>404</v>
      </c>
      <c r="C147" s="50">
        <v>7</v>
      </c>
      <c r="D147" s="60">
        <v>53</v>
      </c>
      <c r="E147" s="51"/>
      <c r="F147" s="51"/>
      <c r="G147" s="51"/>
      <c r="H147" s="51"/>
      <c r="I147" s="57">
        <f>IF(A147&lt;&gt;0,(B147-(B146-D146))/(A147-A146),"")</f>
        <v>8.1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>
        <v>100</v>
      </c>
      <c r="B148" s="60">
        <v>425</v>
      </c>
      <c r="C148" s="50">
        <v>8</v>
      </c>
      <c r="D148" s="60">
        <v>49</v>
      </c>
      <c r="E148" s="51"/>
      <c r="F148" s="51"/>
      <c r="G148" s="51"/>
      <c r="H148" s="51"/>
      <c r="I148" s="57">
        <f t="shared" si="8"/>
        <v>7.4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>
        <v>110</v>
      </c>
      <c r="B149" s="60">
        <v>441</v>
      </c>
      <c r="C149" s="50">
        <v>9</v>
      </c>
      <c r="D149" s="60">
        <v>45</v>
      </c>
      <c r="E149" s="51"/>
      <c r="F149" s="51"/>
      <c r="G149" s="51"/>
      <c r="H149" s="51"/>
      <c r="I149" s="57">
        <f t="shared" si="8"/>
        <v>6.5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>
        <v>120</v>
      </c>
      <c r="B150" s="60">
        <v>454</v>
      </c>
      <c r="C150" s="50">
        <v>10</v>
      </c>
      <c r="D150" s="60">
        <v>43</v>
      </c>
      <c r="E150" s="51"/>
      <c r="F150" s="51"/>
      <c r="G150" s="51"/>
      <c r="H150" s="51"/>
      <c r="I150" s="57">
        <f t="shared" si="8"/>
        <v>5.8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>
        <v>130</v>
      </c>
      <c r="B151" s="60">
        <v>461</v>
      </c>
      <c r="C151" s="50">
        <v>11</v>
      </c>
      <c r="D151" s="60">
        <v>41</v>
      </c>
      <c r="E151" s="51"/>
      <c r="F151" s="51"/>
      <c r="G151" s="51"/>
      <c r="H151" s="51"/>
      <c r="I151" s="57">
        <f t="shared" si="8"/>
        <v>5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>
        <v>140</v>
      </c>
      <c r="B152" s="60">
        <v>457</v>
      </c>
      <c r="C152" s="50">
        <v>12</v>
      </c>
      <c r="D152" s="60">
        <v>30</v>
      </c>
      <c r="E152" s="54"/>
      <c r="F152" s="54"/>
      <c r="G152" s="54"/>
      <c r="H152" s="54"/>
      <c r="I152" s="57">
        <f t="shared" si="8"/>
        <v>3.7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>
        <v>150</v>
      </c>
      <c r="B153" s="60">
        <v>467</v>
      </c>
      <c r="C153" s="50">
        <v>13</v>
      </c>
      <c r="D153" s="60">
        <v>467</v>
      </c>
      <c r="E153" s="54"/>
      <c r="F153" s="54"/>
      <c r="G153" s="54"/>
      <c r="H153" s="54"/>
      <c r="I153" s="57">
        <f t="shared" si="8"/>
        <v>4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8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8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8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8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8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8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>Douglas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>
        <v>10</v>
      </c>
      <c r="B166" s="60">
        <v>27</v>
      </c>
      <c r="C166" s="60"/>
      <c r="D166" s="60">
        <v>0</v>
      </c>
      <c r="E166" s="51"/>
      <c r="F166" s="51"/>
      <c r="G166" s="51"/>
      <c r="H166" s="51"/>
      <c r="I166" s="49">
        <f>IFERROR(B166/A166,"")</f>
        <v>2.7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>
        <v>20</v>
      </c>
      <c r="B167" s="60">
        <v>228</v>
      </c>
      <c r="C167" s="60">
        <v>1</v>
      </c>
      <c r="D167" s="60">
        <v>104</v>
      </c>
      <c r="E167" s="51"/>
      <c r="F167" s="51">
        <v>0.5</v>
      </c>
      <c r="G167" s="51">
        <v>0.5</v>
      </c>
      <c r="H167" s="51"/>
      <c r="I167" s="49">
        <f t="shared" ref="I167:I185" si="9">IF(A167&lt;&gt;0,(B167-(B166-D166))/(A167-A166),"")</f>
        <v>20.100000000000001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>
        <v>30</v>
      </c>
      <c r="B168" s="60">
        <v>399</v>
      </c>
      <c r="C168" s="60">
        <v>2</v>
      </c>
      <c r="D168" s="60">
        <v>140</v>
      </c>
      <c r="E168" s="51">
        <v>0.2</v>
      </c>
      <c r="F168" s="51">
        <v>0.4</v>
      </c>
      <c r="G168" s="51">
        <v>0.4</v>
      </c>
      <c r="H168" s="51"/>
      <c r="I168" s="49">
        <f t="shared" si="9"/>
        <v>27.5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>
        <v>40</v>
      </c>
      <c r="B169" s="60">
        <v>527</v>
      </c>
      <c r="C169" s="60">
        <v>3</v>
      </c>
      <c r="D169" s="60">
        <v>140</v>
      </c>
      <c r="E169" s="51"/>
      <c r="F169" s="51"/>
      <c r="G169" s="51"/>
      <c r="H169" s="51"/>
      <c r="I169" s="49">
        <f t="shared" si="9"/>
        <v>26.8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>
        <v>50</v>
      </c>
      <c r="B170" s="60">
        <v>615</v>
      </c>
      <c r="C170" s="60">
        <v>4</v>
      </c>
      <c r="D170" s="60">
        <v>129</v>
      </c>
      <c r="E170" s="51"/>
      <c r="F170" s="51"/>
      <c r="G170" s="51"/>
      <c r="H170" s="51"/>
      <c r="I170" s="49">
        <f t="shared" si="9"/>
        <v>22.8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>
        <v>60</v>
      </c>
      <c r="B171" s="60">
        <v>679</v>
      </c>
      <c r="C171" s="60">
        <v>5</v>
      </c>
      <c r="D171" s="60">
        <v>96</v>
      </c>
      <c r="E171" s="51"/>
      <c r="F171" s="51"/>
      <c r="G171" s="51"/>
      <c r="H171" s="51"/>
      <c r="I171" s="49">
        <f t="shared" si="9"/>
        <v>19.3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>
        <v>70</v>
      </c>
      <c r="B172" s="60">
        <v>741</v>
      </c>
      <c r="C172" s="60">
        <v>6</v>
      </c>
      <c r="D172" s="60">
        <v>80</v>
      </c>
      <c r="E172" s="51"/>
      <c r="F172" s="51"/>
      <c r="G172" s="51"/>
      <c r="H172" s="51"/>
      <c r="I172" s="49">
        <f t="shared" si="9"/>
        <v>15.8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>
        <v>80</v>
      </c>
      <c r="B173" s="50">
        <v>790</v>
      </c>
      <c r="C173" s="50">
        <v>7</v>
      </c>
      <c r="D173" s="50">
        <v>790</v>
      </c>
      <c r="E173" s="51"/>
      <c r="F173" s="51"/>
      <c r="G173" s="51"/>
      <c r="H173" s="51"/>
      <c r="I173" s="49">
        <f t="shared" si="9"/>
        <v>12.9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9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9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9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9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9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9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9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9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9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9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9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9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>Chêne sessile</v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>
        <v>20</v>
      </c>
      <c r="B192" s="60">
        <v>42</v>
      </c>
      <c r="C192" s="60"/>
      <c r="D192" s="60"/>
      <c r="E192" s="51"/>
      <c r="F192" s="51"/>
      <c r="G192" s="51"/>
      <c r="H192" s="51"/>
      <c r="I192" s="49">
        <f>IFERROR(B192/A192,"")</f>
        <v>2.1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>
        <v>30</v>
      </c>
      <c r="B193" s="60">
        <v>105</v>
      </c>
      <c r="C193" s="60">
        <v>1</v>
      </c>
      <c r="D193" s="60">
        <v>29</v>
      </c>
      <c r="E193" s="51"/>
      <c r="F193" s="51">
        <v>0.25</v>
      </c>
      <c r="G193" s="51">
        <v>0.25</v>
      </c>
      <c r="H193" s="51">
        <v>0.5</v>
      </c>
      <c r="I193" s="49">
        <f t="shared" ref="I193:I211" si="10">IF(A193&lt;&gt;0,(B193-(B192-D192))/(A193-A192),"")</f>
        <v>6.3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>
        <v>40</v>
      </c>
      <c r="B194" s="60">
        <v>158</v>
      </c>
      <c r="C194" s="60">
        <v>2</v>
      </c>
      <c r="D194" s="60">
        <v>42</v>
      </c>
      <c r="E194" s="51"/>
      <c r="F194" s="51"/>
      <c r="G194" s="51"/>
      <c r="H194" s="51"/>
      <c r="I194" s="49">
        <f t="shared" si="10"/>
        <v>8.1999999999999993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>
        <v>50</v>
      </c>
      <c r="B195" s="60">
        <v>199</v>
      </c>
      <c r="C195" s="60">
        <v>3</v>
      </c>
      <c r="D195" s="60">
        <v>42</v>
      </c>
      <c r="E195" s="51"/>
      <c r="F195" s="51"/>
      <c r="G195" s="51"/>
      <c r="H195" s="51"/>
      <c r="I195" s="49">
        <f t="shared" si="10"/>
        <v>8.3000000000000007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>
        <v>60</v>
      </c>
      <c r="B196" s="60">
        <v>235</v>
      </c>
      <c r="C196" s="60">
        <v>4</v>
      </c>
      <c r="D196" s="60">
        <v>42</v>
      </c>
      <c r="E196" s="51"/>
      <c r="F196" s="51"/>
      <c r="G196" s="51"/>
      <c r="H196" s="51"/>
      <c r="I196" s="49">
        <f t="shared" si="10"/>
        <v>7.8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>
        <v>70</v>
      </c>
      <c r="B197" s="60">
        <v>263</v>
      </c>
      <c r="C197" s="60">
        <v>5</v>
      </c>
      <c r="D197" s="60">
        <v>42</v>
      </c>
      <c r="E197" s="51"/>
      <c r="F197" s="51"/>
      <c r="G197" s="51"/>
      <c r="H197" s="51"/>
      <c r="I197" s="49">
        <f t="shared" si="10"/>
        <v>7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>
        <v>80</v>
      </c>
      <c r="B198" s="60">
        <v>282</v>
      </c>
      <c r="C198" s="60">
        <v>6</v>
      </c>
      <c r="D198" s="60">
        <v>42</v>
      </c>
      <c r="E198" s="51"/>
      <c r="F198" s="51"/>
      <c r="G198" s="51"/>
      <c r="H198" s="51"/>
      <c r="I198" s="49">
        <f t="shared" si="10"/>
        <v>6.1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>
        <v>90</v>
      </c>
      <c r="B199" s="50">
        <v>296</v>
      </c>
      <c r="C199" s="50">
        <v>7</v>
      </c>
      <c r="D199" s="50">
        <v>42</v>
      </c>
      <c r="E199" s="51"/>
      <c r="F199" s="51"/>
      <c r="G199" s="51"/>
      <c r="H199" s="51"/>
      <c r="I199" s="49">
        <f t="shared" si="10"/>
        <v>5.6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>
        <v>100</v>
      </c>
      <c r="B200" s="50">
        <v>303</v>
      </c>
      <c r="C200" s="50">
        <v>8</v>
      </c>
      <c r="D200" s="50">
        <v>42</v>
      </c>
      <c r="E200" s="51"/>
      <c r="F200" s="51"/>
      <c r="G200" s="51"/>
      <c r="H200" s="51"/>
      <c r="I200" s="49">
        <f t="shared" si="10"/>
        <v>4.9000000000000004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>
        <v>110</v>
      </c>
      <c r="B201" s="50">
        <v>305</v>
      </c>
      <c r="C201" s="50">
        <v>9</v>
      </c>
      <c r="D201" s="50">
        <v>39</v>
      </c>
      <c r="E201" s="51"/>
      <c r="F201" s="51"/>
      <c r="G201" s="51"/>
      <c r="H201" s="51"/>
      <c r="I201" s="49">
        <f t="shared" si="10"/>
        <v>4.4000000000000004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>
        <v>120</v>
      </c>
      <c r="B202" s="50">
        <v>303</v>
      </c>
      <c r="C202" s="50">
        <v>10</v>
      </c>
      <c r="D202" s="50">
        <v>303</v>
      </c>
      <c r="E202" s="51"/>
      <c r="F202" s="51"/>
      <c r="G202" s="51"/>
      <c r="H202" s="51"/>
      <c r="I202" s="49">
        <f t="shared" si="10"/>
        <v>3.7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10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10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10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10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10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10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10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10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10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>Alisier torminal</v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>
        <v>20</v>
      </c>
      <c r="B218" s="60">
        <v>42</v>
      </c>
      <c r="C218" s="50"/>
      <c r="D218" s="60"/>
      <c r="E218" s="63"/>
      <c r="F218" s="63"/>
      <c r="G218" s="63"/>
      <c r="H218" s="63"/>
      <c r="I218" s="53">
        <f>IFERROR(B218/A218,"")</f>
        <v>2.1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>
        <v>30</v>
      </c>
      <c r="B219" s="60">
        <f>76+8+21</f>
        <v>105</v>
      </c>
      <c r="C219" s="50">
        <v>1</v>
      </c>
      <c r="D219" s="60">
        <f>21+8</f>
        <v>29</v>
      </c>
      <c r="E219" s="63"/>
      <c r="F219" s="63">
        <v>0.25</v>
      </c>
      <c r="G219" s="63">
        <v>0.25</v>
      </c>
      <c r="H219" s="63">
        <v>0.5</v>
      </c>
      <c r="I219" s="53">
        <f t="shared" ref="I219:I237" si="11">IF(A219&lt;&gt;0,(B219-(B218-D218))/(A219-A218),"")</f>
        <v>6.3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>
        <v>40</v>
      </c>
      <c r="B220" s="60">
        <f>116+21+21</f>
        <v>158</v>
      </c>
      <c r="C220" s="50">
        <v>2</v>
      </c>
      <c r="D220" s="60">
        <f>21+21</f>
        <v>42</v>
      </c>
      <c r="E220" s="63"/>
      <c r="F220" s="63"/>
      <c r="G220" s="63"/>
      <c r="H220" s="63"/>
      <c r="I220" s="53">
        <f t="shared" si="11"/>
        <v>8.1999999999999993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>
        <v>50</v>
      </c>
      <c r="B221" s="55">
        <f>157+21+21</f>
        <v>199</v>
      </c>
      <c r="C221" s="55">
        <v>3</v>
      </c>
      <c r="D221" s="55">
        <f t="shared" ref="D221:D226" si="12">21+21</f>
        <v>42</v>
      </c>
      <c r="E221" s="63"/>
      <c r="F221" s="63"/>
      <c r="G221" s="63"/>
      <c r="H221" s="63"/>
      <c r="I221" s="53">
        <f t="shared" si="11"/>
        <v>8.3000000000000007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>
        <v>60</v>
      </c>
      <c r="B222" s="55">
        <f>193+21+21</f>
        <v>235</v>
      </c>
      <c r="C222" s="55">
        <v>4</v>
      </c>
      <c r="D222" s="55">
        <f t="shared" si="12"/>
        <v>42</v>
      </c>
      <c r="E222" s="63"/>
      <c r="F222" s="63"/>
      <c r="G222" s="63"/>
      <c r="H222" s="63"/>
      <c r="I222" s="53">
        <f t="shared" si="11"/>
        <v>7.8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>
        <v>70</v>
      </c>
      <c r="B223" s="55">
        <f>221+21+21</f>
        <v>263</v>
      </c>
      <c r="C223" s="55">
        <v>5</v>
      </c>
      <c r="D223" s="55">
        <f t="shared" si="12"/>
        <v>42</v>
      </c>
      <c r="E223" s="63"/>
      <c r="F223" s="63"/>
      <c r="G223" s="63"/>
      <c r="H223" s="63"/>
      <c r="I223" s="53">
        <f t="shared" si="11"/>
        <v>7</v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>
        <v>80</v>
      </c>
      <c r="B224" s="55">
        <f>240+21+21</f>
        <v>282</v>
      </c>
      <c r="C224" s="55">
        <v>6</v>
      </c>
      <c r="D224" s="55">
        <f t="shared" si="12"/>
        <v>42</v>
      </c>
      <c r="E224" s="63"/>
      <c r="F224" s="63"/>
      <c r="G224" s="63"/>
      <c r="H224" s="63"/>
      <c r="I224" s="53">
        <f t="shared" si="11"/>
        <v>6.1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>
        <v>90</v>
      </c>
      <c r="B225" s="55">
        <f>254+21+21</f>
        <v>296</v>
      </c>
      <c r="C225" s="55">
        <v>7</v>
      </c>
      <c r="D225" s="55">
        <f t="shared" si="12"/>
        <v>42</v>
      </c>
      <c r="E225" s="63"/>
      <c r="F225" s="63"/>
      <c r="G225" s="63"/>
      <c r="H225" s="63"/>
      <c r="I225" s="53">
        <f t="shared" si="11"/>
        <v>5.6</v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>
        <v>100</v>
      </c>
      <c r="B226" s="55">
        <f>261+21+21</f>
        <v>303</v>
      </c>
      <c r="C226" s="55">
        <v>8</v>
      </c>
      <c r="D226" s="55">
        <f t="shared" si="12"/>
        <v>42</v>
      </c>
      <c r="E226" s="63"/>
      <c r="F226" s="63"/>
      <c r="G226" s="63"/>
      <c r="H226" s="63"/>
      <c r="I226" s="53">
        <f t="shared" si="11"/>
        <v>4.9000000000000004</v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>
        <v>110</v>
      </c>
      <c r="B227" s="55">
        <f>266+20+19</f>
        <v>305</v>
      </c>
      <c r="C227" s="55">
        <v>9</v>
      </c>
      <c r="D227" s="55">
        <f>20+19</f>
        <v>39</v>
      </c>
      <c r="E227" s="63"/>
      <c r="F227" s="63"/>
      <c r="G227" s="63"/>
      <c r="H227" s="63"/>
      <c r="I227" s="53">
        <f t="shared" si="11"/>
        <v>4.4000000000000004</v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>
        <v>120</v>
      </c>
      <c r="B228" s="55">
        <f>268+17+18</f>
        <v>303</v>
      </c>
      <c r="C228" s="55">
        <v>10</v>
      </c>
      <c r="D228" s="55">
        <f>B228</f>
        <v>303</v>
      </c>
      <c r="E228" s="63"/>
      <c r="F228" s="63"/>
      <c r="G228" s="63"/>
      <c r="H228" s="63"/>
      <c r="I228" s="53">
        <f t="shared" si="11"/>
        <v>3.7</v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11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11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11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11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11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11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11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11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11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>Merisier</v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>
        <v>25</v>
      </c>
      <c r="B244" s="60">
        <v>89</v>
      </c>
      <c r="C244" s="60">
        <v>1</v>
      </c>
      <c r="D244" s="60">
        <v>28</v>
      </c>
      <c r="E244" s="51"/>
      <c r="F244" s="51">
        <v>0.25</v>
      </c>
      <c r="G244" s="51">
        <v>0.25</v>
      </c>
      <c r="H244" s="63">
        <v>0.5</v>
      </c>
      <c r="I244" s="53">
        <f>IFERROR(B244/A244,"")</f>
        <v>3.56</v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>
        <v>30</v>
      </c>
      <c r="B245" s="60">
        <v>132</v>
      </c>
      <c r="C245" s="60">
        <v>2</v>
      </c>
      <c r="D245" s="60">
        <v>24</v>
      </c>
      <c r="E245" s="63">
        <v>0.1</v>
      </c>
      <c r="F245" s="63">
        <v>0.45</v>
      </c>
      <c r="G245" s="63">
        <v>0.45</v>
      </c>
      <c r="H245" s="63"/>
      <c r="I245" s="53">
        <f>IF(A245&lt;&gt;0,(B245-(B244-D244))/(A245-A244),"")</f>
        <v>14.2</v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>
        <v>35</v>
      </c>
      <c r="B246" s="60">
        <v>173</v>
      </c>
      <c r="C246" s="60">
        <v>3</v>
      </c>
      <c r="D246" s="60">
        <v>27</v>
      </c>
      <c r="E246" s="63"/>
      <c r="F246" s="63"/>
      <c r="G246" s="63"/>
      <c r="H246" s="63"/>
      <c r="I246" s="53">
        <f>IF(A246&lt;&gt;0,(B246-(B245-D245))/(A246-A245),"")</f>
        <v>13</v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>
        <v>45</v>
      </c>
      <c r="B247" s="60">
        <v>265</v>
      </c>
      <c r="C247" s="60">
        <v>4</v>
      </c>
      <c r="D247" s="60">
        <v>63</v>
      </c>
      <c r="E247" s="63"/>
      <c r="F247" s="63"/>
      <c r="G247" s="63"/>
      <c r="H247" s="63"/>
      <c r="I247" s="53">
        <f t="shared" ref="I247:I263" si="13">IF(A247&lt;&gt;0,(B247-(B246-D246))/(A247-A246),"")</f>
        <v>11.9</v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>
        <v>55</v>
      </c>
      <c r="B248" s="60">
        <v>283</v>
      </c>
      <c r="C248" s="60">
        <v>5</v>
      </c>
      <c r="D248" s="60">
        <v>60</v>
      </c>
      <c r="E248" s="63"/>
      <c r="F248" s="63"/>
      <c r="G248" s="63"/>
      <c r="H248" s="63"/>
      <c r="I248" s="53">
        <f t="shared" si="13"/>
        <v>8.1</v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>
        <v>65</v>
      </c>
      <c r="B249" s="60">
        <v>303</v>
      </c>
      <c r="C249" s="60">
        <v>6</v>
      </c>
      <c r="D249" s="60">
        <v>53</v>
      </c>
      <c r="E249" s="63"/>
      <c r="F249" s="63"/>
      <c r="G249" s="63"/>
      <c r="H249" s="63"/>
      <c r="I249" s="53">
        <f t="shared" si="13"/>
        <v>8</v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>
        <v>75</v>
      </c>
      <c r="B250" s="60">
        <v>306</v>
      </c>
      <c r="C250" s="60">
        <v>7</v>
      </c>
      <c r="D250" s="60">
        <v>306</v>
      </c>
      <c r="E250" s="63"/>
      <c r="F250" s="63"/>
      <c r="G250" s="63"/>
      <c r="H250" s="63"/>
      <c r="I250" s="53">
        <f t="shared" si="13"/>
        <v>5.6</v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13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13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13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13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13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13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13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13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13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13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13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13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13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4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4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4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4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4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4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4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4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4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4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4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4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4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4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4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4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4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4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B18" sqref="B18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0.28000000000000003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0.72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Chêne sessile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Alisier torminal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Merisier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Chêne pédonculé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Hêtre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>Douglas</v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>Chêne sessile</v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>Alisier torminal</v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>Merisier</v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1.4000000000000001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5.1333333333333337</v>
      </c>
      <c r="H3" s="67">
        <f>(B3+E3+F3)*44/12+(C3+D3)*0.475*44/12</f>
        <v>236.13333333333335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63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231</v>
      </c>
      <c r="S3" s="59">
        <f ca="1">AVERAGE(OFFSET($R$3,0,0,'Données projet'!$E$9+1,1))-AVERAGE(OFFSET($H$3,0,0,'Données projet'!$E$9+1,1))</f>
        <v>479.46542424895119</v>
      </c>
      <c r="T3" s="59">
        <f>IF('Données projet'!E9&gt;30,$R$33-$H$33,LOOKUP('Données projet'!$E$9,$A$3:$A$203,R3:R203)-LOOKUP('Données projet'!$E$9,$A$3:$A$203,$H$3:$H$203))</f>
        <v>337.96395820277337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63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231</v>
      </c>
      <c r="AN3" s="59">
        <f ca="1">AVERAGE(OFFSET($AM$3,0,0,'Données projet'!$E$10+1,1))-AVERAGE(OFFSET($H$3,0,0,'Données projet'!$E$10+1,1))</f>
        <v>508.94560627895089</v>
      </c>
      <c r="AO3" s="59">
        <f>IF('Données projet'!E10&gt;30,$AM$33-$H$33,LOOKUP('Données projet'!$E$10,$A$3:$A$203,AM3:AM203)-LOOKUP('Données projet'!$E$10,$A$3:$A$203,$H$3:$H$203))</f>
        <v>357.86868650263034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63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231</v>
      </c>
      <c r="BI3" s="59">
        <f ca="1">AVERAGE(OFFSET($BH$3,0,0,'Données projet'!$E$11+1,1))-AVERAGE(OFFSET($H$3,0,0,'Données projet'!$E$11+1,1))</f>
        <v>383.03154033422328</v>
      </c>
      <c r="BJ3" s="59">
        <f>IF('Données projet'!E11&gt;30,$BH$33-$H$33,LOOKUP('Données projet'!$E$11,$A$3:$A$203,BH3:BH203)-LOOKUP('Données projet'!$E$11,$A$3:$A$203,$H$3:$H$203))</f>
        <v>373.27897156169877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63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231</v>
      </c>
      <c r="CD3" s="59">
        <f ca="1">AVERAGE(OFFSET($CC$3,0,0,'Données projet'!$E$12+1,1))-AVERAGE(OFFSET($H$3,0,0,'Données projet'!$E$12+1,1))</f>
        <v>449.94334483948603</v>
      </c>
      <c r="CE3" s="59">
        <f>IF('Données projet'!E12&gt;30,$CC$33-$H$33,LOOKUP('Données projet'!$E$12,$A$3:$A$203,CC3:CC203)-LOOKUP('Données projet'!$E$12,$A$3:$A$203,$H$3:$H$203))</f>
        <v>318.02929110264176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63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231</v>
      </c>
      <c r="CY3" s="59">
        <f ca="1">AVERAGE(OFFSET($CX$3,0,0,'Données projet'!$E$13+1,1))-AVERAGE(OFFSET($H$3,0,0,'Données projet'!$E$13+1,1))</f>
        <v>565.32667500225568</v>
      </c>
      <c r="CZ3" s="59">
        <f>IF('Données projet'!E13&gt;30,$CX$33-$H$33,LOOKUP('Données projet'!$E$13,$A$3:$A$203,CX3:CX203)-LOOKUP('Données projet'!$E$13,$A$3:$A$203,$H$3:$H$203))</f>
        <v>275.06957234480944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63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231</v>
      </c>
      <c r="DT3" s="59">
        <f ca="1">AVERAGE(OFFSET($DS$3,0,0,'Données projet'!$E$14+1,1))-AVERAGE(OFFSET($H$3,0,0,'Données projet'!$E$14+1,1))</f>
        <v>532.64469322244281</v>
      </c>
      <c r="DU3" s="59">
        <f>IF('Données projet'!E14&gt;30,$DS$33-$H$33,LOOKUP('Données projet'!$E$14,$A$3:$A$203,DS3:DS203)-LOOKUP('Données projet'!$E$14,$A$3:$A$203,$H$3:$H$203))</f>
        <v>525.88014011096413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63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231</v>
      </c>
      <c r="EO3" s="59">
        <f ca="1">AVERAGE(OFFSET($EN$3,0,0,'Données projet'!$E$15+1,1))-AVERAGE(OFFSET($H$3,0,0,'Données projet'!$E$15+1,1))</f>
        <v>398.27843768730202</v>
      </c>
      <c r="EP3" s="59">
        <f>IF('Données projet'!E15&gt;30,$EN$33-$H$33,LOOKUP('Données projet'!$E$15,$A$3:$A$203,EN3:EN203)-LOOKUP('Données projet'!$E$15,$A$3:$A$203,$H$3:$H$203))</f>
        <v>252.3617347568813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63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231</v>
      </c>
      <c r="FJ3" s="59">
        <f ca="1">AVERAGE(OFFSET($FI$3,0,0,'Données projet'!$E$16+1,1))-AVERAGE(OFFSET($H$3,0,0,'Données projet'!$E$16+1,1))</f>
        <v>422.28024471365825</v>
      </c>
      <c r="FK3" s="59">
        <f>IF('Données projet'!E16&gt;30,$FI$33-$H$33,LOOKUP('Données projet'!$E$16,$A$3:$A$203,FI3:FI203)-LOOKUP('Données projet'!$E$16,$A$3:$A$203,$H$3:$H$203))</f>
        <v>266.49730479813206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63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>
        <f>FZ3*VLOOKUP('Données projet'!$B$17,Paramètres!$A$1:$I$89,3,0)*VLOOKUP('Données projet'!$B$17,Paramètres!$A$1:$I$89,5,0)</f>
        <v>0</v>
      </c>
      <c r="GB3" s="12">
        <v>0</v>
      </c>
      <c r="GC3" s="14">
        <f>(GA3+GB3)*0.475*44/12</f>
        <v>0</v>
      </c>
      <c r="GD3" s="59">
        <f>GC3+(FU3+FV3)*44/12</f>
        <v>231</v>
      </c>
      <c r="GE3" s="59">
        <f ca="1">AVERAGE(OFFSET($GD$3,0,0,'Données projet'!$E$17+1,1))-AVERAGE(OFFSET($H$3,0,0,'Données projet'!$E$17+1,1))</f>
        <v>300.95722646933314</v>
      </c>
      <c r="GF3" s="59">
        <f>IF('Données projet'!E17&gt;30,$GD$33-$H$33,LOOKUP('Données projet'!$E$17,$A$3:$A$203,GD3:GD203)-LOOKUP('Données projet'!$E$17,$A$3:$A$203,$H$3:$H$203))</f>
        <v>269.52365224623759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63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1.4000000000000001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5.1333333333333337</v>
      </c>
      <c r="H4" s="67">
        <f t="shared" ref="H4:H67" si="1">(B4+E4+F4)*44/12+(C4+D4)*0.475*44/12</f>
        <v>236.13333333333335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63.121434350344487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3.65</v>
      </c>
      <c r="N4" s="13">
        <f>IF('Données projet'!$A$36&gt;35,N3+M4-V3,IF(A4&lt;'Données projet'!$A$36,$K$205^A4,IF(A4='Données projet'!$A$36,'Données projet'!$B$36,N3+M4-V3)))</f>
        <v>1.2392705892426346</v>
      </c>
      <c r="O4" s="13">
        <f>N4*VLOOKUP('Données projet'!$B$9,Paramètres!$A$1:$I$89,3,0)*VLOOKUP('Données projet'!$B$9,Paramètres!$A$1:$I$89,5,0)</f>
        <v>1.1212920291467359</v>
      </c>
      <c r="P4" s="13">
        <f>EXP(-1.0587+0.8836*LN(O4)+0.284)</f>
        <v>0.50989827066551541</v>
      </c>
      <c r="Q4" s="20">
        <f t="shared" ref="Q4:Q34" si="2">(O4+P4)*0.475*44/12</f>
        <v>2.8409897721730037</v>
      </c>
      <c r="R4" s="59">
        <f t="shared" si="0"/>
        <v>235.50847127899169</v>
      </c>
      <c r="S4" s="59">
        <f ca="1">AVERAGE(OFFSET($R$3,0,0,'Données projet'!$E$9+1,1))-AVERAGE(OFFSET($H$3,0,0,'Données projet'!$E$9+1,1))</f>
        <v>479.46542424895119</v>
      </c>
      <c r="T4" s="59">
        <f>$T$3</f>
        <v>337.96395820277337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63.121434350344487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3.65</v>
      </c>
      <c r="AI4" s="13">
        <f>IF('Données projet'!$A$62&gt;35,AI3+AH4-AQ3,IF(A4&lt;'Données projet'!$A$62,$AF$205^A4,IF(A4='Données projet'!$A$62,'Données projet'!$B$62,AI3+AH4-AQ3)))</f>
        <v>1.2392705892426346</v>
      </c>
      <c r="AJ4" s="13">
        <f>AI4*VLOOKUP('Données projet'!$B$10,Paramètres!$A$1:$I$89,3,0)*VLOOKUP('Données projet'!$B$10,Paramètres!$A$1:$I$89,5,0)</f>
        <v>1.1986225139154763</v>
      </c>
      <c r="AK4" s="13">
        <f>EXP(-1.0587+0.8836*LN(AJ4)+0.284)</f>
        <v>0.54084878793982472</v>
      </c>
      <c r="AL4" s="20">
        <f t="shared" ref="AL4:AL67" si="4">(AJ4+AK4)*0.475*44/12</f>
        <v>3.0295791840646493</v>
      </c>
      <c r="AM4" s="59">
        <f t="shared" ref="AM4:AM67" si="5">AL4+(AD4+AE4)*44/12</f>
        <v>235.69706069088335</v>
      </c>
      <c r="AN4" s="59">
        <f ca="1">AVERAGE(OFFSET($AM$3,0,0,'Données projet'!$E$10+1,1))-AVERAGE(OFFSET($H$3,0,0,'Données projet'!$E$10+1,1))</f>
        <v>508.94560627895089</v>
      </c>
      <c r="AO4" s="59">
        <f>$AO$3</f>
        <v>357.86868650263034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63.121434350344487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5.85</v>
      </c>
      <c r="BD4" s="12">
        <f>IF('Données projet'!$A$88&gt;35,BD3+BC4-BL3,IF(A4&lt;'Données projet'!$A$88,$BA$205^A4,IF(A4='Données projet'!$A$88,'Données projet'!$B$88,BD3+BC4-BL3)))</f>
        <v>1.2688471048731957</v>
      </c>
      <c r="BE4" s="13">
        <f>BD4*VLOOKUP('Données projet'!$B$11,Paramètres!$A$1:$I$89,3,0)*VLOOKUP('Données projet'!$B$11,Paramètres!$A$1:$I$89,5,0)</f>
        <v>0.98970074180109269</v>
      </c>
      <c r="BF4" s="13">
        <f>EXP(-1.0587+0.8836*LN(BE4)+0.284)</f>
        <v>0.45664563134517483</v>
      </c>
      <c r="BG4" s="20">
        <f t="shared" ref="BG4:BG67" si="7">(BE4+BF4)*0.475*44/12</f>
        <v>2.5190532665630827</v>
      </c>
      <c r="BH4" s="59">
        <f t="shared" ref="BH4:BH67" si="8">BG4+(AY4+AZ4)*44/12</f>
        <v>235.18653477338177</v>
      </c>
      <c r="BI4" s="59">
        <f ca="1">AVERAGE(OFFSET($BH$3,0,0,'Données projet'!$E$11+1,1))-AVERAGE(OFFSET($H$3,0,0,'Données projet'!$E$11+1,1))</f>
        <v>383.03154033422328</v>
      </c>
      <c r="BJ4" s="59">
        <f>$BJ$3</f>
        <v>373.27897156169877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63.121434350344487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3.65</v>
      </c>
      <c r="BY4" s="12">
        <f>IF('Données projet'!$A$114&gt;35,BY3+BX4-CG3,IF(A4&lt;'Données projet'!$A$114,$BV$205^A4,IF(A4='Données projet'!$A$114,'Données projet'!$B$114,BY3+BX4-CG3)))</f>
        <v>1.2392705892426346</v>
      </c>
      <c r="BZ4" s="13">
        <f>BY4*VLOOKUP('Données projet'!$B$12,Paramètres!$A$1:$I$89,3,0)*VLOOKUP('Données projet'!$B$12,Paramètres!$A$1:$I$89,5,0)</f>
        <v>1.0439615443779955</v>
      </c>
      <c r="CA4" s="13">
        <f>EXP(-1.0587+0.8836*LN(BZ4)+0.284)</f>
        <v>0.478698084995758</v>
      </c>
      <c r="CB4" s="20">
        <f t="shared" ref="CB4:CB67" si="10">(BZ4+CA4)*0.475*44/12</f>
        <v>2.6519655211592874</v>
      </c>
      <c r="CC4" s="59">
        <f t="shared" ref="CC4:CC67" si="11">CB4+(BT4+BU4)*44/12</f>
        <v>235.31944702797799</v>
      </c>
      <c r="CD4" s="59">
        <f ca="1">AVERAGE(OFFSET($CC$3,0,0,'Données projet'!$E$12+1,1))-AVERAGE(OFFSET($H$3,0,0,'Données projet'!$E$12+1,1))</f>
        <v>449.94334483948603</v>
      </c>
      <c r="CE4" s="59">
        <f>$CE$3</f>
        <v>318.02929110264176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63.121434350344487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1.6</v>
      </c>
      <c r="CT4" s="12">
        <f>IF('Données projet'!$A$140&gt;35,CT3+CS4-DB3,IF(A4&lt;'Données projet'!$A$140,$CQ$205^A4,IF(A4='Données projet'!$A$140,'Données projet'!$B$140,CT3+CS4-DB3)))</f>
        <v>1.189207115002721</v>
      </c>
      <c r="CU4" s="17">
        <f>CT4*VLOOKUP('Données projet'!$B$13,Paramètres!$A$1:$I$89,3,0)*VLOOKUP('Données projet'!$B$13,Paramètres!$A$1:$I$89,5,0)</f>
        <v>1.0203397046723348</v>
      </c>
      <c r="CV4" s="13">
        <f>EXP(-1.0587+0.8836*LN(CU4)+0.284)</f>
        <v>0.46911460970544039</v>
      </c>
      <c r="CW4" s="20">
        <f t="shared" ref="CW4:CW67" si="13">(CU4+CV4)*0.475*44/12</f>
        <v>2.594132930874625</v>
      </c>
      <c r="CX4" s="59">
        <f t="shared" ref="CX4:CX67" si="14">CW4+(CO4+CP4)*44/12</f>
        <v>235.26161443769331</v>
      </c>
      <c r="CY4" s="59">
        <f ca="1">AVERAGE(OFFSET($CX$3,0,0,'Données projet'!$E$13+1,1))-AVERAGE(OFFSET($H$3,0,0,'Données projet'!$E$13+1,1))</f>
        <v>565.32667500225568</v>
      </c>
      <c r="CZ4" s="59">
        <f>$CZ$3</f>
        <v>275.06957234480944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63.121434350344487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2.7</v>
      </c>
      <c r="DO4" s="12">
        <f>IF('Données projet'!$A$166&gt;35,DO3+DN4-DW3,IF(A4&lt;'Données projet'!$A$166,$DL$205^A4,IF(A4='Données projet'!$A$166,'Données projet'!$B$166,DO3+DN4-DW3)))</f>
        <v>1.3903891703159093</v>
      </c>
      <c r="DP4" s="17">
        <f>DO4*VLOOKUP('Données projet'!$B$14,Paramètres!$A$1:$I$89,3,0)*VLOOKUP('Données projet'!$B$14,Paramètres!$A$1:$I$89,5,0)</f>
        <v>0.77722754620659329</v>
      </c>
      <c r="DQ4" s="13">
        <f>EXP(-1.0587+0.8836*LN(DP4)+0.284)</f>
        <v>0.36884206136494596</v>
      </c>
      <c r="DR4" s="20">
        <f t="shared" ref="DR4:DR67" si="16">(DP4+DQ4)*0.475*44/12</f>
        <v>1.9960712331870976</v>
      </c>
      <c r="DS4" s="59">
        <f t="shared" ref="DS4:DS67" si="17">DR4+(DJ4+DK4)*44/12</f>
        <v>234.6635527400058</v>
      </c>
      <c r="DT4" s="59">
        <f ca="1">AVERAGE(OFFSET($DS$3,0,0,'Données projet'!$E$14+1,1))-AVERAGE(OFFSET($H$3,0,0,'Données projet'!$E$14+1,1))</f>
        <v>532.64469322244281</v>
      </c>
      <c r="DU4" s="59">
        <f>$DU$3</f>
        <v>525.88014011096413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63.121434350344487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2.1</v>
      </c>
      <c r="EJ4" s="12">
        <f>IF('Données projet'!$A$192&gt;35,EJ3+EI4-ER3,IF(A4&lt;'Données projet'!$A$192,$EG$205^A4,IF(A4='Données projet'!$A$192,'Données projet'!$B$192,EJ3+EI4-ER3)))</f>
        <v>1.2054868146447177</v>
      </c>
      <c r="EK4" s="17">
        <f>EJ4*VLOOKUP('Données projet'!$B$15,Paramètres!$A$1:$I$89,3,0)*VLOOKUP('Données projet'!$B$15,Paramètres!$A$1:$I$89,5,0)</f>
        <v>1.0907244698905405</v>
      </c>
      <c r="EL4" s="13">
        <f>EXP(-1.0587+0.8836*LN(EK4)+0.284)</f>
        <v>0.49759623852608204</v>
      </c>
      <c r="EM4" s="20">
        <f t="shared" ref="EM4:EM67" si="19">(EK4+EL4)*0.475*44/12</f>
        <v>2.7663252338256172</v>
      </c>
      <c r="EN4" s="59">
        <f t="shared" ref="EN4:EN67" si="20">EM4+(EE4+EF4)*44/12</f>
        <v>235.43380674064431</v>
      </c>
      <c r="EO4" s="59">
        <f ca="1">AVERAGE(OFFSET($EN$3,0,0,'Données projet'!$E$15+1,1))-AVERAGE(OFFSET($H$3,0,0,'Données projet'!$E$15+1,1))</f>
        <v>398.27843768730202</v>
      </c>
      <c r="EP4" s="59">
        <f>$EP$3</f>
        <v>252.3617347568813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63.121434350344487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2.1</v>
      </c>
      <c r="FE4" s="12">
        <f>IF('Données projet'!$A$218&gt;35,FE3+FD4-FM3,IF(A4&lt;'Données projet'!$A$218,$FB$205^A4,IF(A4='Données projet'!$A$218,'Données projet'!$B$218,FE3+FD4-FM3)))</f>
        <v>1.2054868146447177</v>
      </c>
      <c r="FF4" s="17">
        <f>FE4*VLOOKUP('Données projet'!$B$16,Paramètres!$A$1:$I$89,3,0)*VLOOKUP('Données projet'!$B$16,Paramètres!$A$1:$I$89,5,0)</f>
        <v>1.165946847124371</v>
      </c>
      <c r="FG4" s="13">
        <f>EXP(-1.0587+0.8836*LN(FF4)+0.284)</f>
        <v>0.52780002987456354</v>
      </c>
      <c r="FH4" s="20">
        <f t="shared" ref="FH4:FH67" si="22">(FF4+FG4)*0.475*44/12</f>
        <v>2.9499424774398109</v>
      </c>
      <c r="FI4" s="59">
        <f t="shared" ref="FI4:FI67" si="23">FH4+(EZ4+FA4)*44/12</f>
        <v>235.61742398425849</v>
      </c>
      <c r="FJ4" s="59">
        <f ca="1">AVERAGE(OFFSET($FI$3,0,0,'Données projet'!$E$16+1,1))-AVERAGE(OFFSET($H$3,0,0,'Données projet'!$E$16+1,1))</f>
        <v>422.28024471365825</v>
      </c>
      <c r="FK4" s="59">
        <f>$FK$3</f>
        <v>266.49730479813206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63.121434350344487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3.56</v>
      </c>
      <c r="FZ4" s="12">
        <f>IF('Données projet'!$A$244&gt;35,FZ3+FY4-GH3,IF(A4&lt;'Données projet'!$A$244,$FW$205^A4,IF(A4='Données projet'!$A$244,'Données projet'!$B$244,FZ3+FY4-GH3)))</f>
        <v>1.1966732973638288</v>
      </c>
      <c r="GA4" s="17">
        <f>FZ4*VLOOKUP('Données projet'!$B$17,Paramètres!$A$1:$I$89,3,0)*VLOOKUP('Données projet'!$B$17,Paramètres!$A$1:$I$89,5,0)</f>
        <v>0.93340517194378647</v>
      </c>
      <c r="GB4" s="13">
        <f>EXP(-1.0587+0.8836*LN(GA4)+0.284)</f>
        <v>0.43361679609549247</v>
      </c>
      <c r="GC4" s="20">
        <f t="shared" ref="GC4:GC67" si="25">(GA4+GB4)*0.475*44/12</f>
        <v>2.3808965943350775</v>
      </c>
      <c r="GD4" s="59">
        <f t="shared" ref="GD4:GD67" si="26">GC4+(FU4+FV4)*44/12</f>
        <v>235.04837810115376</v>
      </c>
      <c r="GE4" s="59">
        <f ca="1">AVERAGE(OFFSET($GD$3,0,0,'Données projet'!$E$17+1,1))-AVERAGE(OFFSET($H$3,0,0,'Données projet'!$E$17+1,1))</f>
        <v>300.95722646933314</v>
      </c>
      <c r="GF4" s="59">
        <f>$GF$3</f>
        <v>269.52365224623759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>
        <f>EXP(-LN(2)/35)*GL3+(1-EXP(-LN(2)/35))/(LN(2)/35)*GH4*GI4*VLOOKUP('Données projet'!$B$17,Paramètres!$A$1:$I$89,3,0)*0.475*44/12</f>
        <v>0</v>
      </c>
      <c r="GM4" s="21">
        <f>EXP(-LN(2)/25)*GM3+(1-EXP(-LN(2)/25))/(LN(2)/25)*Calculateur!GH4*Calculateur!GJ4*VLOOKUP('Données projet'!$B$17,Paramètres!$A$1:$I$89,3,0)*0.475*44/12</f>
        <v>0</v>
      </c>
      <c r="GN4" s="21">
        <f>EXP(-LN(2)/2)*GN3+(1-EXP(-LN(2)/2))/(LN(2)/2)*GH4*GK4*VLOOKUP('Données projet'!$B$17,Paramètres!$A$1:$I$89,3,0)*0.475*44/12</f>
        <v>0</v>
      </c>
      <c r="GO4" s="21">
        <f t="shared" ref="GO4:GO67" si="27">SUM(GL4:GN4)</f>
        <v>0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63.121434350344487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1.4000000000000001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5.1333333333333337</v>
      </c>
      <c r="H5" s="67">
        <f t="shared" si="1"/>
        <v>236.13333333333335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63.240762086197037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3.65</v>
      </c>
      <c r="N5" s="13">
        <f>IF('Données projet'!$A$36&gt;35,N4+M5-V4,IF(A5&lt;'Données projet'!$A$36,$K$205^A5,IF(A5='Données projet'!$A$36,'Données projet'!$B$36,N4+M5-V4)))</f>
        <v>1.5357915933617867</v>
      </c>
      <c r="O5" s="13">
        <f>N5*VLOOKUP('Données projet'!$B$9,Paramètres!$A$1:$I$89,3,0)*VLOOKUP('Données projet'!$B$9,Paramètres!$A$1:$I$89,5,0)</f>
        <v>1.3895842336737447</v>
      </c>
      <c r="P5" s="13">
        <f t="shared" ref="P5:P68" si="33">EXP(-1.0587+0.8836*LN(O5)+0.284)</f>
        <v>0.61631841327304715</v>
      </c>
      <c r="Q5" s="20">
        <f t="shared" si="2"/>
        <v>3.4936137767656628</v>
      </c>
      <c r="R5" s="59">
        <f t="shared" si="0"/>
        <v>237.82085253726589</v>
      </c>
      <c r="S5" s="59">
        <f ca="1">AVERAGE(OFFSET($R$3,0,0,'Données projet'!$E$9+1,1))-AVERAGE(OFFSET($H$3,0,0,'Données projet'!$E$9+1,1))</f>
        <v>479.46542424895119</v>
      </c>
      <c r="T5" s="59">
        <f t="shared" ref="T5:T68" si="34">$T$3</f>
        <v>337.96395820277337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63.240762086197037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3.65</v>
      </c>
      <c r="AI5" s="13">
        <f>IF('Données projet'!$A$62&gt;35,AI4+AH5-AQ4,IF(A5&lt;'Données projet'!$A$62,$AF$205^A5,IF(A5='Données projet'!$A$62,'Données projet'!$B$62,AI4+AH5-AQ4)))</f>
        <v>1.5357915933617867</v>
      </c>
      <c r="AJ5" s="13">
        <f>AI5*VLOOKUP('Données projet'!$B$10,Paramètres!$A$1:$I$89,3,0)*VLOOKUP('Données projet'!$B$10,Paramètres!$A$1:$I$89,5,0)</f>
        <v>1.4854176290995202</v>
      </c>
      <c r="AK5" s="13">
        <f t="shared" ref="AK5:AK68" si="35">EXP(-1.0587+0.8836*LN(AJ5)+0.284)</f>
        <v>0.65372856897250708</v>
      </c>
      <c r="AL5" s="20">
        <f t="shared" si="4"/>
        <v>3.725679628308781</v>
      </c>
      <c r="AM5" s="59">
        <f t="shared" si="5"/>
        <v>238.05291838880899</v>
      </c>
      <c r="AN5" s="59">
        <f ca="1">AVERAGE(OFFSET($AM$3,0,0,'Données projet'!$E$10+1,1))-AVERAGE(OFFSET($H$3,0,0,'Données projet'!$E$10+1,1))</f>
        <v>508.94560627895089</v>
      </c>
      <c r="AO5" s="59">
        <f t="shared" ref="AO5:AO68" si="36">$AO$3</f>
        <v>357.86868650263034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63.240762086197037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5.85</v>
      </c>
      <c r="BD5" s="12">
        <f>IF('Données projet'!$A$88&gt;35,BD4+BC5-BL4,IF(A5&lt;'Données projet'!$A$88,$BA$205^A5,IF(A5='Données projet'!$A$88,'Données projet'!$B$88,BD4+BC5-BL4)))</f>
        <v>1.6099729755450907</v>
      </c>
      <c r="BE5" s="13">
        <f>BD5*VLOOKUP('Données projet'!$B$11,Paramètres!$A$1:$I$89,3,0)*VLOOKUP('Données projet'!$B$11,Paramètres!$A$1:$I$89,5,0)</f>
        <v>1.2557789209251708</v>
      </c>
      <c r="BF5" s="13">
        <f t="shared" ref="BF5:BF68" si="37">EXP(-1.0587+0.8836*LN(BE5)+0.284)</f>
        <v>0.56357505040869538</v>
      </c>
      <c r="BG5" s="20">
        <f t="shared" si="7"/>
        <v>3.1687081667398167</v>
      </c>
      <c r="BH5" s="59">
        <f t="shared" si="8"/>
        <v>237.49594692724003</v>
      </c>
      <c r="BI5" s="59">
        <f ca="1">AVERAGE(OFFSET($BH$3,0,0,'Données projet'!$E$11+1,1))-AVERAGE(OFFSET($H$3,0,0,'Données projet'!$E$11+1,1))</f>
        <v>383.03154033422328</v>
      </c>
      <c r="BJ5" s="59">
        <f t="shared" ref="BJ5:BJ68" si="38">$BJ$3</f>
        <v>373.27897156169877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63.240762086197037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3.65</v>
      </c>
      <c r="BY5" s="12">
        <f>IF('Données projet'!$A$114&gt;35,BY4+BX5-CG4,IF(A5&lt;'Données projet'!$A$114,$BV$205^A5,IF(A5='Données projet'!$A$114,'Données projet'!$B$114,BY4+BX5-CG4)))</f>
        <v>1.5357915933617867</v>
      </c>
      <c r="BZ5" s="13">
        <f>BY5*VLOOKUP('Données projet'!$B$12,Paramètres!$A$1:$I$89,3,0)*VLOOKUP('Données projet'!$B$12,Paramètres!$A$1:$I$89,5,0)</f>
        <v>1.2937508382479692</v>
      </c>
      <c r="CA5" s="13">
        <f t="shared" ref="CA5:CA68" si="39">EXP(-1.0587+0.8836*LN(BZ5)+0.284)</f>
        <v>0.57860648124254321</v>
      </c>
      <c r="CB5" s="20">
        <f t="shared" si="10"/>
        <v>3.2610223314459752</v>
      </c>
      <c r="CC5" s="59">
        <f t="shared" si="11"/>
        <v>237.58826109194621</v>
      </c>
      <c r="CD5" s="59">
        <f ca="1">AVERAGE(OFFSET($CC$3,0,0,'Données projet'!$E$12+1,1))-AVERAGE(OFFSET($H$3,0,0,'Données projet'!$E$12+1,1))</f>
        <v>449.94334483948603</v>
      </c>
      <c r="CE5" s="59">
        <f t="shared" ref="CE5:CE68" si="40">$CE$3</f>
        <v>318.02929110264176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63.240762086197037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1.6</v>
      </c>
      <c r="CT5" s="12">
        <f>IF('Données projet'!$A$140&gt;35,CT4+CS5-DB4,IF(A5&lt;'Données projet'!$A$140,$CQ$205^A5,IF(A5='Données projet'!$A$140,'Données projet'!$B$140,CT4+CS5-DB4)))</f>
        <v>1.4142135623730949</v>
      </c>
      <c r="CU5" s="17">
        <f>CT5*VLOOKUP('Données projet'!$B$13,Paramètres!$A$1:$I$89,3,0)*VLOOKUP('Données projet'!$B$13,Paramètres!$A$1:$I$89,5,0)</f>
        <v>1.2133952365161156</v>
      </c>
      <c r="CV5" s="13">
        <f t="shared" ref="CV5:CV68" si="41">EXP(-1.0587+0.8836*LN(CU5)+0.284)</f>
        <v>0.54673450619692521</v>
      </c>
      <c r="CW5" s="20">
        <f t="shared" si="13"/>
        <v>3.0655593018918794</v>
      </c>
      <c r="CX5" s="59">
        <f t="shared" si="14"/>
        <v>237.3927980623921</v>
      </c>
      <c r="CY5" s="59">
        <f ca="1">AVERAGE(OFFSET($CX$3,0,0,'Données projet'!$E$13+1,1))-AVERAGE(OFFSET($H$3,0,0,'Données projet'!$E$13+1,1))</f>
        <v>565.32667500225568</v>
      </c>
      <c r="CZ5" s="59">
        <f t="shared" ref="CZ5:CZ68" si="42">$CZ$3</f>
        <v>275.06957234480944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63.240762086197037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2.7</v>
      </c>
      <c r="DO5" s="12">
        <f>IF('Données projet'!$A$166&gt;35,DO4+DN5-DW4,IF(A5&lt;'Données projet'!$A$166,$DL$205^A5,IF(A5='Données projet'!$A$166,'Données projet'!$B$166,DO4+DN5-DW4)))</f>
        <v>1.9331820449317625</v>
      </c>
      <c r="DP5" s="17">
        <f>DO5*VLOOKUP('Données projet'!$B$14,Paramètres!$A$1:$I$89,3,0)*VLOOKUP('Données projet'!$B$14,Paramètres!$A$1:$I$89,5,0)</f>
        <v>1.0806487631168553</v>
      </c>
      <c r="DQ5" s="13">
        <f t="shared" ref="DQ5:DQ68" si="43">EXP(-1.0587+0.8836*LN(DP5)+0.284)</f>
        <v>0.49353248375234221</v>
      </c>
      <c r="DR5" s="20">
        <f t="shared" si="16"/>
        <v>2.7416990049638525</v>
      </c>
      <c r="DS5" s="59">
        <f t="shared" si="17"/>
        <v>237.06893776546409</v>
      </c>
      <c r="DT5" s="59">
        <f ca="1">AVERAGE(OFFSET($DS$3,0,0,'Données projet'!$E$14+1,1))-AVERAGE(OFFSET($H$3,0,0,'Données projet'!$E$14+1,1))</f>
        <v>532.64469322244281</v>
      </c>
      <c r="DU5" s="59">
        <f t="shared" ref="DU5:DU68" si="44">$DU$3</f>
        <v>525.88014011096413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63.240762086197037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2.1</v>
      </c>
      <c r="EJ5" s="12">
        <f>IF('Données projet'!$A$192&gt;35,EJ4+EI5-ER4,IF(A5&lt;'Données projet'!$A$192,$EG$205^A5,IF(A5='Données projet'!$A$192,'Données projet'!$B$192,EJ4+EI5-ER4)))</f>
        <v>1.4531984602822681</v>
      </c>
      <c r="EK5" s="17">
        <f>EJ5*VLOOKUP('Données projet'!$B$15,Paramètres!$A$1:$I$89,3,0)*VLOOKUP('Données projet'!$B$15,Paramètres!$A$1:$I$89,5,0)</f>
        <v>1.3148539668633961</v>
      </c>
      <c r="EL5" s="13">
        <f t="shared" ref="EL5:EL68" si="45">EXP(-1.0587+0.8836*LN(EK5)+0.284)</f>
        <v>0.58693801963664449</v>
      </c>
      <c r="EM5" s="20">
        <f t="shared" si="19"/>
        <v>3.3122877098209038</v>
      </c>
      <c r="EN5" s="59">
        <f t="shared" si="20"/>
        <v>237.63952647032113</v>
      </c>
      <c r="EO5" s="59">
        <f ca="1">AVERAGE(OFFSET($EN$3,0,0,'Données projet'!$E$15+1,1))-AVERAGE(OFFSET($H$3,0,0,'Données projet'!$E$15+1,1))</f>
        <v>398.27843768730202</v>
      </c>
      <c r="EP5" s="59">
        <f t="shared" ref="EP5:EP68" si="46">$EP$3</f>
        <v>252.3617347568813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63.240762086197037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2.1</v>
      </c>
      <c r="FE5" s="12">
        <f>IF('Données projet'!$A$218&gt;35,FE4+FD5-FM4,IF(A5&lt;'Données projet'!$A$218,$FB$205^A5,IF(A5='Données projet'!$A$218,'Données projet'!$B$218,FE4+FD5-FM4)))</f>
        <v>1.4531984602822681</v>
      </c>
      <c r="FF5" s="17">
        <f>FE5*VLOOKUP('Données projet'!$B$16,Paramètres!$A$1:$I$89,3,0)*VLOOKUP('Données projet'!$B$16,Paramètres!$A$1:$I$89,5,0)</f>
        <v>1.4055335507850097</v>
      </c>
      <c r="FG5" s="13">
        <f t="shared" ref="FG5:FG68" si="47">EXP(-1.0587+0.8836*LN(FF5)+0.284)</f>
        <v>0.62256480317525631</v>
      </c>
      <c r="FH5" s="20">
        <f t="shared" si="22"/>
        <v>3.5322712998141292</v>
      </c>
      <c r="FI5" s="59">
        <f t="shared" si="23"/>
        <v>237.85951006031436</v>
      </c>
      <c r="FJ5" s="59">
        <f ca="1">AVERAGE(OFFSET($FI$3,0,0,'Données projet'!$E$16+1,1))-AVERAGE(OFFSET($H$3,0,0,'Données projet'!$E$16+1,1))</f>
        <v>422.28024471365825</v>
      </c>
      <c r="FK5" s="59">
        <f t="shared" ref="FK5:FK68" si="48">$FK$3</f>
        <v>266.49730479813206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63.240762086197037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3.56</v>
      </c>
      <c r="FZ5" s="12">
        <f>IF('Données projet'!$A$244&gt;35,FZ4+FY5-GH4,IF(A5&lt;'Données projet'!$A$244,$FW$205^A5,IF(A5='Données projet'!$A$244,'Données projet'!$B$244,FZ4+FY5-GH4)))</f>
        <v>1.4320269806236186</v>
      </c>
      <c r="GA5" s="17">
        <f>FZ5*VLOOKUP('Données projet'!$B$17,Paramètres!$A$1:$I$89,3,0)*VLOOKUP('Données projet'!$B$17,Paramètres!$A$1:$I$89,5,0)</f>
        <v>1.1169810448864226</v>
      </c>
      <c r="GB5" s="13">
        <f t="shared" ref="GB5:GB68" si="49">EXP(-1.0587+0.8836*LN(GA5)+0.284)</f>
        <v>0.50816568684575236</v>
      </c>
      <c r="GC5" s="20">
        <f t="shared" si="25"/>
        <v>2.8304638911002047</v>
      </c>
      <c r="GD5" s="59">
        <f t="shared" si="26"/>
        <v>237.15770265160043</v>
      </c>
      <c r="GE5" s="59">
        <f ca="1">AVERAGE(OFFSET($GD$3,0,0,'Données projet'!$E$17+1,1))-AVERAGE(OFFSET($H$3,0,0,'Données projet'!$E$17+1,1))</f>
        <v>300.95722646933314</v>
      </c>
      <c r="GF5" s="59">
        <f t="shared" ref="GF5:GF68" si="50">$GF$3</f>
        <v>269.52365224623759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>
        <f>EXP(-LN(2)/35)*GL4+(1-EXP(-LN(2)/35))/(LN(2)/35)*GH5*GI5*VLOOKUP('Données projet'!$B$17,Paramètres!$A$1:$I$89,3,0)*0.475*44/12</f>
        <v>0</v>
      </c>
      <c r="GM5" s="21">
        <f>EXP(-LN(2)/25)*GM4+(1-EXP(-LN(2)/25))/(LN(2)/25)*Calculateur!GH5*Calculateur!GJ5*VLOOKUP('Données projet'!$B$17,Paramètres!$A$1:$I$89,3,0)*0.475*44/12</f>
        <v>0</v>
      </c>
      <c r="GN5" s="21">
        <f>EXP(-LN(2)/2)*GN4+(1-EXP(-LN(2)/2))/(LN(2)/2)*GH5*GK5*VLOOKUP('Données projet'!$B$17,Paramètres!$A$1:$I$89,3,0)*0.475*44/12</f>
        <v>0</v>
      </c>
      <c r="GO5" s="21">
        <f t="shared" si="27"/>
        <v>0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63.240762086197037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1.4000000000000001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5.1333333333333337</v>
      </c>
      <c r="H6" s="67">
        <f t="shared" si="1"/>
        <v>236.13333333333335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63.358019752609394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3.65</v>
      </c>
      <c r="N6" s="13">
        <f>IF('Données projet'!$A$36&gt;35,N5+M6-V5,IF(A6&lt;'Données projet'!$A$36,$K$205^A6,IF(A6='Données projet'!$A$36,'Données projet'!$B$36,N5+M6-V5)))</f>
        <v>1.9032613528593461</v>
      </c>
      <c r="O6" s="13">
        <f>N6*VLOOKUP('Données projet'!$B$9,Paramètres!$A$1:$I$89,3,0)*VLOOKUP('Données projet'!$B$9,Paramètres!$A$1:$I$89,5,0)</f>
        <v>1.7220708720671365</v>
      </c>
      <c r="P6" s="13">
        <f t="shared" si="33"/>
        <v>0.74494935243383209</v>
      </c>
      <c r="Q6" s="20">
        <f t="shared" si="2"/>
        <v>4.2967268910058536</v>
      </c>
      <c r="R6" s="59">
        <f t="shared" si="0"/>
        <v>240.2761326505736</v>
      </c>
      <c r="S6" s="59">
        <f ca="1">AVERAGE(OFFSET($R$3,0,0,'Données projet'!$E$9+1,1))-AVERAGE(OFFSET($H$3,0,0,'Données projet'!$E$9+1,1))</f>
        <v>479.46542424895119</v>
      </c>
      <c r="T6" s="59">
        <f t="shared" si="34"/>
        <v>337.96395820277337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63.358019752609394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3.65</v>
      </c>
      <c r="AI6" s="13">
        <f>IF('Données projet'!$A$62&gt;35,AI5+AH6-AQ5,IF(A6&lt;'Données projet'!$A$62,$AF$205^A6,IF(A6='Données projet'!$A$62,'Données projet'!$B$62,AI5+AH6-AQ5)))</f>
        <v>1.9032613528593461</v>
      </c>
      <c r="AJ6" s="13">
        <f>AI6*VLOOKUP('Données projet'!$B$10,Paramètres!$A$1:$I$89,3,0)*VLOOKUP('Données projet'!$B$10,Paramètres!$A$1:$I$89,5,0)</f>
        <v>1.8408343804855598</v>
      </c>
      <c r="AK6" s="13">
        <f t="shared" si="35"/>
        <v>0.79016732850363813</v>
      </c>
      <c r="AL6" s="20">
        <f t="shared" si="4"/>
        <v>4.5823279764895188</v>
      </c>
      <c r="AM6" s="59">
        <f t="shared" si="5"/>
        <v>240.56173373605728</v>
      </c>
      <c r="AN6" s="59">
        <f ca="1">AVERAGE(OFFSET($AM$3,0,0,'Données projet'!$E$10+1,1))-AVERAGE(OFFSET($H$3,0,0,'Données projet'!$E$10+1,1))</f>
        <v>508.94560627895089</v>
      </c>
      <c r="AO6" s="59">
        <f t="shared" si="36"/>
        <v>357.86868650263034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63.358019752609394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5.85</v>
      </c>
      <c r="BD6" s="12">
        <f>IF('Données projet'!$A$88&gt;35,BD5+BC6-BL5,IF(A6&lt;'Données projet'!$A$88,$BA$205^A6,IF(A6='Données projet'!$A$88,'Données projet'!$B$88,BD5+BC6-BL5)))</f>
        <v>2.0428095489444726</v>
      </c>
      <c r="BE6" s="13">
        <f>BD6*VLOOKUP('Données projet'!$B$11,Paramètres!$A$1:$I$89,3,0)*VLOOKUP('Données projet'!$B$11,Paramètres!$A$1:$I$89,5,0)</f>
        <v>1.5933914481766887</v>
      </c>
      <c r="BF6" s="13">
        <f t="shared" si="37"/>
        <v>0.69554336150668106</v>
      </c>
      <c r="BG6" s="20">
        <f t="shared" si="7"/>
        <v>3.9865614601985349</v>
      </c>
      <c r="BH6" s="59">
        <f t="shared" si="8"/>
        <v>239.9659672197663</v>
      </c>
      <c r="BI6" s="59">
        <f ca="1">AVERAGE(OFFSET($BH$3,0,0,'Données projet'!$E$11+1,1))-AVERAGE(OFFSET($H$3,0,0,'Données projet'!$E$11+1,1))</f>
        <v>383.03154033422328</v>
      </c>
      <c r="BJ6" s="59">
        <f t="shared" si="38"/>
        <v>373.27897156169877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63.358019752609394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3.65</v>
      </c>
      <c r="BY6" s="12">
        <f>IF('Données projet'!$A$114&gt;35,BY5+BX6-CG5,IF(A6&lt;'Données projet'!$A$114,$BV$205^A6,IF(A6='Données projet'!$A$114,'Données projet'!$B$114,BY5+BX6-CG5)))</f>
        <v>1.9032613528593461</v>
      </c>
      <c r="BZ6" s="13">
        <f>BY6*VLOOKUP('Données projet'!$B$12,Paramètres!$A$1:$I$89,3,0)*VLOOKUP('Données projet'!$B$12,Paramètres!$A$1:$I$89,5,0)</f>
        <v>1.6033073636487132</v>
      </c>
      <c r="CA6" s="13">
        <f t="shared" si="39"/>
        <v>0.69936661672428513</v>
      </c>
      <c r="CB6" s="20">
        <f t="shared" si="10"/>
        <v>4.0104905158163051</v>
      </c>
      <c r="CC6" s="59">
        <f t="shared" si="11"/>
        <v>239.98989627538407</v>
      </c>
      <c r="CD6" s="59">
        <f ca="1">AVERAGE(OFFSET($CC$3,0,0,'Données projet'!$E$12+1,1))-AVERAGE(OFFSET($H$3,0,0,'Données projet'!$E$12+1,1))</f>
        <v>449.94334483948603</v>
      </c>
      <c r="CE6" s="59">
        <f t="shared" si="40"/>
        <v>318.02929110264176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63.358019752609394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1.6</v>
      </c>
      <c r="CT6" s="12">
        <f>IF('Données projet'!$A$140&gt;35,CT5+CS6-DB5,IF(A6&lt;'Données projet'!$A$140,$CQ$205^A6,IF(A6='Données projet'!$A$140,'Données projet'!$B$140,CT5+CS6-DB5)))</f>
        <v>1.6817928305074288</v>
      </c>
      <c r="CU6" s="17">
        <f>CT6*VLOOKUP('Données projet'!$B$13,Paramètres!$A$1:$I$89,3,0)*VLOOKUP('Données projet'!$B$13,Paramètres!$A$1:$I$89,5,0)</f>
        <v>1.4429782485753739</v>
      </c>
      <c r="CV6" s="13">
        <f t="shared" si="41"/>
        <v>0.6371974227238163</v>
      </c>
      <c r="CW6" s="20">
        <f t="shared" si="13"/>
        <v>3.6229726275127558</v>
      </c>
      <c r="CX6" s="59">
        <f t="shared" si="14"/>
        <v>239.60237838708051</v>
      </c>
      <c r="CY6" s="59">
        <f ca="1">AVERAGE(OFFSET($CX$3,0,0,'Données projet'!$E$13+1,1))-AVERAGE(OFFSET($H$3,0,0,'Données projet'!$E$13+1,1))</f>
        <v>565.32667500225568</v>
      </c>
      <c r="CZ6" s="59">
        <f t="shared" si="42"/>
        <v>275.06957234480944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63.358019752609394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2.7</v>
      </c>
      <c r="DO6" s="12">
        <f>IF('Données projet'!$A$166&gt;35,DO5+DN6-DW5,IF(A6&lt;'Données projet'!$A$166,$DL$205^A6,IF(A6='Données projet'!$A$166,'Données projet'!$B$166,DO5+DN6-DW5)))</f>
        <v>2.6878753795222861</v>
      </c>
      <c r="DP6" s="17">
        <f>DO6*VLOOKUP('Données projet'!$B$14,Paramètres!$A$1:$I$89,3,0)*VLOOKUP('Données projet'!$B$14,Paramètres!$A$1:$I$89,5,0)</f>
        <v>1.5025223371529579</v>
      </c>
      <c r="DQ6" s="13">
        <f t="shared" si="43"/>
        <v>0.66037564050417386</v>
      </c>
      <c r="DR6" s="20">
        <f t="shared" si="16"/>
        <v>3.7670473110861704</v>
      </c>
      <c r="DS6" s="59">
        <f t="shared" si="17"/>
        <v>239.74645307065393</v>
      </c>
      <c r="DT6" s="59">
        <f ca="1">AVERAGE(OFFSET($DS$3,0,0,'Données projet'!$E$14+1,1))-AVERAGE(OFFSET($H$3,0,0,'Données projet'!$E$14+1,1))</f>
        <v>532.64469322244281</v>
      </c>
      <c r="DU6" s="59">
        <f t="shared" si="44"/>
        <v>525.88014011096413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63.358019752609394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2.1</v>
      </c>
      <c r="EJ6" s="12">
        <f>IF('Données projet'!$A$192&gt;35,EJ5+EI6-ER5,IF(A6&lt;'Données projet'!$A$192,$EG$205^A6,IF(A6='Données projet'!$A$192,'Données projet'!$B$192,EJ5+EI6-ER5)))</f>
        <v>1.7518115829322798</v>
      </c>
      <c r="EK6" s="17">
        <f>EJ6*VLOOKUP('Données projet'!$B$15,Paramètres!$A$1:$I$89,3,0)*VLOOKUP('Données projet'!$B$15,Paramètres!$A$1:$I$89,5,0)</f>
        <v>1.5850391202371266</v>
      </c>
      <c r="EL6" s="13">
        <f t="shared" si="45"/>
        <v>0.69232082604846479</v>
      </c>
      <c r="EM6" s="20">
        <f t="shared" si="19"/>
        <v>3.966401906447405</v>
      </c>
      <c r="EN6" s="59">
        <f t="shared" si="20"/>
        <v>239.94580766601516</v>
      </c>
      <c r="EO6" s="59">
        <f ca="1">AVERAGE(OFFSET($EN$3,0,0,'Données projet'!$E$15+1,1))-AVERAGE(OFFSET($H$3,0,0,'Données projet'!$E$15+1,1))</f>
        <v>398.27843768730202</v>
      </c>
      <c r="EP6" s="59">
        <f t="shared" si="46"/>
        <v>252.3617347568813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63.358019752609394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2.1</v>
      </c>
      <c r="FE6" s="12">
        <f>IF('Données projet'!$A$218&gt;35,FE5+FD6-FM5,IF(A6&lt;'Données projet'!$A$218,$FB$205^A6,IF(A6='Données projet'!$A$218,'Données projet'!$B$218,FE5+FD6-FM5)))</f>
        <v>1.7518115829322798</v>
      </c>
      <c r="FF6" s="17">
        <f>FE6*VLOOKUP('Données projet'!$B$16,Paramètres!$A$1:$I$89,3,0)*VLOOKUP('Données projet'!$B$16,Paramètres!$A$1:$I$89,5,0)</f>
        <v>1.694352163012101</v>
      </c>
      <c r="FG6" s="13">
        <f t="shared" si="47"/>
        <v>0.73434428233124405</v>
      </c>
      <c r="FH6" s="20">
        <f t="shared" si="22"/>
        <v>4.2299796423063247</v>
      </c>
      <c r="FI6" s="59">
        <f t="shared" si="23"/>
        <v>240.20938540187407</v>
      </c>
      <c r="FJ6" s="59">
        <f ca="1">AVERAGE(OFFSET($FI$3,0,0,'Données projet'!$E$16+1,1))-AVERAGE(OFFSET($H$3,0,0,'Données projet'!$E$16+1,1))</f>
        <v>422.28024471365825</v>
      </c>
      <c r="FK6" s="59">
        <f t="shared" si="48"/>
        <v>266.49730479813206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63.358019752609394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3.56</v>
      </c>
      <c r="FZ6" s="12">
        <f>IF('Données projet'!$A$244&gt;35,FZ5+FY6-GH5,IF(A6&lt;'Données projet'!$A$244,$FW$205^A6,IF(A6='Données projet'!$A$244,'Données projet'!$B$244,FZ5+FY6-GH5)))</f>
        <v>1.7136684488168334</v>
      </c>
      <c r="GA6" s="17">
        <f>FZ6*VLOOKUP('Données projet'!$B$17,Paramètres!$A$1:$I$89,3,0)*VLOOKUP('Données projet'!$B$17,Paramètres!$A$1:$I$89,5,0)</f>
        <v>1.33666139007713</v>
      </c>
      <c r="GB6" s="13">
        <f t="shared" si="49"/>
        <v>0.59553127926010163</v>
      </c>
      <c r="GC6" s="20">
        <f t="shared" si="25"/>
        <v>3.3652355657623452</v>
      </c>
      <c r="GD6" s="59">
        <f t="shared" si="26"/>
        <v>239.34464132533009</v>
      </c>
      <c r="GE6" s="59">
        <f ca="1">AVERAGE(OFFSET($GD$3,0,0,'Données projet'!$E$17+1,1))-AVERAGE(OFFSET($H$3,0,0,'Données projet'!$E$17+1,1))</f>
        <v>300.95722646933314</v>
      </c>
      <c r="GF6" s="59">
        <f t="shared" si="50"/>
        <v>269.52365224623759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>
        <f>EXP(-LN(2)/35)*GL5+(1-EXP(-LN(2)/35))/(LN(2)/35)*GH6*GI6*VLOOKUP('Données projet'!$B$17,Paramètres!$A$1:$I$89,3,0)*0.475*44/12</f>
        <v>0</v>
      </c>
      <c r="GM6" s="21">
        <f>EXP(-LN(2)/25)*GM5+(1-EXP(-LN(2)/25))/(LN(2)/25)*Calculateur!GH6*Calculateur!GJ6*VLOOKUP('Données projet'!$B$17,Paramètres!$A$1:$I$89,3,0)*0.475*44/12</f>
        <v>0</v>
      </c>
      <c r="GN6" s="21">
        <f>EXP(-LN(2)/2)*GN5+(1-EXP(-LN(2)/2))/(LN(2)/2)*GH6*GK6*VLOOKUP('Données projet'!$B$17,Paramètres!$A$1:$I$89,3,0)*0.475*44/12</f>
        <v>0</v>
      </c>
      <c r="GO6" s="21">
        <f t="shared" si="27"/>
        <v>0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63.358019752609394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1.4000000000000001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5.1333333333333337</v>
      </c>
      <c r="H7" s="67">
        <f t="shared" si="1"/>
        <v>236.13333333333335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63.473243260658364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3.65</v>
      </c>
      <c r="N7" s="13">
        <f>IF('Données projet'!$A$36&gt;35,N6+M7-V6,IF(A7&lt;'Données projet'!$A$36,$K$205^A7,IF(A7='Données projet'!$A$36,'Données projet'!$B$36,N6+M7-V6)))</f>
        <v>2.3586558182407358</v>
      </c>
      <c r="O7" s="13">
        <f>N7*VLOOKUP('Données projet'!$B$9,Paramètres!$A$1:$I$89,3,0)*VLOOKUP('Données projet'!$B$9,Paramètres!$A$1:$I$89,5,0)</f>
        <v>2.1341117843442179</v>
      </c>
      <c r="P7" s="13">
        <f t="shared" si="33"/>
        <v>0.90042667189585779</v>
      </c>
      <c r="Q7" s="20">
        <f t="shared" si="2"/>
        <v>5.2851544779514645</v>
      </c>
      <c r="R7" s="59">
        <f t="shared" si="0"/>
        <v>242.90926865592101</v>
      </c>
      <c r="S7" s="59">
        <f ca="1">AVERAGE(OFFSET($R$3,0,0,'Données projet'!$E$9+1,1))-AVERAGE(OFFSET($H$3,0,0,'Données projet'!$E$9+1,1))</f>
        <v>479.46542424895119</v>
      </c>
      <c r="T7" s="59">
        <f t="shared" si="34"/>
        <v>337.96395820277337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63.473243260658364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3.65</v>
      </c>
      <c r="AI7" s="13">
        <f>IF('Données projet'!$A$62&gt;35,AI6+AH7-AQ6,IF(A7&lt;'Données projet'!$A$62,$AF$205^A7,IF(A7='Données projet'!$A$62,'Données projet'!$B$62,AI6+AH7-AQ6)))</f>
        <v>2.3586558182407358</v>
      </c>
      <c r="AJ7" s="13">
        <f>AI7*VLOOKUP('Données projet'!$B$10,Paramètres!$A$1:$I$89,3,0)*VLOOKUP('Données projet'!$B$10,Paramètres!$A$1:$I$89,5,0)</f>
        <v>2.2812919074024398</v>
      </c>
      <c r="AK7" s="13">
        <f t="shared" si="35"/>
        <v>0.95508202741684722</v>
      </c>
      <c r="AL7" s="20">
        <f t="shared" si="4"/>
        <v>5.6366846031435918</v>
      </c>
      <c r="AM7" s="59">
        <f t="shared" si="5"/>
        <v>243.26079878111312</v>
      </c>
      <c r="AN7" s="59">
        <f ca="1">AVERAGE(OFFSET($AM$3,0,0,'Données projet'!$E$10+1,1))-AVERAGE(OFFSET($H$3,0,0,'Données projet'!$E$10+1,1))</f>
        <v>508.94560627895089</v>
      </c>
      <c r="AO7" s="59">
        <f t="shared" si="36"/>
        <v>357.86868650263034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63.473243260658364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5.85</v>
      </c>
      <c r="BD7" s="12">
        <f>IF('Données projet'!$A$88&gt;35,BD6+BC7-BL6,IF(A7&lt;'Données projet'!$A$88,$BA$205^A7,IF(A7='Données projet'!$A$88,'Données projet'!$B$88,BD6+BC7-BL6)))</f>
        <v>2.5920129819855133</v>
      </c>
      <c r="BE7" s="13">
        <f>BD7*VLOOKUP('Données projet'!$B$11,Paramètres!$A$1:$I$89,3,0)*VLOOKUP('Données projet'!$B$11,Paramètres!$A$1:$I$89,5,0)</f>
        <v>2.0217701259487004</v>
      </c>
      <c r="BF7" s="13">
        <f t="shared" si="37"/>
        <v>0.85841374167501538</v>
      </c>
      <c r="BG7" s="20">
        <f t="shared" si="7"/>
        <v>5.0163202361113051</v>
      </c>
      <c r="BH7" s="59">
        <f t="shared" si="8"/>
        <v>242.64043441408086</v>
      </c>
      <c r="BI7" s="59">
        <f ca="1">AVERAGE(OFFSET($BH$3,0,0,'Données projet'!$E$11+1,1))-AVERAGE(OFFSET($H$3,0,0,'Données projet'!$E$11+1,1))</f>
        <v>383.03154033422328</v>
      </c>
      <c r="BJ7" s="59">
        <f t="shared" si="38"/>
        <v>373.27897156169877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63.473243260658364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3.65</v>
      </c>
      <c r="BY7" s="12">
        <f>IF('Données projet'!$A$114&gt;35,BY6+BX7-CG6,IF(A7&lt;'Données projet'!$A$114,$BV$205^A7,IF(A7='Données projet'!$A$114,'Données projet'!$B$114,BY6+BX7-CG6)))</f>
        <v>2.3586558182407358</v>
      </c>
      <c r="BZ7" s="13">
        <f>BY7*VLOOKUP('Données projet'!$B$12,Paramètres!$A$1:$I$89,3,0)*VLOOKUP('Données projet'!$B$12,Paramètres!$A$1:$I$89,5,0)</f>
        <v>1.9869316612859962</v>
      </c>
      <c r="CA7" s="13">
        <f t="shared" si="39"/>
        <v>0.84533042826968274</v>
      </c>
      <c r="CB7" s="20">
        <f t="shared" si="10"/>
        <v>4.9328564726428068</v>
      </c>
      <c r="CC7" s="59">
        <f t="shared" si="11"/>
        <v>242.55697065061236</v>
      </c>
      <c r="CD7" s="59">
        <f ca="1">AVERAGE(OFFSET($CC$3,0,0,'Données projet'!$E$12+1,1))-AVERAGE(OFFSET($H$3,0,0,'Données projet'!$E$12+1,1))</f>
        <v>449.94334483948603</v>
      </c>
      <c r="CE7" s="59">
        <f t="shared" si="40"/>
        <v>318.02929110264176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63.473243260658364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1.6</v>
      </c>
      <c r="CT7" s="12">
        <f>IF('Données projet'!$A$140&gt;35,CT6+CS7-DB6,IF(A7&lt;'Données projet'!$A$140,$CQ$205^A7,IF(A7='Données projet'!$A$140,'Données projet'!$B$140,CT6+CS7-DB6)))</f>
        <v>1.9999999999999996</v>
      </c>
      <c r="CU7" s="17">
        <f>CT7*VLOOKUP('Données projet'!$B$13,Paramètres!$A$1:$I$89,3,0)*VLOOKUP('Données projet'!$B$13,Paramètres!$A$1:$I$89,5,0)</f>
        <v>1.7159999999999997</v>
      </c>
      <c r="CV7" s="13">
        <f t="shared" si="41"/>
        <v>0.74262837066960552</v>
      </c>
      <c r="CW7" s="20">
        <f t="shared" si="13"/>
        <v>4.2821110789162296</v>
      </c>
      <c r="CX7" s="59">
        <f t="shared" si="14"/>
        <v>241.90622525688576</v>
      </c>
      <c r="CY7" s="59">
        <f ca="1">AVERAGE(OFFSET($CX$3,0,0,'Données projet'!$E$13+1,1))-AVERAGE(OFFSET($H$3,0,0,'Données projet'!$E$13+1,1))</f>
        <v>565.32667500225568</v>
      </c>
      <c r="CZ7" s="59">
        <f t="shared" si="42"/>
        <v>275.06957234480944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63.473243260658364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2.7</v>
      </c>
      <c r="DO7" s="12">
        <f>IF('Données projet'!$A$166&gt;35,DO6+DN7-DW6,IF(A7&lt;'Données projet'!$A$166,$DL$205^A7,IF(A7='Données projet'!$A$166,'Données projet'!$B$166,DO6+DN7-DW6)))</f>
        <v>3.7371928188465509</v>
      </c>
      <c r="DP7" s="17">
        <f>DO7*VLOOKUP('Données projet'!$B$14,Paramètres!$A$1:$I$89,3,0)*VLOOKUP('Données projet'!$B$14,Paramètres!$A$1:$I$89,5,0)</f>
        <v>2.0890907857352219</v>
      </c>
      <c r="DQ7" s="13">
        <f t="shared" si="43"/>
        <v>0.88362164787137598</v>
      </c>
      <c r="DR7" s="20">
        <f t="shared" si="16"/>
        <v>5.1774741551981576</v>
      </c>
      <c r="DS7" s="59">
        <f t="shared" si="17"/>
        <v>242.8015883331677</v>
      </c>
      <c r="DT7" s="59">
        <f ca="1">AVERAGE(OFFSET($DS$3,0,0,'Données projet'!$E$14+1,1))-AVERAGE(OFFSET($H$3,0,0,'Données projet'!$E$14+1,1))</f>
        <v>532.64469322244281</v>
      </c>
      <c r="DU7" s="59">
        <f t="shared" si="44"/>
        <v>525.88014011096413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63.473243260658364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2.1</v>
      </c>
      <c r="EJ7" s="12">
        <f>IF('Données projet'!$A$192&gt;35,EJ6+EI7-ER6,IF(A7&lt;'Données projet'!$A$192,$EG$205^A7,IF(A7='Données projet'!$A$192,'Données projet'!$B$192,EJ6+EI7-ER6)))</f>
        <v>2.1117857649667546</v>
      </c>
      <c r="EK7" s="17">
        <f>EJ7*VLOOKUP('Données projet'!$B$15,Paramètres!$A$1:$I$89,3,0)*VLOOKUP('Données projet'!$B$15,Paramètres!$A$1:$I$89,5,0)</f>
        <v>1.9107437601419195</v>
      </c>
      <c r="EL7" s="13">
        <f t="shared" si="45"/>
        <v>0.81662477151702284</v>
      </c>
      <c r="EM7" s="20">
        <f t="shared" si="19"/>
        <v>4.7501668593059909</v>
      </c>
      <c r="EN7" s="59">
        <f t="shared" si="20"/>
        <v>242.37428103727552</v>
      </c>
      <c r="EO7" s="59">
        <f ca="1">AVERAGE(OFFSET($EN$3,0,0,'Données projet'!$E$15+1,1))-AVERAGE(OFFSET($H$3,0,0,'Données projet'!$E$15+1,1))</f>
        <v>398.27843768730202</v>
      </c>
      <c r="EP7" s="59">
        <f t="shared" si="46"/>
        <v>252.3617347568813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63.473243260658364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2.1</v>
      </c>
      <c r="FE7" s="12">
        <f>IF('Données projet'!$A$218&gt;35,FE6+FD7-FM6,IF(A7&lt;'Données projet'!$A$218,$FB$205^A7,IF(A7='Données projet'!$A$218,'Données projet'!$B$218,FE6+FD7-FM6)))</f>
        <v>2.1117857649667546</v>
      </c>
      <c r="FF7" s="17">
        <f>FE7*VLOOKUP('Données projet'!$B$16,Paramètres!$A$1:$I$89,3,0)*VLOOKUP('Données projet'!$B$16,Paramètres!$A$1:$I$89,5,0)</f>
        <v>2.042519191875845</v>
      </c>
      <c r="FG7" s="13">
        <f t="shared" si="47"/>
        <v>0.86619340226463792</v>
      </c>
      <c r="FH7" s="20">
        <f t="shared" si="22"/>
        <v>5.0660077681280073</v>
      </c>
      <c r="FI7" s="59">
        <f t="shared" si="23"/>
        <v>242.69012194609755</v>
      </c>
      <c r="FJ7" s="59">
        <f ca="1">AVERAGE(OFFSET($FI$3,0,0,'Données projet'!$E$16+1,1))-AVERAGE(OFFSET($H$3,0,0,'Données projet'!$E$16+1,1))</f>
        <v>422.28024471365825</v>
      </c>
      <c r="FK7" s="59">
        <f t="shared" si="48"/>
        <v>266.49730479813206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63.473243260658364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3.56</v>
      </c>
      <c r="FZ7" s="12">
        <f>IF('Données projet'!$A$244&gt;35,FZ6+FY7-GH6,IF(A7&lt;'Données projet'!$A$244,$FW$205^A7,IF(A7='Données projet'!$A$244,'Données projet'!$B$244,FZ6+FY7-GH6)))</f>
        <v>2.0507012732339978</v>
      </c>
      <c r="GA7" s="17">
        <f>FZ7*VLOOKUP('Données projet'!$B$17,Paramètres!$A$1:$I$89,3,0)*VLOOKUP('Données projet'!$B$17,Paramètres!$A$1:$I$89,5,0)</f>
        <v>1.5995469931225184</v>
      </c>
      <c r="GB7" s="13">
        <f t="shared" si="49"/>
        <v>0.69791706476400706</v>
      </c>
      <c r="GC7" s="20">
        <f t="shared" si="25"/>
        <v>4.0014165674856983</v>
      </c>
      <c r="GD7" s="59">
        <f t="shared" si="26"/>
        <v>241.62553074545525</v>
      </c>
      <c r="GE7" s="59">
        <f ca="1">AVERAGE(OFFSET($GD$3,0,0,'Données projet'!$E$17+1,1))-AVERAGE(OFFSET($H$3,0,0,'Données projet'!$E$17+1,1))</f>
        <v>300.95722646933314</v>
      </c>
      <c r="GF7" s="59">
        <f t="shared" si="50"/>
        <v>269.52365224623759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>
        <f>EXP(-LN(2)/35)*GL6+(1-EXP(-LN(2)/35))/(LN(2)/35)*GH7*GI7*VLOOKUP('Données projet'!$B$17,Paramètres!$A$1:$I$89,3,0)*0.475*44/12</f>
        <v>0</v>
      </c>
      <c r="GM7" s="21">
        <f>EXP(-LN(2)/25)*GM6+(1-EXP(-LN(2)/25))/(LN(2)/25)*Calculateur!GH7*Calculateur!GJ7*VLOOKUP('Données projet'!$B$17,Paramètres!$A$1:$I$89,3,0)*0.475*44/12</f>
        <v>0</v>
      </c>
      <c r="GN7" s="21">
        <f>EXP(-LN(2)/2)*GN6+(1-EXP(-LN(2)/2))/(LN(2)/2)*GH7*GK7*VLOOKUP('Données projet'!$B$17,Paramètres!$A$1:$I$89,3,0)*0.475*44/12</f>
        <v>0</v>
      </c>
      <c r="GO7" s="21">
        <f t="shared" si="27"/>
        <v>0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63.473243260658364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1.4000000000000001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5.1333333333333337</v>
      </c>
      <c r="H8" s="67">
        <f t="shared" si="1"/>
        <v>236.13333333333335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63.586467898443857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3.65</v>
      </c>
      <c r="N8" s="13">
        <f>IF('Données projet'!$A$36&gt;35,N7+M8-V7,IF(A8&lt;'Données projet'!$A$36,$K$205^A8,IF(A8='Données projet'!$A$36,'Données projet'!$B$36,N7+M8-V7)))</f>
        <v>2.9230127856917649</v>
      </c>
      <c r="O8" s="13">
        <f>N8*VLOOKUP('Données projet'!$B$9,Paramètres!$A$1:$I$89,3,0)*VLOOKUP('Données projet'!$B$9,Paramètres!$A$1:$I$89,5,0)</f>
        <v>2.6447419684939089</v>
      </c>
      <c r="P8" s="13">
        <f t="shared" si="33"/>
        <v>1.0883534414958294</v>
      </c>
      <c r="Q8" s="20">
        <f t="shared" si="2"/>
        <v>6.5018078390654601</v>
      </c>
      <c r="R8" s="59">
        <f t="shared" si="0"/>
        <v>245.76330124447074</v>
      </c>
      <c r="S8" s="59">
        <f ca="1">AVERAGE(OFFSET($R$3,0,0,'Données projet'!$E$9+1,1))-AVERAGE(OFFSET($H$3,0,0,'Données projet'!$E$9+1,1))</f>
        <v>479.46542424895119</v>
      </c>
      <c r="T8" s="59">
        <f t="shared" si="34"/>
        <v>337.96395820277337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63.586467898443857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3.65</v>
      </c>
      <c r="AI8" s="13">
        <f>IF('Données projet'!$A$62&gt;35,AI7+AH8-AQ7,IF(A8&lt;'Données projet'!$A$62,$AF$205^A8,IF(A8='Données projet'!$A$62,'Données projet'!$B$62,AI7+AH8-AQ7)))</f>
        <v>2.9230127856917649</v>
      </c>
      <c r="AJ8" s="13">
        <f>AI8*VLOOKUP('Données projet'!$B$10,Paramètres!$A$1:$I$89,3,0)*VLOOKUP('Données projet'!$B$10,Paramètres!$A$1:$I$89,5,0)</f>
        <v>2.8271379663210752</v>
      </c>
      <c r="AK8" s="13">
        <f t="shared" si="35"/>
        <v>1.1544158385061292</v>
      </c>
      <c r="AL8" s="20">
        <f t="shared" si="4"/>
        <v>6.9345395434073795</v>
      </c>
      <c r="AM8" s="59">
        <f t="shared" si="5"/>
        <v>246.19603294881264</v>
      </c>
      <c r="AN8" s="59">
        <f ca="1">AVERAGE(OFFSET($AM$3,0,0,'Données projet'!$E$10+1,1))-AVERAGE(OFFSET($H$3,0,0,'Données projet'!$E$10+1,1))</f>
        <v>508.94560627895089</v>
      </c>
      <c r="AO8" s="59">
        <f t="shared" si="36"/>
        <v>357.86868650263034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63.586467898443857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5.85</v>
      </c>
      <c r="BD8" s="12">
        <f>IF('Données projet'!$A$88&gt;35,BD7+BC8-BL7,IF(A8&lt;'Données projet'!$A$88,$BA$205^A8,IF(A8='Données projet'!$A$88,'Données projet'!$B$88,BD7+BC8-BL7)))</f>
        <v>3.2888681679860574</v>
      </c>
      <c r="BE8" s="13">
        <f>BD8*VLOOKUP('Données projet'!$B$11,Paramètres!$A$1:$I$89,3,0)*VLOOKUP('Données projet'!$B$11,Paramètres!$A$1:$I$89,5,0)</f>
        <v>2.5653171710291249</v>
      </c>
      <c r="BF8" s="13">
        <f t="shared" si="37"/>
        <v>1.0594223058937526</v>
      </c>
      <c r="BG8" s="20">
        <f t="shared" si="7"/>
        <v>6.3130879223073455</v>
      </c>
      <c r="BH8" s="59">
        <f t="shared" si="8"/>
        <v>245.57458132771262</v>
      </c>
      <c r="BI8" s="59">
        <f ca="1">AVERAGE(OFFSET($BH$3,0,0,'Données projet'!$E$11+1,1))-AVERAGE(OFFSET($H$3,0,0,'Données projet'!$E$11+1,1))</f>
        <v>383.03154033422328</v>
      </c>
      <c r="BJ8" s="59">
        <f t="shared" si="38"/>
        <v>373.27897156169877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63.586467898443857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3.65</v>
      </c>
      <c r="BY8" s="12">
        <f>IF('Données projet'!$A$114&gt;35,BY7+BX8-CG7,IF(A8&lt;'Données projet'!$A$114,$BV$205^A8,IF(A8='Données projet'!$A$114,'Données projet'!$B$114,BY7+BX8-CG7)))</f>
        <v>2.9230127856917649</v>
      </c>
      <c r="BZ8" s="13">
        <f>BY8*VLOOKUP('Données projet'!$B$12,Paramètres!$A$1:$I$89,3,0)*VLOOKUP('Données projet'!$B$12,Paramètres!$A$1:$I$89,5,0)</f>
        <v>2.462345970666743</v>
      </c>
      <c r="CA8" s="13">
        <f t="shared" si="39"/>
        <v>1.021758139251189</v>
      </c>
      <c r="CB8" s="20">
        <f t="shared" si="10"/>
        <v>6.068147991440398</v>
      </c>
      <c r="CC8" s="59">
        <f t="shared" si="11"/>
        <v>245.32964139684566</v>
      </c>
      <c r="CD8" s="59">
        <f ca="1">AVERAGE(OFFSET($CC$3,0,0,'Données projet'!$E$12+1,1))-AVERAGE(OFFSET($H$3,0,0,'Données projet'!$E$12+1,1))</f>
        <v>449.94334483948603</v>
      </c>
      <c r="CE8" s="59">
        <f t="shared" si="40"/>
        <v>318.02929110264176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63.586467898443857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1.6</v>
      </c>
      <c r="CT8" s="12">
        <f>IF('Données projet'!$A$140&gt;35,CT7+CS8-DB7,IF(A8&lt;'Données projet'!$A$140,$CQ$205^A8,IF(A8='Données projet'!$A$140,'Données projet'!$B$140,CT7+CS8-DB7)))</f>
        <v>2.3784142300054416</v>
      </c>
      <c r="CU8" s="17">
        <f>CT8*VLOOKUP('Données projet'!$B$13,Paramètres!$A$1:$I$89,3,0)*VLOOKUP('Données projet'!$B$13,Paramètres!$A$1:$I$89,5,0)</f>
        <v>2.0406794093446692</v>
      </c>
      <c r="CV8" s="13">
        <f t="shared" si="41"/>
        <v>0.86550396667632346</v>
      </c>
      <c r="CW8" s="20">
        <f t="shared" si="13"/>
        <v>5.061602713236562</v>
      </c>
      <c r="CX8" s="59">
        <f t="shared" si="14"/>
        <v>244.32309611864184</v>
      </c>
      <c r="CY8" s="59">
        <f ca="1">AVERAGE(OFFSET($CX$3,0,0,'Données projet'!$E$13+1,1))-AVERAGE(OFFSET($H$3,0,0,'Données projet'!$E$13+1,1))</f>
        <v>565.32667500225568</v>
      </c>
      <c r="CZ8" s="59">
        <f t="shared" si="42"/>
        <v>275.06957234480944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63.586467898443857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2.7</v>
      </c>
      <c r="DO8" s="12">
        <f>IF('Données projet'!$A$166&gt;35,DO7+DN8-DW7,IF(A8&lt;'Données projet'!$A$166,$DL$205^A8,IF(A8='Données projet'!$A$166,'Données projet'!$B$166,DO7+DN8-DW7)))</f>
        <v>5.1961524227066302</v>
      </c>
      <c r="DP8" s="17">
        <f>DO8*VLOOKUP('Données projet'!$B$14,Paramètres!$A$1:$I$89,3,0)*VLOOKUP('Données projet'!$B$14,Paramètres!$A$1:$I$89,5,0)</f>
        <v>2.9046492042930061</v>
      </c>
      <c r="DQ8" s="13">
        <f t="shared" si="43"/>
        <v>1.1823380038531133</v>
      </c>
      <c r="DR8" s="20">
        <f t="shared" si="16"/>
        <v>7.1181693875211574</v>
      </c>
      <c r="DS8" s="59">
        <f t="shared" si="17"/>
        <v>246.37966279292644</v>
      </c>
      <c r="DT8" s="59">
        <f ca="1">AVERAGE(OFFSET($DS$3,0,0,'Données projet'!$E$14+1,1))-AVERAGE(OFFSET($H$3,0,0,'Données projet'!$E$14+1,1))</f>
        <v>532.64469322244281</v>
      </c>
      <c r="DU8" s="59">
        <f t="shared" si="44"/>
        <v>525.88014011096413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63.586467898443857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2.1</v>
      </c>
      <c r="EJ8" s="12">
        <f>IF('Données projet'!$A$192&gt;35,EJ7+EI8-ER7,IF(A8&lt;'Données projet'!$A$192,$EG$205^A8,IF(A8='Données projet'!$A$192,'Données projet'!$B$192,EJ7+EI8-ER7)))</f>
        <v>2.5457298950218314</v>
      </c>
      <c r="EK8" s="17">
        <f>EJ8*VLOOKUP('Données projet'!$B$15,Paramètres!$A$1:$I$89,3,0)*VLOOKUP('Données projet'!$B$15,Paramètres!$A$1:$I$89,5,0)</f>
        <v>2.3033764090157529</v>
      </c>
      <c r="EL8" s="13">
        <f t="shared" si="45"/>
        <v>0.96324708482559218</v>
      </c>
      <c r="EM8" s="20">
        <f t="shared" si="19"/>
        <v>5.6893692517736758</v>
      </c>
      <c r="EN8" s="59">
        <f t="shared" si="20"/>
        <v>244.95086265717896</v>
      </c>
      <c r="EO8" s="59">
        <f ca="1">AVERAGE(OFFSET($EN$3,0,0,'Données projet'!$E$15+1,1))-AVERAGE(OFFSET($H$3,0,0,'Données projet'!$E$15+1,1))</f>
        <v>398.27843768730202</v>
      </c>
      <c r="EP8" s="59">
        <f t="shared" si="46"/>
        <v>252.3617347568813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63.586467898443857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2.1</v>
      </c>
      <c r="FE8" s="12">
        <f>IF('Données projet'!$A$218&gt;35,FE7+FD8-FM7,IF(A8&lt;'Données projet'!$A$218,$FB$205^A8,IF(A8='Données projet'!$A$218,'Données projet'!$B$218,FE7+FD8-FM7)))</f>
        <v>2.5457298950218314</v>
      </c>
      <c r="FF8" s="17">
        <f>FE8*VLOOKUP('Données projet'!$B$16,Paramètres!$A$1:$I$89,3,0)*VLOOKUP('Données projet'!$B$16,Paramètres!$A$1:$I$89,5,0)</f>
        <v>2.4622299544651152</v>
      </c>
      <c r="FG8" s="13">
        <f t="shared" si="47"/>
        <v>1.021715601495419</v>
      </c>
      <c r="FH8" s="20">
        <f t="shared" si="22"/>
        <v>6.0678718432979295</v>
      </c>
      <c r="FI8" s="59">
        <f t="shared" si="23"/>
        <v>245.3293652487032</v>
      </c>
      <c r="FJ8" s="59">
        <f ca="1">AVERAGE(OFFSET($FI$3,0,0,'Données projet'!$E$16+1,1))-AVERAGE(OFFSET($H$3,0,0,'Données projet'!$E$16+1,1))</f>
        <v>422.28024471365825</v>
      </c>
      <c r="FK8" s="59">
        <f t="shared" si="48"/>
        <v>266.49730479813206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63.586467898443857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3.56</v>
      </c>
      <c r="FZ8" s="12">
        <f>IF('Données projet'!$A$244&gt;35,FZ7+FY8-GH7,IF(A8&lt;'Données projet'!$A$244,$FW$205^A8,IF(A8='Données projet'!$A$244,'Données projet'!$B$244,FZ7+FY8-GH7)))</f>
        <v>2.4540194545491301</v>
      </c>
      <c r="GA8" s="17">
        <f>FZ8*VLOOKUP('Données projet'!$B$17,Paramètres!$A$1:$I$89,3,0)*VLOOKUP('Données projet'!$B$17,Paramètres!$A$1:$I$89,5,0)</f>
        <v>1.9141351745483215</v>
      </c>
      <c r="GB8" s="13">
        <f t="shared" si="49"/>
        <v>0.81790536660639246</v>
      </c>
      <c r="GC8" s="20">
        <f t="shared" si="25"/>
        <v>4.7583039425111266</v>
      </c>
      <c r="GD8" s="59">
        <f t="shared" si="26"/>
        <v>244.01979734791641</v>
      </c>
      <c r="GE8" s="59">
        <f ca="1">AVERAGE(OFFSET($GD$3,0,0,'Données projet'!$E$17+1,1))-AVERAGE(OFFSET($H$3,0,0,'Données projet'!$E$17+1,1))</f>
        <v>300.95722646933314</v>
      </c>
      <c r="GF8" s="59">
        <f t="shared" si="50"/>
        <v>269.52365224623759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>
        <f>EXP(-LN(2)/35)*GL7+(1-EXP(-LN(2)/35))/(LN(2)/35)*GH8*GI8*VLOOKUP('Données projet'!$B$17,Paramètres!$A$1:$I$89,3,0)*0.475*44/12</f>
        <v>0</v>
      </c>
      <c r="GM8" s="21">
        <f>EXP(-LN(2)/25)*GM7+(1-EXP(-LN(2)/25))/(LN(2)/25)*Calculateur!GH8*Calculateur!GJ8*VLOOKUP('Données projet'!$B$17,Paramètres!$A$1:$I$89,3,0)*0.475*44/12</f>
        <v>0</v>
      </c>
      <c r="GN8" s="21">
        <f>EXP(-LN(2)/2)*GN7+(1-EXP(-LN(2)/2))/(LN(2)/2)*GH8*GK8*VLOOKUP('Données projet'!$B$17,Paramètres!$A$1:$I$89,3,0)*0.475*44/12</f>
        <v>0</v>
      </c>
      <c r="GO8" s="21">
        <f t="shared" si="27"/>
        <v>0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63.586467898443857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1.4000000000000001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5.1333333333333337</v>
      </c>
      <c r="H9" s="67">
        <f t="shared" si="1"/>
        <v>236.13333333333335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63.697728341896138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3.65</v>
      </c>
      <c r="N9" s="13">
        <f>IF('Données projet'!$A$36&gt;35,N8+M9-V8,IF(A9&lt;'Données projet'!$A$36,$K$205^A9,IF(A9='Données projet'!$A$36,'Données projet'!$B$36,N8+M9-V8)))</f>
        <v>3.6224037772879885</v>
      </c>
      <c r="O9" s="13">
        <f>N9*VLOOKUP('Données projet'!$B$9,Paramètres!$A$1:$I$89,3,0)*VLOOKUP('Données projet'!$B$9,Paramètres!$A$1:$I$89,5,0)</f>
        <v>3.2775509376901719</v>
      </c>
      <c r="P9" s="13">
        <f t="shared" si="33"/>
        <v>1.315502139804245</v>
      </c>
      <c r="Q9" s="20">
        <f t="shared" si="2"/>
        <v>7.9995674433027766</v>
      </c>
      <c r="R9" s="59">
        <f t="shared" si="0"/>
        <v>248.89123803025527</v>
      </c>
      <c r="S9" s="59">
        <f ca="1">AVERAGE(OFFSET($R$3,0,0,'Données projet'!$E$9+1,1))-AVERAGE(OFFSET($H$3,0,0,'Données projet'!$E$9+1,1))</f>
        <v>479.46542424895119</v>
      </c>
      <c r="T9" s="59">
        <f t="shared" si="34"/>
        <v>337.96395820277337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63.697728341896138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3.65</v>
      </c>
      <c r="AI9" s="13">
        <f>IF('Données projet'!$A$62&gt;35,AI8+AH9-AQ8,IF(A9&lt;'Données projet'!$A$62,$AF$205^A9,IF(A9='Données projet'!$A$62,'Données projet'!$B$62,AI8+AH9-AQ8)))</f>
        <v>3.6224037772879885</v>
      </c>
      <c r="AJ9" s="13">
        <f>AI9*VLOOKUP('Données projet'!$B$10,Paramètres!$A$1:$I$89,3,0)*VLOOKUP('Données projet'!$B$10,Paramètres!$A$1:$I$89,5,0)</f>
        <v>3.5035889333929422</v>
      </c>
      <c r="AK9" s="13">
        <f t="shared" si="35"/>
        <v>1.3953523257036018</v>
      </c>
      <c r="AL9" s="20">
        <f t="shared" si="4"/>
        <v>8.5323226929264795</v>
      </c>
      <c r="AM9" s="59">
        <f t="shared" si="5"/>
        <v>249.42399327987897</v>
      </c>
      <c r="AN9" s="59">
        <f ca="1">AVERAGE(OFFSET($AM$3,0,0,'Données projet'!$E$10+1,1))-AVERAGE(OFFSET($H$3,0,0,'Données projet'!$E$10+1,1))</f>
        <v>508.94560627895089</v>
      </c>
      <c r="AO9" s="59">
        <f t="shared" si="36"/>
        <v>357.86868650263034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63.697728341896138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5.85</v>
      </c>
      <c r="BD9" s="12">
        <f>IF('Données projet'!$A$88&gt;35,BD8+BC9-BL8,IF(A9&lt;'Données projet'!$A$88,$BA$205^A9,IF(A9='Données projet'!$A$88,'Données projet'!$B$88,BD8+BC9-BL8)))</f>
        <v>4.1730708532587206</v>
      </c>
      <c r="BE9" s="13">
        <f>BD9*VLOOKUP('Données projet'!$B$11,Paramètres!$A$1:$I$89,3,0)*VLOOKUP('Données projet'!$B$11,Paramètres!$A$1:$I$89,5,0)</f>
        <v>3.2549952655418024</v>
      </c>
      <c r="BF9" s="13">
        <f t="shared" si="37"/>
        <v>1.3074995980786071</v>
      </c>
      <c r="BG9" s="20">
        <f t="shared" si="7"/>
        <v>7.9463452208055463</v>
      </c>
      <c r="BH9" s="59">
        <f t="shared" si="8"/>
        <v>248.83801580775804</v>
      </c>
      <c r="BI9" s="59">
        <f ca="1">AVERAGE(OFFSET($BH$3,0,0,'Données projet'!$E$11+1,1))-AVERAGE(OFFSET($H$3,0,0,'Données projet'!$E$11+1,1))</f>
        <v>383.03154033422328</v>
      </c>
      <c r="BJ9" s="59">
        <f t="shared" si="38"/>
        <v>373.27897156169877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63.697728341896138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3.65</v>
      </c>
      <c r="BY9" s="12">
        <f>IF('Données projet'!$A$114&gt;35,BY8+BX9-CG8,IF(A9&lt;'Données projet'!$A$114,$BV$205^A9,IF(A9='Données projet'!$A$114,'Données projet'!$B$114,BY8+BX9-CG8)))</f>
        <v>3.6224037772879885</v>
      </c>
      <c r="BZ9" s="13">
        <f>BY9*VLOOKUP('Données projet'!$B$12,Paramètres!$A$1:$I$89,3,0)*VLOOKUP('Données projet'!$B$12,Paramètres!$A$1:$I$89,5,0)</f>
        <v>3.0515129419874016</v>
      </c>
      <c r="CA9" s="13">
        <f t="shared" si="39"/>
        <v>1.2350078267772846</v>
      </c>
      <c r="CB9" s="20">
        <f t="shared" si="10"/>
        <v>7.4656903389318279</v>
      </c>
      <c r="CC9" s="59">
        <f t="shared" si="11"/>
        <v>248.35736092588434</v>
      </c>
      <c r="CD9" s="59">
        <f ca="1">AVERAGE(OFFSET($CC$3,0,0,'Données projet'!$E$12+1,1))-AVERAGE(OFFSET($H$3,0,0,'Données projet'!$E$12+1,1))</f>
        <v>449.94334483948603</v>
      </c>
      <c r="CE9" s="59">
        <f t="shared" si="40"/>
        <v>318.02929110264176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63.697728341896138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1.6</v>
      </c>
      <c r="CT9" s="12">
        <f>IF('Données projet'!$A$140&gt;35,CT8+CS9-DB8,IF(A9&lt;'Données projet'!$A$140,$CQ$205^A9,IF(A9='Données projet'!$A$140,'Données projet'!$B$140,CT8+CS9-DB8)))</f>
        <v>2.8284271247461894</v>
      </c>
      <c r="CU9" s="17">
        <f>CT9*VLOOKUP('Données projet'!$B$13,Paramètres!$A$1:$I$89,3,0)*VLOOKUP('Données projet'!$B$13,Paramètres!$A$1:$I$89,5,0)</f>
        <v>2.4267904730322307</v>
      </c>
      <c r="CV9" s="13">
        <f t="shared" si="41"/>
        <v>1.0087106093953995</v>
      </c>
      <c r="CW9" s="20">
        <f t="shared" si="13"/>
        <v>5.9834977185614555</v>
      </c>
      <c r="CX9" s="59">
        <f t="shared" si="14"/>
        <v>246.87516830551397</v>
      </c>
      <c r="CY9" s="59">
        <f ca="1">AVERAGE(OFFSET($CX$3,0,0,'Données projet'!$E$13+1,1))-AVERAGE(OFFSET($H$3,0,0,'Données projet'!$E$13+1,1))</f>
        <v>565.32667500225568</v>
      </c>
      <c r="CZ9" s="59">
        <f t="shared" si="42"/>
        <v>275.06957234480944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63.697728341896138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2.7</v>
      </c>
      <c r="DO9" s="12">
        <f>IF('Données projet'!$A$166&gt;35,DO8+DN9-DW8,IF(A9&lt;'Données projet'!$A$166,$DL$205^A9,IF(A9='Données projet'!$A$166,'Données projet'!$B$166,DO8+DN9-DW8)))</f>
        <v>7.2246740558420726</v>
      </c>
      <c r="DP9" s="17">
        <f>DO9*VLOOKUP('Données projet'!$B$14,Paramètres!$A$1:$I$89,3,0)*VLOOKUP('Données projet'!$B$14,Paramètres!$A$1:$I$89,5,0)</f>
        <v>4.0385927972157187</v>
      </c>
      <c r="DQ9" s="13">
        <f t="shared" si="43"/>
        <v>1.5820381480274153</v>
      </c>
      <c r="DR9" s="20">
        <f t="shared" si="16"/>
        <v>9.7892655629651237</v>
      </c>
      <c r="DS9" s="59">
        <f t="shared" si="17"/>
        <v>250.68093614991761</v>
      </c>
      <c r="DT9" s="59">
        <f ca="1">AVERAGE(OFFSET($DS$3,0,0,'Données projet'!$E$14+1,1))-AVERAGE(OFFSET($H$3,0,0,'Données projet'!$E$14+1,1))</f>
        <v>532.64469322244281</v>
      </c>
      <c r="DU9" s="59">
        <f t="shared" si="44"/>
        <v>525.88014011096413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63.697728341896138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2.1</v>
      </c>
      <c r="EJ9" s="12">
        <f>IF('Données projet'!$A$192&gt;35,EJ8+EI9-ER8,IF(A9&lt;'Données projet'!$A$192,$EG$205^A9,IF(A9='Données projet'!$A$192,'Données projet'!$B$192,EJ8+EI9-ER8)))</f>
        <v>3.0688438220956993</v>
      </c>
      <c r="EK9" s="17">
        <f>EJ9*VLOOKUP('Données projet'!$B$15,Paramètres!$A$1:$I$89,3,0)*VLOOKUP('Données projet'!$B$15,Paramètres!$A$1:$I$89,5,0)</f>
        <v>2.7766898902321886</v>
      </c>
      <c r="EL9" s="13">
        <f t="shared" si="45"/>
        <v>1.1361949561012803</v>
      </c>
      <c r="EM9" s="20">
        <f t="shared" si="19"/>
        <v>6.8149411073641248</v>
      </c>
      <c r="EN9" s="59">
        <f t="shared" si="20"/>
        <v>247.70661169431662</v>
      </c>
      <c r="EO9" s="59">
        <f ca="1">AVERAGE(OFFSET($EN$3,0,0,'Données projet'!$E$15+1,1))-AVERAGE(OFFSET($H$3,0,0,'Données projet'!$E$15+1,1))</f>
        <v>398.27843768730202</v>
      </c>
      <c r="EP9" s="59">
        <f t="shared" si="46"/>
        <v>252.3617347568813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63.697728341896138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2.1</v>
      </c>
      <c r="FE9" s="12">
        <f>IF('Données projet'!$A$218&gt;35,FE8+FD9-FM8,IF(A9&lt;'Données projet'!$A$218,$FB$205^A9,IF(A9='Données projet'!$A$218,'Données projet'!$B$218,FE8+FD9-FM8)))</f>
        <v>3.0688438220956993</v>
      </c>
      <c r="FF9" s="17">
        <f>FE9*VLOOKUP('Données projet'!$B$16,Paramètres!$A$1:$I$89,3,0)*VLOOKUP('Données projet'!$B$16,Paramètres!$A$1:$I$89,5,0)</f>
        <v>2.9681857447309605</v>
      </c>
      <c r="FG9" s="13">
        <f t="shared" si="47"/>
        <v>1.2051613041728233</v>
      </c>
      <c r="FH9" s="20">
        <f t="shared" si="22"/>
        <v>7.2685794435074236</v>
      </c>
      <c r="FI9" s="59">
        <f t="shared" si="23"/>
        <v>248.16025003045993</v>
      </c>
      <c r="FJ9" s="59">
        <f ca="1">AVERAGE(OFFSET($FI$3,0,0,'Données projet'!$E$16+1,1))-AVERAGE(OFFSET($H$3,0,0,'Données projet'!$E$16+1,1))</f>
        <v>422.28024471365825</v>
      </c>
      <c r="FK9" s="59">
        <f t="shared" si="48"/>
        <v>266.49730479813206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63.697728341896138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3.56</v>
      </c>
      <c r="FZ9" s="12">
        <f>IF('Données projet'!$A$244&gt;35,FZ8+FY9-GH8,IF(A9&lt;'Données projet'!$A$244,$FW$205^A9,IF(A9='Données projet'!$A$244,'Données projet'!$B$244,FZ8+FY9-GH8)))</f>
        <v>2.9366595524702919</v>
      </c>
      <c r="GA9" s="17">
        <f>FZ9*VLOOKUP('Données projet'!$B$17,Paramètres!$A$1:$I$89,3,0)*VLOOKUP('Données projet'!$B$17,Paramètres!$A$1:$I$89,5,0)</f>
        <v>2.2905944509268279</v>
      </c>
      <c r="GB9" s="13">
        <f t="shared" si="49"/>
        <v>0.95852246992949186</v>
      </c>
      <c r="GC9" s="20">
        <f t="shared" si="25"/>
        <v>5.6588786371580904</v>
      </c>
      <c r="GD9" s="59">
        <f t="shared" si="26"/>
        <v>246.5505492241106</v>
      </c>
      <c r="GE9" s="59">
        <f ca="1">AVERAGE(OFFSET($GD$3,0,0,'Données projet'!$E$17+1,1))-AVERAGE(OFFSET($H$3,0,0,'Données projet'!$E$17+1,1))</f>
        <v>300.95722646933314</v>
      </c>
      <c r="GF9" s="59">
        <f t="shared" si="50"/>
        <v>269.52365224623759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>
        <f>EXP(-LN(2)/35)*GL8+(1-EXP(-LN(2)/35))/(LN(2)/35)*GH9*GI9*VLOOKUP('Données projet'!$B$17,Paramètres!$A$1:$I$89,3,0)*0.475*44/12</f>
        <v>0</v>
      </c>
      <c r="GM9" s="21">
        <f>EXP(-LN(2)/25)*GM8+(1-EXP(-LN(2)/25))/(LN(2)/25)*Calculateur!GH9*Calculateur!GJ9*VLOOKUP('Données projet'!$B$17,Paramètres!$A$1:$I$89,3,0)*0.475*44/12</f>
        <v>0</v>
      </c>
      <c r="GN9" s="21">
        <f>EXP(-LN(2)/2)*GN8+(1-EXP(-LN(2)/2))/(LN(2)/2)*GH9*GK9*VLOOKUP('Données projet'!$B$17,Paramètres!$A$1:$I$89,3,0)*0.475*44/12</f>
        <v>0</v>
      </c>
      <c r="GO9" s="21">
        <f t="shared" si="27"/>
        <v>0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63.697728341896138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1.4000000000000001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5.1333333333333337</v>
      </c>
      <c r="H10" s="67">
        <f t="shared" si="1"/>
        <v>236.13333333333335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63.807058665395616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3.65</v>
      </c>
      <c r="N10" s="13">
        <f>IF('Données projet'!$A$36&gt;35,N9+M10-V9,IF(A10&lt;'Données projet'!$A$36,$K$205^A10,IF(A10='Données projet'!$A$36,'Données projet'!$B$36,N9+M10-V9)))</f>
        <v>4.4891384635544309</v>
      </c>
      <c r="O10" s="13">
        <f>N10*VLOOKUP('Données projet'!$B$9,Paramètres!$A$1:$I$89,3,0)*VLOOKUP('Données projet'!$B$9,Paramètres!$A$1:$I$89,5,0)</f>
        <v>4.0617724818240486</v>
      </c>
      <c r="P10" s="13">
        <f t="shared" si="33"/>
        <v>1.590058719758437</v>
      </c>
      <c r="Q10" s="20">
        <f t="shared" si="2"/>
        <v>9.8436060094228282</v>
      </c>
      <c r="R10" s="59">
        <f t="shared" si="0"/>
        <v>252.35837667142891</v>
      </c>
      <c r="S10" s="59">
        <f ca="1">AVERAGE(OFFSET($R$3,0,0,'Données projet'!$E$9+1,1))-AVERAGE(OFFSET($H$3,0,0,'Données projet'!$E$9+1,1))</f>
        <v>479.46542424895119</v>
      </c>
      <c r="T10" s="59">
        <f t="shared" si="34"/>
        <v>337.96395820277337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63.807058665395616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3.65</v>
      </c>
      <c r="AI10" s="13">
        <f>IF('Données projet'!$A$62&gt;35,AI9+AH10-AQ9,IF(A10&lt;'Données projet'!$A$62,$AF$205^A10,IF(A10='Données projet'!$A$62,'Données projet'!$B$62,AI9+AH10-AQ9)))</f>
        <v>4.4891384635544309</v>
      </c>
      <c r="AJ10" s="13">
        <f>AI10*VLOOKUP('Données projet'!$B$10,Paramètres!$A$1:$I$89,3,0)*VLOOKUP('Données projet'!$B$10,Paramètres!$A$1:$I$89,5,0)</f>
        <v>4.3418947219498456</v>
      </c>
      <c r="AK10" s="13">
        <f t="shared" si="35"/>
        <v>1.6865743243491664</v>
      </c>
      <c r="AL10" s="20">
        <f t="shared" si="4"/>
        <v>10.499583588970779</v>
      </c>
      <c r="AM10" s="59">
        <f t="shared" si="5"/>
        <v>253.01435425097688</v>
      </c>
      <c r="AN10" s="59">
        <f ca="1">AVERAGE(OFFSET($AM$3,0,0,'Données projet'!$E$10+1,1))-AVERAGE(OFFSET($H$3,0,0,'Données projet'!$E$10+1,1))</f>
        <v>508.94560627895089</v>
      </c>
      <c r="AO10" s="59">
        <f t="shared" si="36"/>
        <v>357.86868650263034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63.807058665395616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5.85</v>
      </c>
      <c r="BD10" s="12">
        <f>IF('Données projet'!$A$88&gt;35,BD9+BC10-BL9,IF(A10&lt;'Données projet'!$A$88,$BA$205^A10,IF(A10='Données projet'!$A$88,'Données projet'!$B$88,BD9+BC10-BL9)))</f>
        <v>5.2949888705880443</v>
      </c>
      <c r="BE10" s="13">
        <f>BD10*VLOOKUP('Données projet'!$B$11,Paramètres!$A$1:$I$89,3,0)*VLOOKUP('Données projet'!$B$11,Paramètres!$A$1:$I$89,5,0)</f>
        <v>4.1300913190586748</v>
      </c>
      <c r="BF10" s="13">
        <f t="shared" si="37"/>
        <v>1.6136673633027767</v>
      </c>
      <c r="BG10" s="20">
        <f t="shared" si="7"/>
        <v>10.003713038446195</v>
      </c>
      <c r="BH10" s="59">
        <f t="shared" si="8"/>
        <v>252.51848370045229</v>
      </c>
      <c r="BI10" s="59">
        <f ca="1">AVERAGE(OFFSET($BH$3,0,0,'Données projet'!$E$11+1,1))-AVERAGE(OFFSET($H$3,0,0,'Données projet'!$E$11+1,1))</f>
        <v>383.03154033422328</v>
      </c>
      <c r="BJ10" s="59">
        <f t="shared" si="38"/>
        <v>373.27897156169877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63.807058665395616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3.65</v>
      </c>
      <c r="BY10" s="12">
        <f>IF('Données projet'!$A$114&gt;35,BY9+BX10-CG9,IF(A10&lt;'Données projet'!$A$114,$BV$205^A10,IF(A10='Données projet'!$A$114,'Données projet'!$B$114,BY9+BX10-CG9)))</f>
        <v>4.4891384635544309</v>
      </c>
      <c r="BZ10" s="13">
        <f>BY10*VLOOKUP('Données projet'!$B$12,Paramètres!$A$1:$I$89,3,0)*VLOOKUP('Données projet'!$B$12,Paramètres!$A$1:$I$89,5,0)</f>
        <v>3.7816502416982529</v>
      </c>
      <c r="CA10" s="13">
        <f t="shared" si="39"/>
        <v>1.492764553183741</v>
      </c>
      <c r="CB10" s="20">
        <f t="shared" si="10"/>
        <v>9.1862724344194735</v>
      </c>
      <c r="CC10" s="59">
        <f t="shared" si="11"/>
        <v>251.70104309642556</v>
      </c>
      <c r="CD10" s="59">
        <f ca="1">AVERAGE(OFFSET($CC$3,0,0,'Données projet'!$E$12+1,1))-AVERAGE(OFFSET($H$3,0,0,'Données projet'!$E$12+1,1))</f>
        <v>449.94334483948603</v>
      </c>
      <c r="CE10" s="59">
        <f t="shared" si="40"/>
        <v>318.02929110264176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63.807058665395616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1.6</v>
      </c>
      <c r="CT10" s="12">
        <f>IF('Données projet'!$A$140&gt;35,CT9+CS10-DB9,IF(A10&lt;'Données projet'!$A$140,$CQ$205^A10,IF(A10='Données projet'!$A$140,'Données projet'!$B$140,CT9+CS10-DB9)))</f>
        <v>3.3635856610148567</v>
      </c>
      <c r="CU10" s="17">
        <f>CT10*VLOOKUP('Données projet'!$B$13,Paramètres!$A$1:$I$89,3,0)*VLOOKUP('Données projet'!$B$13,Paramètres!$A$1:$I$89,5,0)</f>
        <v>2.8859564971507474</v>
      </c>
      <c r="CV10" s="13">
        <f t="shared" si="41"/>
        <v>1.1756122821876749</v>
      </c>
      <c r="CW10" s="20">
        <f t="shared" si="13"/>
        <v>7.073898957347752</v>
      </c>
      <c r="CX10" s="59">
        <f t="shared" si="14"/>
        <v>249.58866961935385</v>
      </c>
      <c r="CY10" s="59">
        <f ca="1">AVERAGE(OFFSET($CX$3,0,0,'Données projet'!$E$13+1,1))-AVERAGE(OFFSET($H$3,0,0,'Données projet'!$E$13+1,1))</f>
        <v>565.32667500225568</v>
      </c>
      <c r="CZ10" s="59">
        <f t="shared" si="42"/>
        <v>275.06957234480944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63.807058665395616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2.7</v>
      </c>
      <c r="DO10" s="12">
        <f>IF('Données projet'!$A$166&gt;35,DO9+DN10-DW9,IF(A10&lt;'Données projet'!$A$166,$DL$205^A10,IF(A10='Données projet'!$A$166,'Données projet'!$B$166,DO9+DN10-DW9)))</f>
        <v>10.045108566305135</v>
      </c>
      <c r="DP10" s="17">
        <f>DO10*VLOOKUP('Données projet'!$B$14,Paramètres!$A$1:$I$89,3,0)*VLOOKUP('Données projet'!$B$14,Paramètres!$A$1:$I$89,5,0)</f>
        <v>5.6152156885645708</v>
      </c>
      <c r="DQ10" s="13">
        <f t="shared" si="43"/>
        <v>2.1168605708837163</v>
      </c>
      <c r="DR10" s="20">
        <f t="shared" si="16"/>
        <v>13.466699485205766</v>
      </c>
      <c r="DS10" s="59">
        <f t="shared" si="17"/>
        <v>255.98147014721187</v>
      </c>
      <c r="DT10" s="59">
        <f ca="1">AVERAGE(OFFSET($DS$3,0,0,'Données projet'!$E$14+1,1))-AVERAGE(OFFSET($H$3,0,0,'Données projet'!$E$14+1,1))</f>
        <v>532.64469322244281</v>
      </c>
      <c r="DU10" s="59">
        <f t="shared" si="44"/>
        <v>525.88014011096413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63.807058665395616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2.1</v>
      </c>
      <c r="EJ10" s="12">
        <f>IF('Données projet'!$A$192&gt;35,EJ9+EI10-ER9,IF(A10&lt;'Données projet'!$A$192,$EG$205^A10,IF(A10='Données projet'!$A$192,'Données projet'!$B$192,EJ9+EI10-ER9)))</f>
        <v>3.6994507637402658</v>
      </c>
      <c r="EK10" s="17">
        <f>EJ10*VLOOKUP('Données projet'!$B$15,Paramètres!$A$1:$I$89,3,0)*VLOOKUP('Données projet'!$B$15,Paramètres!$A$1:$I$89,5,0)</f>
        <v>3.3472630510321921</v>
      </c>
      <c r="EL10" s="13">
        <f t="shared" si="45"/>
        <v>1.34019505338418</v>
      </c>
      <c r="EM10" s="20">
        <f t="shared" si="19"/>
        <v>8.1639895318585136</v>
      </c>
      <c r="EN10" s="59">
        <f t="shared" si="20"/>
        <v>250.6787601938646</v>
      </c>
      <c r="EO10" s="59">
        <f ca="1">AVERAGE(OFFSET($EN$3,0,0,'Données projet'!$E$15+1,1))-AVERAGE(OFFSET($H$3,0,0,'Données projet'!$E$15+1,1))</f>
        <v>398.27843768730202</v>
      </c>
      <c r="EP10" s="59">
        <f t="shared" si="46"/>
        <v>252.3617347568813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63.807058665395616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2.1</v>
      </c>
      <c r="FE10" s="12">
        <f>IF('Données projet'!$A$218&gt;35,FE9+FD10-FM9,IF(A10&lt;'Données projet'!$A$218,$FB$205^A10,IF(A10='Données projet'!$A$218,'Données projet'!$B$218,FE9+FD10-FM9)))</f>
        <v>3.6994507637402658</v>
      </c>
      <c r="FF10" s="17">
        <f>FE10*VLOOKUP('Données projet'!$B$16,Paramètres!$A$1:$I$89,3,0)*VLOOKUP('Données projet'!$B$16,Paramètres!$A$1:$I$89,5,0)</f>
        <v>3.5781087786895851</v>
      </c>
      <c r="FG10" s="13">
        <f t="shared" si="47"/>
        <v>1.4215440842341414</v>
      </c>
      <c r="FH10" s="20">
        <f t="shared" si="22"/>
        <v>8.707728736258824</v>
      </c>
      <c r="FI10" s="59">
        <f t="shared" si="23"/>
        <v>251.22249939826492</v>
      </c>
      <c r="FJ10" s="59">
        <f ca="1">AVERAGE(OFFSET($FI$3,0,0,'Données projet'!$E$16+1,1))-AVERAGE(OFFSET($H$3,0,0,'Données projet'!$E$16+1,1))</f>
        <v>422.28024471365825</v>
      </c>
      <c r="FK10" s="59">
        <f t="shared" si="48"/>
        <v>266.49730479813206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63.807058665395616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3.56</v>
      </c>
      <c r="FZ10" s="12">
        <f>IF('Données projet'!$A$244&gt;35,FZ9+FY10-GH9,IF(A10&lt;'Données projet'!$A$244,$FW$205^A10,IF(A10='Données projet'!$A$244,'Données projet'!$B$244,FZ9+FY10-GH9)))</f>
        <v>3.5142220698896103</v>
      </c>
      <c r="GA10" s="17">
        <f>FZ10*VLOOKUP('Données projet'!$B$17,Paramètres!$A$1:$I$89,3,0)*VLOOKUP('Données projet'!$B$17,Paramètres!$A$1:$I$89,5,0)</f>
        <v>2.7410932145138962</v>
      </c>
      <c r="GB10" s="13">
        <f t="shared" si="49"/>
        <v>1.1233149492242895</v>
      </c>
      <c r="GC10" s="20">
        <f t="shared" si="25"/>
        <v>6.730510885177341</v>
      </c>
      <c r="GD10" s="59">
        <f t="shared" si="26"/>
        <v>249.24528154718345</v>
      </c>
      <c r="GE10" s="59">
        <f ca="1">AVERAGE(OFFSET($GD$3,0,0,'Données projet'!$E$17+1,1))-AVERAGE(OFFSET($H$3,0,0,'Données projet'!$E$17+1,1))</f>
        <v>300.95722646933314</v>
      </c>
      <c r="GF10" s="59">
        <f t="shared" si="50"/>
        <v>269.52365224623759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>
        <f>EXP(-LN(2)/35)*GL9+(1-EXP(-LN(2)/35))/(LN(2)/35)*GH10*GI10*VLOOKUP('Données projet'!$B$17,Paramètres!$A$1:$I$89,3,0)*0.475*44/12</f>
        <v>0</v>
      </c>
      <c r="GM10" s="21">
        <f>EXP(-LN(2)/25)*GM9+(1-EXP(-LN(2)/25))/(LN(2)/25)*Calculateur!GH10*Calculateur!GJ10*VLOOKUP('Données projet'!$B$17,Paramètres!$A$1:$I$89,3,0)*0.475*44/12</f>
        <v>0</v>
      </c>
      <c r="GN10" s="21">
        <f>EXP(-LN(2)/2)*GN9+(1-EXP(-LN(2)/2))/(LN(2)/2)*GH10*GK10*VLOOKUP('Données projet'!$B$17,Paramètres!$A$1:$I$89,3,0)*0.475*44/12</f>
        <v>0</v>
      </c>
      <c r="GO10" s="21">
        <f t="shared" si="27"/>
        <v>0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63.807058665395616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1.4000000000000001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5.1333333333333337</v>
      </c>
      <c r="H11" s="67">
        <f t="shared" si="1"/>
        <v>236.13333333333335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63.914492352208356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3.65</v>
      </c>
      <c r="N11" s="13">
        <f>IF('Données projet'!$A$36&gt;35,N10+M11-V10,IF(A11&lt;'Données projet'!$A$36,$K$205^A11,IF(A11='Données projet'!$A$36,'Données projet'!$B$36,N10+M11-V10)))</f>
        <v>5.563257268920875</v>
      </c>
      <c r="O11" s="13">
        <f>N11*VLOOKUP('Données projet'!$B$9,Paramètres!$A$1:$I$89,3,0)*VLOOKUP('Données projet'!$B$9,Paramètres!$A$1:$I$89,5,0)</f>
        <v>5.0336351769196082</v>
      </c>
      <c r="P11" s="13">
        <f t="shared" si="33"/>
        <v>1.9219176128866391</v>
      </c>
      <c r="Q11" s="20">
        <f t="shared" si="2"/>
        <v>12.11425444224588</v>
      </c>
      <c r="R11" s="59">
        <f t="shared" si="0"/>
        <v>256.24517084478765</v>
      </c>
      <c r="S11" s="59">
        <f ca="1">AVERAGE(OFFSET($R$3,0,0,'Données projet'!$E$9+1,1))-AVERAGE(OFFSET($H$3,0,0,'Données projet'!$E$9+1,1))</f>
        <v>479.46542424895119</v>
      </c>
      <c r="T11" s="59">
        <f t="shared" si="34"/>
        <v>337.96395820277337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63.914492352208356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3.65</v>
      </c>
      <c r="AI11" s="13">
        <f>IF('Données projet'!$A$62&gt;35,AI10+AH11-AQ10,IF(A11&lt;'Données projet'!$A$62,$AF$205^A11,IF(A11='Données projet'!$A$62,'Données projet'!$B$62,AI10+AH11-AQ10)))</f>
        <v>5.563257268920875</v>
      </c>
      <c r="AJ11" s="13">
        <f>AI11*VLOOKUP('Données projet'!$B$10,Paramètres!$A$1:$I$89,3,0)*VLOOKUP('Données projet'!$B$10,Paramètres!$A$1:$I$89,5,0)</f>
        <v>5.3807824305002701</v>
      </c>
      <c r="AK11" s="13">
        <f t="shared" si="35"/>
        <v>2.0385768519929188</v>
      </c>
      <c r="AL11" s="20">
        <f t="shared" si="4"/>
        <v>12.922050750342303</v>
      </c>
      <c r="AM11" s="59">
        <f t="shared" si="5"/>
        <v>257.05296715288409</v>
      </c>
      <c r="AN11" s="59">
        <f ca="1">AVERAGE(OFFSET($AM$3,0,0,'Données projet'!$E$10+1,1))-AVERAGE(OFFSET($H$3,0,0,'Données projet'!$E$10+1,1))</f>
        <v>508.94560627895089</v>
      </c>
      <c r="AO11" s="59">
        <f t="shared" si="36"/>
        <v>357.86868650263034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63.914492352208356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5.85</v>
      </c>
      <c r="BD11" s="12">
        <f>IF('Données projet'!$A$88&gt;35,BD10+BC11-BL10,IF(A11&lt;'Données projet'!$A$88,$BA$205^A11,IF(A11='Données projet'!$A$88,'Données projet'!$B$88,BD10+BC11-BL10)))</f>
        <v>6.718531298781433</v>
      </c>
      <c r="BE11" s="13">
        <f>BD11*VLOOKUP('Données projet'!$B$11,Paramètres!$A$1:$I$89,3,0)*VLOOKUP('Données projet'!$B$11,Paramètres!$A$1:$I$89,5,0)</f>
        <v>5.2404544130495179</v>
      </c>
      <c r="BF11" s="13">
        <f t="shared" si="37"/>
        <v>1.9915282293126844</v>
      </c>
      <c r="BG11" s="20">
        <f t="shared" si="7"/>
        <v>12.59570310211417</v>
      </c>
      <c r="BH11" s="59">
        <f t="shared" si="8"/>
        <v>256.72661950465596</v>
      </c>
      <c r="BI11" s="59">
        <f ca="1">AVERAGE(OFFSET($BH$3,0,0,'Données projet'!$E$11+1,1))-AVERAGE(OFFSET($H$3,0,0,'Données projet'!$E$11+1,1))</f>
        <v>383.03154033422328</v>
      </c>
      <c r="BJ11" s="59">
        <f t="shared" si="38"/>
        <v>373.27897156169877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63.914492352208356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3.65</v>
      </c>
      <c r="BY11" s="12">
        <f>IF('Données projet'!$A$114&gt;35,BY10+BX11-CG10,IF(A11&lt;'Données projet'!$A$114,$BV$205^A11,IF(A11='Données projet'!$A$114,'Données projet'!$B$114,BY10+BX11-CG10)))</f>
        <v>5.563257268920875</v>
      </c>
      <c r="BZ11" s="13">
        <f>BY11*VLOOKUP('Données projet'!$B$12,Paramètres!$A$1:$I$89,3,0)*VLOOKUP('Données projet'!$B$12,Paramètres!$A$1:$I$89,5,0)</f>
        <v>4.6864879233389463</v>
      </c>
      <c r="CA11" s="13">
        <f t="shared" si="39"/>
        <v>1.8043173192324258</v>
      </c>
      <c r="CB11" s="20">
        <f t="shared" si="10"/>
        <v>11.304819130811806</v>
      </c>
      <c r="CC11" s="59">
        <f t="shared" si="11"/>
        <v>255.43573553335358</v>
      </c>
      <c r="CD11" s="59">
        <f ca="1">AVERAGE(OFFSET($CC$3,0,0,'Données projet'!$E$12+1,1))-AVERAGE(OFFSET($H$3,0,0,'Données projet'!$E$12+1,1))</f>
        <v>449.94334483948603</v>
      </c>
      <c r="CE11" s="59">
        <f t="shared" si="40"/>
        <v>318.02929110264176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63.914492352208356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1.6</v>
      </c>
      <c r="CT11" s="12">
        <f>IF('Données projet'!$A$140&gt;35,CT10+CS11-DB10,IF(A11&lt;'Données projet'!$A$140,$CQ$205^A11,IF(A11='Données projet'!$A$140,'Données projet'!$B$140,CT10+CS11-DB10)))</f>
        <v>3.9999999999999982</v>
      </c>
      <c r="CU11" s="17">
        <f>CT11*VLOOKUP('Données projet'!$B$13,Paramètres!$A$1:$I$89,3,0)*VLOOKUP('Données projet'!$B$13,Paramètres!$A$1:$I$89,5,0)</f>
        <v>3.4319999999999991</v>
      </c>
      <c r="CV11" s="13">
        <f t="shared" si="41"/>
        <v>1.3701295744860806</v>
      </c>
      <c r="CW11" s="20">
        <f t="shared" si="13"/>
        <v>8.3637090088965884</v>
      </c>
      <c r="CX11" s="59">
        <f t="shared" si="14"/>
        <v>252.49462541143836</v>
      </c>
      <c r="CY11" s="59">
        <f ca="1">AVERAGE(OFFSET($CX$3,0,0,'Données projet'!$E$13+1,1))-AVERAGE(OFFSET($H$3,0,0,'Données projet'!$E$13+1,1))</f>
        <v>565.32667500225568</v>
      </c>
      <c r="CZ11" s="59">
        <f t="shared" si="42"/>
        <v>275.06957234480944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63.914492352208356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2.7</v>
      </c>
      <c r="DO11" s="12">
        <f>IF('Données projet'!$A$166&gt;35,DO10+DN11-DW10,IF(A11&lt;'Données projet'!$A$166,$DL$205^A11,IF(A11='Données projet'!$A$166,'Données projet'!$B$166,DO10+DN11-DW10)))</f>
        <v>13.96661016523823</v>
      </c>
      <c r="DP11" s="17">
        <f>DO11*VLOOKUP('Données projet'!$B$14,Paramètres!$A$1:$I$89,3,0)*VLOOKUP('Données projet'!$B$14,Paramètres!$A$1:$I$89,5,0)</f>
        <v>7.8073350823681702</v>
      </c>
      <c r="DQ11" s="13">
        <f t="shared" si="43"/>
        <v>2.8324845909369802</v>
      </c>
      <c r="DR11" s="20">
        <f t="shared" si="16"/>
        <v>18.531019264339804</v>
      </c>
      <c r="DS11" s="59">
        <f t="shared" si="17"/>
        <v>262.66193566688156</v>
      </c>
      <c r="DT11" s="59">
        <f ca="1">AVERAGE(OFFSET($DS$3,0,0,'Données projet'!$E$14+1,1))-AVERAGE(OFFSET($H$3,0,0,'Données projet'!$E$14+1,1))</f>
        <v>532.64469322244281</v>
      </c>
      <c r="DU11" s="59">
        <f t="shared" si="44"/>
        <v>525.88014011096413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63.914492352208356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2.1</v>
      </c>
      <c r="EJ11" s="12">
        <f>IF('Données projet'!$A$192&gt;35,EJ10+EI11-ER10,IF(A11&lt;'Données projet'!$A$192,$EG$205^A11,IF(A11='Données projet'!$A$192,'Données projet'!$B$192,EJ10+EI11-ER10)))</f>
        <v>4.4596391171162209</v>
      </c>
      <c r="EK11" s="17">
        <f>EJ11*VLOOKUP('Données projet'!$B$15,Paramètres!$A$1:$I$89,3,0)*VLOOKUP('Données projet'!$B$15,Paramètres!$A$1:$I$89,5,0)</f>
        <v>4.0350814731667564</v>
      </c>
      <c r="EL11" s="13">
        <f t="shared" si="45"/>
        <v>1.5808227025391921</v>
      </c>
      <c r="EM11" s="20">
        <f t="shared" si="19"/>
        <v>9.7810331060211926</v>
      </c>
      <c r="EN11" s="59">
        <f t="shared" si="20"/>
        <v>253.91194950856297</v>
      </c>
      <c r="EO11" s="59">
        <f ca="1">AVERAGE(OFFSET($EN$3,0,0,'Données projet'!$E$15+1,1))-AVERAGE(OFFSET($H$3,0,0,'Données projet'!$E$15+1,1))</f>
        <v>398.27843768730202</v>
      </c>
      <c r="EP11" s="59">
        <f t="shared" si="46"/>
        <v>252.3617347568813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63.914492352208356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2.1</v>
      </c>
      <c r="FE11" s="12">
        <f>IF('Données projet'!$A$218&gt;35,FE10+FD11-FM10,IF(A11&lt;'Données projet'!$A$218,$FB$205^A11,IF(A11='Données projet'!$A$218,'Données projet'!$B$218,FE10+FD11-FM10)))</f>
        <v>4.4596391171162209</v>
      </c>
      <c r="FF11" s="17">
        <f>FE11*VLOOKUP('Données projet'!$B$16,Paramètres!$A$1:$I$89,3,0)*VLOOKUP('Données projet'!$B$16,Paramètres!$A$1:$I$89,5,0)</f>
        <v>4.3133629540748091</v>
      </c>
      <c r="FG11" s="13">
        <f t="shared" si="47"/>
        <v>1.6767776864592203</v>
      </c>
      <c r="FH11" s="20">
        <f t="shared" si="22"/>
        <v>10.432828282263435</v>
      </c>
      <c r="FI11" s="59">
        <f t="shared" si="23"/>
        <v>254.56374468480522</v>
      </c>
      <c r="FJ11" s="59">
        <f ca="1">AVERAGE(OFFSET($FI$3,0,0,'Données projet'!$E$16+1,1))-AVERAGE(OFFSET($H$3,0,0,'Données projet'!$E$16+1,1))</f>
        <v>422.28024471365825</v>
      </c>
      <c r="FK11" s="59">
        <f t="shared" si="48"/>
        <v>266.49730479813206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63.914492352208356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3.56</v>
      </c>
      <c r="FZ11" s="12">
        <f>IF('Données projet'!$A$244&gt;35,FZ10+FY11-GH10,IF(A11&lt;'Données projet'!$A$244,$FW$205^A11,IF(A11='Données projet'!$A$244,'Données projet'!$B$244,FZ10+FY11-GH10)))</f>
        <v>4.2053757120435398</v>
      </c>
      <c r="GA11" s="17">
        <f>FZ11*VLOOKUP('Données projet'!$B$17,Paramètres!$A$1:$I$89,3,0)*VLOOKUP('Données projet'!$B$17,Paramètres!$A$1:$I$89,5,0)</f>
        <v>3.2801930553939611</v>
      </c>
      <c r="GB11" s="13">
        <f t="shared" si="49"/>
        <v>1.3164391182645805</v>
      </c>
      <c r="GC11" s="20">
        <f t="shared" si="25"/>
        <v>8.0058010357886271</v>
      </c>
      <c r="GD11" s="59">
        <f t="shared" si="26"/>
        <v>252.13671743833041</v>
      </c>
      <c r="GE11" s="59">
        <f ca="1">AVERAGE(OFFSET($GD$3,0,0,'Données projet'!$E$17+1,1))-AVERAGE(OFFSET($H$3,0,0,'Données projet'!$E$17+1,1))</f>
        <v>300.95722646933314</v>
      </c>
      <c r="GF11" s="59">
        <f t="shared" si="50"/>
        <v>269.52365224623759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>
        <f>EXP(-LN(2)/35)*GL10+(1-EXP(-LN(2)/35))/(LN(2)/35)*GH11*GI11*VLOOKUP('Données projet'!$B$17,Paramètres!$A$1:$I$89,3,0)*0.475*44/12</f>
        <v>0</v>
      </c>
      <c r="GM11" s="21">
        <f>EXP(-LN(2)/25)*GM10+(1-EXP(-LN(2)/25))/(LN(2)/25)*Calculateur!GH11*Calculateur!GJ11*VLOOKUP('Données projet'!$B$17,Paramètres!$A$1:$I$89,3,0)*0.475*44/12</f>
        <v>0</v>
      </c>
      <c r="GN11" s="21">
        <f>EXP(-LN(2)/2)*GN10+(1-EXP(-LN(2)/2))/(LN(2)/2)*GH11*GK11*VLOOKUP('Données projet'!$B$17,Paramètres!$A$1:$I$89,3,0)*0.475*44/12</f>
        <v>0</v>
      </c>
      <c r="GO11" s="21">
        <f t="shared" si="27"/>
        <v>0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63.914492352208356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1.4000000000000001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5.1333333333333337</v>
      </c>
      <c r="H12" s="67">
        <f t="shared" si="1"/>
        <v>236.13333333333335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64.020062304740648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3.65</v>
      </c>
      <c r="N12" s="13">
        <f>IF('Données projet'!$A$36&gt;35,N11+M12-V11,IF(A12&lt;'Données projet'!$A$36,$K$205^A12,IF(A12='Données projet'!$A$36,'Données projet'!$B$36,N11+M12-V11)))</f>
        <v>6.8943811137639424</v>
      </c>
      <c r="O12" s="13">
        <f>N12*VLOOKUP('Données projet'!$B$9,Paramètres!$A$1:$I$89,3,0)*VLOOKUP('Données projet'!$B$9,Paramètres!$A$1:$I$89,5,0)</f>
        <v>6.2380360317336141</v>
      </c>
      <c r="P12" s="13">
        <f t="shared" si="33"/>
        <v>2.3230383034439352</v>
      </c>
      <c r="Q12" s="20">
        <f t="shared" si="2"/>
        <v>14.910537800434229</v>
      </c>
      <c r="R12" s="59">
        <f t="shared" si="0"/>
        <v>260.65076625114995</v>
      </c>
      <c r="S12" s="59">
        <f ca="1">AVERAGE(OFFSET($R$3,0,0,'Données projet'!$E$9+1,1))-AVERAGE(OFFSET($H$3,0,0,'Données projet'!$E$9+1,1))</f>
        <v>479.46542424895119</v>
      </c>
      <c r="T12" s="59">
        <f t="shared" si="34"/>
        <v>337.96395820277337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64.020062304740648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3.65</v>
      </c>
      <c r="AI12" s="13">
        <f>IF('Données projet'!$A$62&gt;35,AI11+AH12-AQ11,IF(A12&lt;'Données projet'!$A$62,$AF$205^A12,IF(A12='Données projet'!$A$62,'Données projet'!$B$62,AI11+AH12-AQ11)))</f>
        <v>6.8943811137639424</v>
      </c>
      <c r="AJ12" s="13">
        <f>AI12*VLOOKUP('Données projet'!$B$10,Paramètres!$A$1:$I$89,3,0)*VLOOKUP('Données projet'!$B$10,Paramètres!$A$1:$I$89,5,0)</f>
        <v>6.6682454132324853</v>
      </c>
      <c r="AK12" s="13">
        <f t="shared" si="35"/>
        <v>2.4640453263659414</v>
      </c>
      <c r="AL12" s="20">
        <f t="shared" si="4"/>
        <v>15.905406371467258</v>
      </c>
      <c r="AM12" s="59">
        <f t="shared" si="5"/>
        <v>261.64563482218296</v>
      </c>
      <c r="AN12" s="59">
        <f ca="1">AVERAGE(OFFSET($AM$3,0,0,'Données projet'!$E$10+1,1))-AVERAGE(OFFSET($H$3,0,0,'Données projet'!$E$10+1,1))</f>
        <v>508.94560627895089</v>
      </c>
      <c r="AO12" s="59">
        <f t="shared" si="36"/>
        <v>357.86868650263034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64.020062304740648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5.85</v>
      </c>
      <c r="BD12" s="12">
        <f>IF('Données projet'!$A$88&gt;35,BD11+BC12-BL11,IF(A12&lt;'Données projet'!$A$88,$BA$205^A12,IF(A12='Données projet'!$A$88,'Données projet'!$B$88,BD11+BC12-BL11)))</f>
        <v>8.5247889874587734</v>
      </c>
      <c r="BE12" s="13">
        <f>BD12*VLOOKUP('Données projet'!$B$11,Paramètres!$A$1:$I$89,3,0)*VLOOKUP('Données projet'!$B$11,Paramètres!$A$1:$I$89,5,0)</f>
        <v>6.6493354102178435</v>
      </c>
      <c r="BF12" s="13">
        <f t="shared" si="37"/>
        <v>2.4578700532379361</v>
      </c>
      <c r="BG12" s="20">
        <f t="shared" si="7"/>
        <v>15.86171618218548</v>
      </c>
      <c r="BH12" s="59">
        <f t="shared" si="8"/>
        <v>261.60194463290117</v>
      </c>
      <c r="BI12" s="59">
        <f ca="1">AVERAGE(OFFSET($BH$3,0,0,'Données projet'!$E$11+1,1))-AVERAGE(OFFSET($H$3,0,0,'Données projet'!$E$11+1,1))</f>
        <v>383.03154033422328</v>
      </c>
      <c r="BJ12" s="59">
        <f t="shared" si="38"/>
        <v>373.27897156169877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64.020062304740648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3.65</v>
      </c>
      <c r="BY12" s="12">
        <f>IF('Données projet'!$A$114&gt;35,BY11+BX12-CG11,IF(A12&lt;'Données projet'!$A$114,$BV$205^A12,IF(A12='Données projet'!$A$114,'Données projet'!$B$114,BY11+BX12-CG11)))</f>
        <v>6.8943811137639424</v>
      </c>
      <c r="BZ12" s="13">
        <f>BY12*VLOOKUP('Données projet'!$B$12,Paramètres!$A$1:$I$89,3,0)*VLOOKUP('Données projet'!$B$12,Paramètres!$A$1:$I$89,5,0)</f>
        <v>5.8078266502347455</v>
      </c>
      <c r="CA12" s="13">
        <f t="shared" si="39"/>
        <v>2.1808938198181922</v>
      </c>
      <c r="CB12" s="20">
        <f t="shared" si="10"/>
        <v>13.913688152008866</v>
      </c>
      <c r="CC12" s="59">
        <f t="shared" si="11"/>
        <v>259.65391660272456</v>
      </c>
      <c r="CD12" s="59">
        <f ca="1">AVERAGE(OFFSET($CC$3,0,0,'Données projet'!$E$12+1,1))-AVERAGE(OFFSET($H$3,0,0,'Données projet'!$E$12+1,1))</f>
        <v>449.94334483948603</v>
      </c>
      <c r="CE12" s="59">
        <f t="shared" si="40"/>
        <v>318.02929110264176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64.020062304740648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1.6</v>
      </c>
      <c r="CT12" s="12">
        <f>IF('Données projet'!$A$140&gt;35,CT11+CS12-DB11,IF(A12&lt;'Données projet'!$A$140,$CQ$205^A12,IF(A12='Données projet'!$A$140,'Données projet'!$B$140,CT11+CS12-DB11)))</f>
        <v>4.7568284600108823</v>
      </c>
      <c r="CU12" s="17">
        <f>CT12*VLOOKUP('Données projet'!$B$13,Paramètres!$A$1:$I$89,3,0)*VLOOKUP('Données projet'!$B$13,Paramètres!$A$1:$I$89,5,0)</f>
        <v>4.0813588186893375</v>
      </c>
      <c r="CV12" s="13">
        <f t="shared" si="41"/>
        <v>1.5968317780655192</v>
      </c>
      <c r="CW12" s="20">
        <f t="shared" si="13"/>
        <v>9.8895152893480418</v>
      </c>
      <c r="CX12" s="59">
        <f t="shared" si="14"/>
        <v>255.62974374006376</v>
      </c>
      <c r="CY12" s="59">
        <f ca="1">AVERAGE(OFFSET($CX$3,0,0,'Données projet'!$E$13+1,1))-AVERAGE(OFFSET($H$3,0,0,'Données projet'!$E$13+1,1))</f>
        <v>565.32667500225568</v>
      </c>
      <c r="CZ12" s="59">
        <f t="shared" si="42"/>
        <v>275.06957234480944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64.020062304740648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2.7</v>
      </c>
      <c r="DO12" s="12">
        <f>IF('Données projet'!$A$166&gt;35,DO11+DN12-DW11,IF(A12&lt;'Données projet'!$A$166,$DL$205^A12,IF(A12='Données projet'!$A$166,'Données projet'!$B$166,DO11+DN12-DW11)))</f>
        <v>19.419023519771326</v>
      </c>
      <c r="DP12" s="17">
        <f>DO12*VLOOKUP('Données projet'!$B$14,Paramètres!$A$1:$I$89,3,0)*VLOOKUP('Données projet'!$B$14,Paramètres!$A$1:$I$89,5,0)</f>
        <v>10.855234147552173</v>
      </c>
      <c r="DQ12" s="13">
        <f t="shared" si="43"/>
        <v>3.790031836884808</v>
      </c>
      <c r="DR12" s="20">
        <f t="shared" si="16"/>
        <v>25.507171589561072</v>
      </c>
      <c r="DS12" s="59">
        <f t="shared" si="17"/>
        <v>271.24740004027677</v>
      </c>
      <c r="DT12" s="59">
        <f ca="1">AVERAGE(OFFSET($DS$3,0,0,'Données projet'!$E$14+1,1))-AVERAGE(OFFSET($H$3,0,0,'Données projet'!$E$14+1,1))</f>
        <v>532.64469322244281</v>
      </c>
      <c r="DU12" s="59">
        <f t="shared" si="44"/>
        <v>525.88014011096413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64.020062304740648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2.1</v>
      </c>
      <c r="EJ12" s="12">
        <f>IF('Données projet'!$A$192&gt;35,EJ11+EI12-ER11,IF(A12&lt;'Données projet'!$A$192,$EG$205^A12,IF(A12='Données projet'!$A$192,'Données projet'!$B$192,EJ11+EI12-ER11)))</f>
        <v>5.3760361537574148</v>
      </c>
      <c r="EK12" s="17">
        <f>EJ12*VLOOKUP('Données projet'!$B$15,Paramètres!$A$1:$I$89,3,0)*VLOOKUP('Données projet'!$B$15,Paramètres!$A$1:$I$89,5,0)</f>
        <v>4.8642375119197085</v>
      </c>
      <c r="EL12" s="13">
        <f t="shared" si="45"/>
        <v>1.8646542609995393</v>
      </c>
      <c r="EM12" s="20">
        <f t="shared" si="19"/>
        <v>11.719486504501022</v>
      </c>
      <c r="EN12" s="59">
        <f t="shared" si="20"/>
        <v>257.45971495521673</v>
      </c>
      <c r="EO12" s="59">
        <f ca="1">AVERAGE(OFFSET($EN$3,0,0,'Données projet'!$E$15+1,1))-AVERAGE(OFFSET($H$3,0,0,'Données projet'!$E$15+1,1))</f>
        <v>398.27843768730202</v>
      </c>
      <c r="EP12" s="59">
        <f t="shared" si="46"/>
        <v>252.3617347568813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64.020062304740648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2.1</v>
      </c>
      <c r="FE12" s="12">
        <f>IF('Données projet'!$A$218&gt;35,FE11+FD12-FM11,IF(A12&lt;'Données projet'!$A$218,$FB$205^A12,IF(A12='Données projet'!$A$218,'Données projet'!$B$218,FE11+FD12-FM11)))</f>
        <v>5.3760361537574148</v>
      </c>
      <c r="FF12" s="17">
        <f>FE12*VLOOKUP('Données projet'!$B$16,Paramètres!$A$1:$I$89,3,0)*VLOOKUP('Données projet'!$B$16,Paramètres!$A$1:$I$89,5,0)</f>
        <v>5.1997021679141717</v>
      </c>
      <c r="FG12" s="13">
        <f t="shared" si="47"/>
        <v>1.977837649208241</v>
      </c>
      <c r="FH12" s="20">
        <f t="shared" si="22"/>
        <v>12.500881848154869</v>
      </c>
      <c r="FI12" s="59">
        <f t="shared" si="23"/>
        <v>258.24111029887058</v>
      </c>
      <c r="FJ12" s="59">
        <f ca="1">AVERAGE(OFFSET($FI$3,0,0,'Données projet'!$E$16+1,1))-AVERAGE(OFFSET($H$3,0,0,'Données projet'!$E$16+1,1))</f>
        <v>422.28024471365825</v>
      </c>
      <c r="FK12" s="59">
        <f t="shared" si="48"/>
        <v>266.49730479813206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64.020062304740648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3.56</v>
      </c>
      <c r="FZ12" s="12">
        <f>IF('Données projet'!$A$244&gt;35,FZ11+FY12-GH11,IF(A12&lt;'Données projet'!$A$244,$FW$205^A12,IF(A12='Données projet'!$A$244,'Données projet'!$B$244,FZ11+FY12-GH11)))</f>
        <v>5.0324608199849017</v>
      </c>
      <c r="GA12" s="17">
        <f>FZ12*VLOOKUP('Données projet'!$B$17,Paramètres!$A$1:$I$89,3,0)*VLOOKUP('Données projet'!$B$17,Paramètres!$A$1:$I$89,5,0)</f>
        <v>3.9253194395882236</v>
      </c>
      <c r="GB12" s="13">
        <f t="shared" si="49"/>
        <v>1.5427658585813051</v>
      </c>
      <c r="GC12" s="20">
        <f t="shared" si="25"/>
        <v>9.5235818943119295</v>
      </c>
      <c r="GD12" s="59">
        <f t="shared" si="26"/>
        <v>255.26381034502762</v>
      </c>
      <c r="GE12" s="59">
        <f ca="1">AVERAGE(OFFSET($GD$3,0,0,'Données projet'!$E$17+1,1))-AVERAGE(OFFSET($H$3,0,0,'Données projet'!$E$17+1,1))</f>
        <v>300.95722646933314</v>
      </c>
      <c r="GF12" s="59">
        <f t="shared" si="50"/>
        <v>269.52365224623759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>
        <f>EXP(-LN(2)/35)*GL11+(1-EXP(-LN(2)/35))/(LN(2)/35)*GH12*GI12*VLOOKUP('Données projet'!$B$17,Paramètres!$A$1:$I$89,3,0)*0.475*44/12</f>
        <v>0</v>
      </c>
      <c r="GM12" s="21">
        <f>EXP(-LN(2)/25)*GM11+(1-EXP(-LN(2)/25))/(LN(2)/25)*Calculateur!GH12*Calculateur!GJ12*VLOOKUP('Données projet'!$B$17,Paramètres!$A$1:$I$89,3,0)*0.475*44/12</f>
        <v>0</v>
      </c>
      <c r="GN12" s="21">
        <f>EXP(-LN(2)/2)*GN11+(1-EXP(-LN(2)/2))/(LN(2)/2)*GH12*GK12*VLOOKUP('Données projet'!$B$17,Paramètres!$A$1:$I$89,3,0)*0.475*44/12</f>
        <v>0</v>
      </c>
      <c r="GO12" s="21">
        <f t="shared" si="27"/>
        <v>0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64.020062304740648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1.4000000000000001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5.1333333333333337</v>
      </c>
      <c r="H13" s="67">
        <f t="shared" si="1"/>
        <v>236.13333333333335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64.123800854615553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3.65</v>
      </c>
      <c r="N13" s="13">
        <f>IF('Données projet'!$A$36&gt;35,N12+M13-V12,IF(A13&lt;'Données projet'!$A$36,$K$205^A13,IF(A13='Données projet'!$A$36,'Données projet'!$B$36,N12+M13-V12)))</f>
        <v>8.5440037453175322</v>
      </c>
      <c r="O13" s="13">
        <f>N13*VLOOKUP('Données projet'!$B$9,Paramètres!$A$1:$I$89,3,0)*VLOOKUP('Données projet'!$B$9,Paramètres!$A$1:$I$89,5,0)</f>
        <v>7.7306145887633031</v>
      </c>
      <c r="P13" s="13">
        <f t="shared" si="33"/>
        <v>2.8078763226288115</v>
      </c>
      <c r="Q13" s="20">
        <f t="shared" si="2"/>
        <v>18.354538337341264</v>
      </c>
      <c r="R13" s="59">
        <f t="shared" si="0"/>
        <v>265.69736369315382</v>
      </c>
      <c r="S13" s="59">
        <f ca="1">AVERAGE(OFFSET($R$3,0,0,'Données projet'!$E$9+1,1))-AVERAGE(OFFSET($H$3,0,0,'Données projet'!$E$9+1,1))</f>
        <v>479.46542424895119</v>
      </c>
      <c r="T13" s="59">
        <f t="shared" si="34"/>
        <v>337.96395820277337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64.123800854615553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3.65</v>
      </c>
      <c r="AI13" s="13">
        <f>IF('Données projet'!$A$62&gt;35,AI12+AH13-AQ12,IF(A13&lt;'Données projet'!$A$62,$AF$205^A13,IF(A13='Données projet'!$A$62,'Données projet'!$B$62,AI12+AH13-AQ12)))</f>
        <v>8.5440037453175322</v>
      </c>
      <c r="AJ13" s="13">
        <f>AI13*VLOOKUP('Données projet'!$B$10,Paramètres!$A$1:$I$89,3,0)*VLOOKUP('Données projet'!$B$10,Paramètres!$A$1:$I$89,5,0)</f>
        <v>8.2637604224711172</v>
      </c>
      <c r="AK13" s="13">
        <f t="shared" si="35"/>
        <v>2.9783127206856603</v>
      </c>
      <c r="AL13" s="20">
        <f t="shared" si="4"/>
        <v>19.579944057664719</v>
      </c>
      <c r="AM13" s="59">
        <f t="shared" si="5"/>
        <v>266.92276941347728</v>
      </c>
      <c r="AN13" s="59">
        <f ca="1">AVERAGE(OFFSET($AM$3,0,0,'Données projet'!$E$10+1,1))-AVERAGE(OFFSET($H$3,0,0,'Données projet'!$E$10+1,1))</f>
        <v>508.94560627895089</v>
      </c>
      <c r="AO13" s="59">
        <f t="shared" si="36"/>
        <v>357.86868650263034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64.123800854615553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5.85</v>
      </c>
      <c r="BD13" s="12">
        <f>IF('Données projet'!$A$88&gt;35,BD12+BC13-BL12,IF(A13&lt;'Données projet'!$A$88,$BA$205^A13,IF(A13='Données projet'!$A$88,'Données projet'!$B$88,BD12+BC13-BL12)))</f>
        <v>10.816653826391967</v>
      </c>
      <c r="BE13" s="13">
        <f>BD13*VLOOKUP('Données projet'!$B$11,Paramètres!$A$1:$I$89,3,0)*VLOOKUP('Données projet'!$B$11,Paramètres!$A$1:$I$89,5,0)</f>
        <v>8.4369899845857343</v>
      </c>
      <c r="BF13" s="13">
        <f t="shared" si="37"/>
        <v>3.0334117838182832</v>
      </c>
      <c r="BG13" s="20">
        <f t="shared" si="7"/>
        <v>19.977616413303661</v>
      </c>
      <c r="BH13" s="59">
        <f t="shared" si="8"/>
        <v>267.32044176911626</v>
      </c>
      <c r="BI13" s="59">
        <f ca="1">AVERAGE(OFFSET($BH$3,0,0,'Données projet'!$E$11+1,1))-AVERAGE(OFFSET($H$3,0,0,'Données projet'!$E$11+1,1))</f>
        <v>383.03154033422328</v>
      </c>
      <c r="BJ13" s="59">
        <f t="shared" si="38"/>
        <v>373.27897156169877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64.123800854615553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3.65</v>
      </c>
      <c r="BY13" s="12">
        <f>IF('Données projet'!$A$114&gt;35,BY12+BX13-CG12,IF(A13&lt;'Données projet'!$A$114,$BV$205^A13,IF(A13='Données projet'!$A$114,'Données projet'!$B$114,BY12+BX13-CG12)))</f>
        <v>8.5440037453175322</v>
      </c>
      <c r="BZ13" s="13">
        <f>BY13*VLOOKUP('Données projet'!$B$12,Paramètres!$A$1:$I$89,3,0)*VLOOKUP('Données projet'!$B$12,Paramètres!$A$1:$I$89,5,0)</f>
        <v>7.1974687550554899</v>
      </c>
      <c r="CA13" s="13">
        <f t="shared" si="39"/>
        <v>2.6360650660630816</v>
      </c>
      <c r="CB13" s="20">
        <f t="shared" si="10"/>
        <v>17.126738071781514</v>
      </c>
      <c r="CC13" s="59">
        <f t="shared" si="11"/>
        <v>264.4695634275941</v>
      </c>
      <c r="CD13" s="59">
        <f ca="1">AVERAGE(OFFSET($CC$3,0,0,'Données projet'!$E$12+1,1))-AVERAGE(OFFSET($H$3,0,0,'Données projet'!$E$12+1,1))</f>
        <v>449.94334483948603</v>
      </c>
      <c r="CE13" s="59">
        <f t="shared" si="40"/>
        <v>318.02929110264176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64.123800854615553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1.6</v>
      </c>
      <c r="CT13" s="12">
        <f>IF('Données projet'!$A$140&gt;35,CT12+CS13-DB12,IF(A13&lt;'Données projet'!$A$140,$CQ$205^A13,IF(A13='Données projet'!$A$140,'Données projet'!$B$140,CT12+CS13-DB12)))</f>
        <v>5.656854249492377</v>
      </c>
      <c r="CU13" s="17">
        <f>CT13*VLOOKUP('Données projet'!$B$13,Paramètres!$A$1:$I$89,3,0)*VLOOKUP('Données projet'!$B$13,Paramètres!$A$1:$I$89,5,0)</f>
        <v>4.8535809460644597</v>
      </c>
      <c r="CV13" s="13">
        <f t="shared" si="41"/>
        <v>1.8610442215994896</v>
      </c>
      <c r="CW13" s="20">
        <f t="shared" si="13"/>
        <v>11.694638833681379</v>
      </c>
      <c r="CX13" s="59">
        <f t="shared" si="14"/>
        <v>259.03746418949396</v>
      </c>
      <c r="CY13" s="59">
        <f ca="1">AVERAGE(OFFSET($CX$3,0,0,'Données projet'!$E$13+1,1))-AVERAGE(OFFSET($H$3,0,0,'Données projet'!$E$13+1,1))</f>
        <v>565.32667500225568</v>
      </c>
      <c r="CZ13" s="59">
        <f t="shared" si="42"/>
        <v>275.06957234480944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64.123800854615553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>
        <f>VLOOKUP(A13,'Données projet'!$A$165:$I$185,2,0)</f>
        <v>27</v>
      </c>
      <c r="DM13" s="12">
        <f>VLOOKUP(A13,'Données projet'!$A$165:$I$185,9,0)</f>
        <v>2.7</v>
      </c>
      <c r="DN13" s="12">
        <f t="array" ref="DN13">INDEX(DM:DM,MIN(IF(ISNUMBER(DM13:DM209),ROW(DM13:DM209),"")))</f>
        <v>2.7</v>
      </c>
      <c r="DO13" s="12">
        <f>IF('Données projet'!$A$166&gt;35,DO12+DN13-DW12,IF(A13&lt;'Données projet'!$A$166,$DL$205^A13,IF(A13='Données projet'!$A$166,'Données projet'!$B$166,DO12+DN13-DW12)))</f>
        <v>27</v>
      </c>
      <c r="DP13" s="17">
        <f>DO13*VLOOKUP('Données projet'!$B$14,Paramètres!$A$1:$I$89,3,0)*VLOOKUP('Données projet'!$B$14,Paramètres!$A$1:$I$89,5,0)</f>
        <v>15.093</v>
      </c>
      <c r="DQ13" s="13">
        <f t="shared" si="43"/>
        <v>5.0712866613861207</v>
      </c>
      <c r="DR13" s="20">
        <f t="shared" si="16"/>
        <v>35.11946593524749</v>
      </c>
      <c r="DS13" s="59">
        <f t="shared" si="17"/>
        <v>282.46229129106007</v>
      </c>
      <c r="DT13" s="59">
        <f ca="1">AVERAGE(OFFSET($DS$3,0,0,'Données projet'!$E$14+1,1))-AVERAGE(OFFSET($H$3,0,0,'Données projet'!$E$14+1,1))</f>
        <v>532.64469322244281</v>
      </c>
      <c r="DU13" s="59">
        <f t="shared" si="44"/>
        <v>525.88014011096413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64.123800854615553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2.1</v>
      </c>
      <c r="EJ13" s="12">
        <f>IF('Données projet'!$A$192&gt;35,EJ12+EI13-ER12,IF(A13&lt;'Données projet'!$A$192,$EG$205^A13,IF(A13='Données projet'!$A$192,'Données projet'!$B$192,EJ12+EI13-ER12)))</f>
        <v>6.4807406984078657</v>
      </c>
      <c r="EK13" s="17">
        <f>EJ13*VLOOKUP('Données projet'!$B$15,Paramètres!$A$1:$I$89,3,0)*VLOOKUP('Données projet'!$B$15,Paramètres!$A$1:$I$89,5,0)</f>
        <v>5.8637741839194364</v>
      </c>
      <c r="EL13" s="13">
        <f t="shared" si="45"/>
        <v>2.1994468497187687</v>
      </c>
      <c r="EM13" s="20">
        <f t="shared" si="19"/>
        <v>14.043443300253207</v>
      </c>
      <c r="EN13" s="59">
        <f t="shared" si="20"/>
        <v>261.38626865606579</v>
      </c>
      <c r="EO13" s="59">
        <f ca="1">AVERAGE(OFFSET($EN$3,0,0,'Données projet'!$E$15+1,1))-AVERAGE(OFFSET($H$3,0,0,'Données projet'!$E$15+1,1))</f>
        <v>398.27843768730202</v>
      </c>
      <c r="EP13" s="59">
        <f t="shared" si="46"/>
        <v>252.3617347568813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64.123800854615553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2.1</v>
      </c>
      <c r="FE13" s="12">
        <f>IF('Données projet'!$A$218&gt;35,FE12+FD13-FM12,IF(A13&lt;'Données projet'!$A$218,$FB$205^A13,IF(A13='Données projet'!$A$218,'Données projet'!$B$218,FE12+FD13-FM12)))</f>
        <v>6.4807406984078657</v>
      </c>
      <c r="FF13" s="17">
        <f>FE13*VLOOKUP('Données projet'!$B$16,Paramètres!$A$1:$I$89,3,0)*VLOOKUP('Données projet'!$B$16,Paramètres!$A$1:$I$89,5,0)</f>
        <v>6.2681724035000874</v>
      </c>
      <c r="FG13" s="13">
        <f t="shared" si="47"/>
        <v>2.3329519459947301</v>
      </c>
      <c r="FH13" s="20">
        <f t="shared" si="22"/>
        <v>14.98029157537014</v>
      </c>
      <c r="FI13" s="59">
        <f t="shared" si="23"/>
        <v>262.32311693118271</v>
      </c>
      <c r="FJ13" s="59">
        <f ca="1">AVERAGE(OFFSET($FI$3,0,0,'Données projet'!$E$16+1,1))-AVERAGE(OFFSET($H$3,0,0,'Données projet'!$E$16+1,1))</f>
        <v>422.28024471365825</v>
      </c>
      <c r="FK13" s="59">
        <f t="shared" si="48"/>
        <v>266.49730479813206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64.123800854615553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3.56</v>
      </c>
      <c r="FZ13" s="12">
        <f>IF('Données projet'!$A$244&gt;35,FZ12+FY13-GH12,IF(A13&lt;'Données projet'!$A$244,$FW$205^A13,IF(A13='Données projet'!$A$244,'Données projet'!$B$244,FZ12+FY13-GH12)))</f>
        <v>6.0222114833056102</v>
      </c>
      <c r="GA13" s="17">
        <f>FZ13*VLOOKUP('Données projet'!$B$17,Paramètres!$A$1:$I$89,3,0)*VLOOKUP('Données projet'!$B$17,Paramètres!$A$1:$I$89,5,0)</f>
        <v>4.6973249569783757</v>
      </c>
      <c r="GB13" s="13">
        <f t="shared" si="49"/>
        <v>1.8080034704086858</v>
      </c>
      <c r="GC13" s="20">
        <f t="shared" si="25"/>
        <v>11.330113677699131</v>
      </c>
      <c r="GD13" s="59">
        <f t="shared" si="26"/>
        <v>258.67293903351174</v>
      </c>
      <c r="GE13" s="59">
        <f ca="1">AVERAGE(OFFSET($GD$3,0,0,'Données projet'!$E$17+1,1))-AVERAGE(OFFSET($H$3,0,0,'Données projet'!$E$17+1,1))</f>
        <v>300.95722646933314</v>
      </c>
      <c r="GF13" s="59">
        <f t="shared" si="50"/>
        <v>269.52365224623759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>
        <f>EXP(-LN(2)/35)*GL12+(1-EXP(-LN(2)/35))/(LN(2)/35)*GH13*GI13*VLOOKUP('Données projet'!$B$17,Paramètres!$A$1:$I$89,3,0)*0.475*44/12</f>
        <v>0</v>
      </c>
      <c r="GM13" s="21">
        <f>EXP(-LN(2)/25)*GM12+(1-EXP(-LN(2)/25))/(LN(2)/25)*Calculateur!GH13*Calculateur!GJ13*VLOOKUP('Données projet'!$B$17,Paramètres!$A$1:$I$89,3,0)*0.475*44/12</f>
        <v>0</v>
      </c>
      <c r="GN13" s="21">
        <f>EXP(-LN(2)/2)*GN12+(1-EXP(-LN(2)/2))/(LN(2)/2)*GH13*GK13*VLOOKUP('Données projet'!$B$17,Paramètres!$A$1:$I$89,3,0)*0.475*44/12</f>
        <v>0</v>
      </c>
      <c r="GO13" s="21">
        <f t="shared" si="27"/>
        <v>0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64.123800854615553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1.4000000000000001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5.1333333333333337</v>
      </c>
      <c r="H14" s="67">
        <f t="shared" si="1"/>
        <v>236.13333333333335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64.225739772574769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3.65</v>
      </c>
      <c r="N14" s="13">
        <f>IF('Données projet'!$A$36&gt;35,N13+M14-V13,IF(A14&lt;'Données projet'!$A$36,$K$205^A14,IF(A14='Données projet'!$A$36,'Données projet'!$B$36,N13+M14-V13)))</f>
        <v>10.588332555950936</v>
      </c>
      <c r="O14" s="13">
        <f>N14*VLOOKUP('Données projet'!$B$9,Paramètres!$A$1:$I$89,3,0)*VLOOKUP('Données projet'!$B$9,Paramètres!$A$1:$I$89,5,0)</f>
        <v>9.5803232966244067</v>
      </c>
      <c r="P14" s="13">
        <f t="shared" si="33"/>
        <v>3.3939041949894282</v>
      </c>
      <c r="Q14" s="20">
        <f t="shared" si="2"/>
        <v>22.596779547894098</v>
      </c>
      <c r="R14" s="59">
        <f t="shared" si="0"/>
        <v>271.53560315844601</v>
      </c>
      <c r="S14" s="59">
        <f ca="1">AVERAGE(OFFSET($R$3,0,0,'Données projet'!$E$9+1,1))-AVERAGE(OFFSET($H$3,0,0,'Données projet'!$E$9+1,1))</f>
        <v>479.46542424895119</v>
      </c>
      <c r="T14" s="59">
        <f t="shared" si="34"/>
        <v>337.96395820277337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64.225739772574769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3.65</v>
      </c>
      <c r="AI14" s="13">
        <f>IF('Données projet'!$A$62&gt;35,AI13+AH14-AQ13,IF(A14&lt;'Données projet'!$A$62,$AF$205^A14,IF(A14='Données projet'!$A$62,'Données projet'!$B$62,AI13+AH14-AQ13)))</f>
        <v>10.588332555950936</v>
      </c>
      <c r="AJ14" s="13">
        <f>AI14*VLOOKUP('Données projet'!$B$10,Paramètres!$A$1:$I$89,3,0)*VLOOKUP('Données projet'!$B$10,Paramètres!$A$1:$I$89,5,0)</f>
        <v>10.241035248115747</v>
      </c>
      <c r="AK14" s="13">
        <f t="shared" si="35"/>
        <v>3.5999121311945652</v>
      </c>
      <c r="AL14" s="20">
        <f t="shared" si="4"/>
        <v>24.106316685632123</v>
      </c>
      <c r="AM14" s="59">
        <f t="shared" si="5"/>
        <v>273.04514029618406</v>
      </c>
      <c r="AN14" s="59">
        <f ca="1">AVERAGE(OFFSET($AM$3,0,0,'Données projet'!$E$10+1,1))-AVERAGE(OFFSET($H$3,0,0,'Données projet'!$E$10+1,1))</f>
        <v>508.94560627895089</v>
      </c>
      <c r="AO14" s="59">
        <f t="shared" si="36"/>
        <v>357.86868650263034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64.225739772574769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5.85</v>
      </c>
      <c r="BD14" s="12">
        <f>IF('Données projet'!$A$88&gt;35,BD13+BC14-BL13,IF(A14&lt;'Données projet'!$A$88,$BA$205^A14,IF(A14='Données projet'!$A$88,'Données projet'!$B$88,BD13+BC14-BL13)))</f>
        <v>13.724679892033022</v>
      </c>
      <c r="BE14" s="13">
        <f>BD14*VLOOKUP('Données projet'!$B$11,Paramètres!$A$1:$I$89,3,0)*VLOOKUP('Données projet'!$B$11,Paramètres!$A$1:$I$89,5,0)</f>
        <v>10.705250315785758</v>
      </c>
      <c r="BF14" s="13">
        <f t="shared" si="37"/>
        <v>3.7437239768171127</v>
      </c>
      <c r="BG14" s="20">
        <f t="shared" si="7"/>
        <v>25.165296892949996</v>
      </c>
      <c r="BH14" s="59">
        <f t="shared" si="8"/>
        <v>274.10412050350192</v>
      </c>
      <c r="BI14" s="59">
        <f ca="1">AVERAGE(OFFSET($BH$3,0,0,'Données projet'!$E$11+1,1))-AVERAGE(OFFSET($H$3,0,0,'Données projet'!$E$11+1,1))</f>
        <v>383.03154033422328</v>
      </c>
      <c r="BJ14" s="59">
        <f t="shared" si="38"/>
        <v>373.27897156169877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64.225739772574769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3.65</v>
      </c>
      <c r="BY14" s="12">
        <f>IF('Données projet'!$A$114&gt;35,BY13+BX14-CG13,IF(A14&lt;'Données projet'!$A$114,$BV$205^A14,IF(A14='Données projet'!$A$114,'Données projet'!$B$114,BY13+BX14-CG13)))</f>
        <v>10.588332555950936</v>
      </c>
      <c r="BZ14" s="13">
        <f>BY14*VLOOKUP('Données projet'!$B$12,Paramètres!$A$1:$I$89,3,0)*VLOOKUP('Données projet'!$B$12,Paramètres!$A$1:$I$89,5,0)</f>
        <v>8.9196113451330703</v>
      </c>
      <c r="CA14" s="13">
        <f t="shared" si="39"/>
        <v>3.186234455512118</v>
      </c>
      <c r="CB14" s="20">
        <f t="shared" si="10"/>
        <v>21.084348102790369</v>
      </c>
      <c r="CC14" s="59">
        <f t="shared" si="11"/>
        <v>270.02317171334232</v>
      </c>
      <c r="CD14" s="59">
        <f ca="1">AVERAGE(OFFSET($CC$3,0,0,'Données projet'!$E$12+1,1))-AVERAGE(OFFSET($H$3,0,0,'Données projet'!$E$12+1,1))</f>
        <v>449.94334483948603</v>
      </c>
      <c r="CE14" s="59">
        <f t="shared" si="40"/>
        <v>318.02929110264176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64.225739772574769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1.6</v>
      </c>
      <c r="CT14" s="12">
        <f>IF('Données projet'!$A$140&gt;35,CT13+CS14-DB13,IF(A14&lt;'Données projet'!$A$140,$CQ$205^A14,IF(A14='Données projet'!$A$140,'Données projet'!$B$140,CT13+CS14-DB13)))</f>
        <v>6.7271713220297125</v>
      </c>
      <c r="CU14" s="17">
        <f>CT14*VLOOKUP('Données projet'!$B$13,Paramètres!$A$1:$I$89,3,0)*VLOOKUP('Données projet'!$B$13,Paramètres!$A$1:$I$89,5,0)</f>
        <v>5.771912994301494</v>
      </c>
      <c r="CV14" s="13">
        <f t="shared" si="41"/>
        <v>2.1689733648366443</v>
      </c>
      <c r="CW14" s="20">
        <f t="shared" si="13"/>
        <v>13.830377075498925</v>
      </c>
      <c r="CX14" s="59">
        <f t="shared" si="14"/>
        <v>262.76920068605085</v>
      </c>
      <c r="CY14" s="59">
        <f ca="1">AVERAGE(OFFSET($CX$3,0,0,'Données projet'!$E$13+1,1))-AVERAGE(OFFSET($H$3,0,0,'Données projet'!$E$13+1,1))</f>
        <v>565.32667500225568</v>
      </c>
      <c r="CZ14" s="59">
        <f t="shared" si="42"/>
        <v>275.06957234480944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64.225739772574769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20.100000000000001</v>
      </c>
      <c r="DO14" s="12">
        <f>IF('Données projet'!$A$166&gt;35,DO13+DN14-DW13,IF(A14&lt;'Données projet'!$A$166,$DL$205^A14,IF(A14='Données projet'!$A$166,'Données projet'!$B$166,DO13+DN14-DW13)))</f>
        <v>47.1</v>
      </c>
      <c r="DP14" s="17">
        <f>DO14*VLOOKUP('Données projet'!$B$14,Paramètres!$A$1:$I$89,3,0)*VLOOKUP('Données projet'!$B$14,Paramètres!$A$1:$I$89,5,0)</f>
        <v>26.328900000000001</v>
      </c>
      <c r="DQ14" s="13">
        <f t="shared" si="43"/>
        <v>8.2917540554735094</v>
      </c>
      <c r="DR14" s="20">
        <f t="shared" si="16"/>
        <v>60.297639146616369</v>
      </c>
      <c r="DS14" s="59">
        <f t="shared" si="17"/>
        <v>309.23646275716828</v>
      </c>
      <c r="DT14" s="59">
        <f ca="1">AVERAGE(OFFSET($DS$3,0,0,'Données projet'!$E$14+1,1))-AVERAGE(OFFSET($H$3,0,0,'Données projet'!$E$14+1,1))</f>
        <v>532.64469322244281</v>
      </c>
      <c r="DU14" s="59">
        <f t="shared" si="44"/>
        <v>525.88014011096413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64.225739772574769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2.1</v>
      </c>
      <c r="EJ14" s="12">
        <f>IF('Données projet'!$A$192&gt;35,EJ13+EI14-ER13,IF(A14&lt;'Données projet'!$A$192,$EG$205^A14,IF(A14='Données projet'!$A$192,'Données projet'!$B$192,EJ13+EI14-ER13)))</f>
        <v>7.8124474610620815</v>
      </c>
      <c r="EK14" s="17">
        <f>EJ14*VLOOKUP('Données projet'!$B$15,Paramètres!$A$1:$I$89,3,0)*VLOOKUP('Données projet'!$B$15,Paramètres!$A$1:$I$89,5,0)</f>
        <v>7.0687024627689707</v>
      </c>
      <c r="EL14" s="13">
        <f t="shared" si="45"/>
        <v>2.5943503554083325</v>
      </c>
      <c r="EM14" s="20">
        <f t="shared" si="19"/>
        <v>16.829816991658799</v>
      </c>
      <c r="EN14" s="59">
        <f t="shared" si="20"/>
        <v>265.76864060221072</v>
      </c>
      <c r="EO14" s="59">
        <f ca="1">AVERAGE(OFFSET($EN$3,0,0,'Données projet'!$E$15+1,1))-AVERAGE(OFFSET($H$3,0,0,'Données projet'!$E$15+1,1))</f>
        <v>398.27843768730202</v>
      </c>
      <c r="EP14" s="59">
        <f t="shared" si="46"/>
        <v>252.3617347568813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64.225739772574769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2.1</v>
      </c>
      <c r="FE14" s="12">
        <f>IF('Données projet'!$A$218&gt;35,FE13+FD14-FM13,IF(A14&lt;'Données projet'!$A$218,$FB$205^A14,IF(A14='Données projet'!$A$218,'Données projet'!$B$218,FE13+FD14-FM13)))</f>
        <v>7.8124474610620815</v>
      </c>
      <c r="FF14" s="17">
        <f>FE14*VLOOKUP('Données projet'!$B$16,Paramètres!$A$1:$I$89,3,0)*VLOOKUP('Données projet'!$B$16,Paramètres!$A$1:$I$89,5,0)</f>
        <v>7.5561991843392455</v>
      </c>
      <c r="FG14" s="13">
        <f t="shared" si="47"/>
        <v>2.7518258561310041</v>
      </c>
      <c r="FH14" s="20">
        <f t="shared" si="22"/>
        <v>17.953143612152349</v>
      </c>
      <c r="FI14" s="59">
        <f t="shared" si="23"/>
        <v>266.8919672227043</v>
      </c>
      <c r="FJ14" s="59">
        <f ca="1">AVERAGE(OFFSET($FI$3,0,0,'Données projet'!$E$16+1,1))-AVERAGE(OFFSET($H$3,0,0,'Données projet'!$E$16+1,1))</f>
        <v>422.28024471365825</v>
      </c>
      <c r="FK14" s="59">
        <f t="shared" si="48"/>
        <v>266.49730479813206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64.225739772574769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3.56</v>
      </c>
      <c r="FZ14" s="12">
        <f>IF('Données projet'!$A$244&gt;35,FZ13+FY14-GH13,IF(A14&lt;'Données projet'!$A$244,$FW$205^A14,IF(A14='Données projet'!$A$244,'Données projet'!$B$244,FZ13+FY14-GH13)))</f>
        <v>7.206619673149639</v>
      </c>
      <c r="GA14" s="17">
        <f>FZ14*VLOOKUP('Données projet'!$B$17,Paramètres!$A$1:$I$89,3,0)*VLOOKUP('Données projet'!$B$17,Paramètres!$A$1:$I$89,5,0)</f>
        <v>5.6211633450567184</v>
      </c>
      <c r="GB14" s="13">
        <f t="shared" si="49"/>
        <v>2.1188416445874947</v>
      </c>
      <c r="GC14" s="20">
        <f t="shared" si="25"/>
        <v>13.480508690297002</v>
      </c>
      <c r="GD14" s="59">
        <f t="shared" si="26"/>
        <v>262.41933230084896</v>
      </c>
      <c r="GE14" s="59">
        <f ca="1">AVERAGE(OFFSET($GD$3,0,0,'Données projet'!$E$17+1,1))-AVERAGE(OFFSET($H$3,0,0,'Données projet'!$E$17+1,1))</f>
        <v>300.95722646933314</v>
      </c>
      <c r="GF14" s="59">
        <f t="shared" si="50"/>
        <v>269.52365224623759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>
        <f>EXP(-LN(2)/35)*GL13+(1-EXP(-LN(2)/35))/(LN(2)/35)*GH14*GI14*VLOOKUP('Données projet'!$B$17,Paramètres!$A$1:$I$89,3,0)*0.475*44/12</f>
        <v>0</v>
      </c>
      <c r="GM14" s="21">
        <f>EXP(-LN(2)/25)*GM13+(1-EXP(-LN(2)/25))/(LN(2)/25)*Calculateur!GH14*Calculateur!GJ14*VLOOKUP('Données projet'!$B$17,Paramètres!$A$1:$I$89,3,0)*0.475*44/12</f>
        <v>0</v>
      </c>
      <c r="GN14" s="21">
        <f>EXP(-LN(2)/2)*GN13+(1-EXP(-LN(2)/2))/(LN(2)/2)*GH14*GK14*VLOOKUP('Données projet'!$B$17,Paramètres!$A$1:$I$89,3,0)*0.475*44/12</f>
        <v>0</v>
      </c>
      <c r="GO14" s="21">
        <f t="shared" si="27"/>
        <v>0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64.225739772574769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1.4000000000000001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5.1333333333333337</v>
      </c>
      <c r="H15" s="67">
        <f t="shared" si="1"/>
        <v>236.13333333333335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64.325910278208696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3.65</v>
      </c>
      <c r="N15" s="13">
        <f>IF('Données projet'!$A$36&gt;35,N14+M15-V14,IF(A15&lt;'Données projet'!$A$36,$K$205^A15,IF(A15='Données projet'!$A$36,'Données projet'!$B$36,N14+M15-V14)))</f>
        <v>13.121809125710287</v>
      </c>
      <c r="O15" s="13">
        <f>N15*VLOOKUP('Données projet'!$B$9,Paramètres!$A$1:$I$89,3,0)*VLOOKUP('Données projet'!$B$9,Paramètres!$A$1:$I$89,5,0)</f>
        <v>11.872612896942668</v>
      </c>
      <c r="P15" s="13">
        <f t="shared" si="33"/>
        <v>4.1022411108131784</v>
      </c>
      <c r="Q15" s="20">
        <f t="shared" si="2"/>
        <v>27.822870730174767</v>
      </c>
      <c r="R15" s="59">
        <f t="shared" si="0"/>
        <v>278.35120841693998</v>
      </c>
      <c r="S15" s="59">
        <f ca="1">AVERAGE(OFFSET($R$3,0,0,'Données projet'!$E$9+1,1))-AVERAGE(OFFSET($H$3,0,0,'Données projet'!$E$9+1,1))</f>
        <v>479.46542424895119</v>
      </c>
      <c r="T15" s="59">
        <f t="shared" si="34"/>
        <v>337.96395820277337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64.325910278208696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3.65</v>
      </c>
      <c r="AI15" s="13">
        <f>IF('Données projet'!$A$62&gt;35,AI14+AH15-AQ14,IF(A15&lt;'Données projet'!$A$62,$AF$205^A15,IF(A15='Données projet'!$A$62,'Données projet'!$B$62,AI14+AH15-AQ14)))</f>
        <v>13.121809125710287</v>
      </c>
      <c r="AJ15" s="13">
        <f>AI15*VLOOKUP('Données projet'!$B$10,Paramètres!$A$1:$I$89,3,0)*VLOOKUP('Données projet'!$B$10,Paramètres!$A$1:$I$89,5,0)</f>
        <v>12.69141378638699</v>
      </c>
      <c r="AK15" s="13">
        <f t="shared" si="35"/>
        <v>4.3512446702837533</v>
      </c>
      <c r="AL15" s="20">
        <f t="shared" si="4"/>
        <v>29.682630145368211</v>
      </c>
      <c r="AM15" s="59">
        <f t="shared" si="5"/>
        <v>280.21096783213341</v>
      </c>
      <c r="AN15" s="59">
        <f ca="1">AVERAGE(OFFSET($AM$3,0,0,'Données projet'!$E$10+1,1))-AVERAGE(OFFSET($H$3,0,0,'Données projet'!$E$10+1,1))</f>
        <v>508.94560627895089</v>
      </c>
      <c r="AO15" s="59">
        <f t="shared" si="36"/>
        <v>357.86868650263034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64.325910278208696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5.85</v>
      </c>
      <c r="BD15" s="12">
        <f>IF('Données projet'!$A$88&gt;35,BD14+BC15-BL14,IF(A15&lt;'Données projet'!$A$88,$BA$205^A15,IF(A15='Données projet'!$A$88,'Données projet'!$B$88,BD14+BC15-BL14)))</f>
        <v>17.414520346317467</v>
      </c>
      <c r="BE15" s="13">
        <f>BD15*VLOOKUP('Données projet'!$B$11,Paramètres!$A$1:$I$89,3,0)*VLOOKUP('Données projet'!$B$11,Paramètres!$A$1:$I$89,5,0)</f>
        <v>13.583325870127625</v>
      </c>
      <c r="BF15" s="13">
        <f t="shared" si="37"/>
        <v>4.6203648609004491</v>
      </c>
      <c r="BG15" s="20">
        <f t="shared" si="7"/>
        <v>31.704761356540562</v>
      </c>
      <c r="BH15" s="59">
        <f t="shared" si="8"/>
        <v>282.2330990433058</v>
      </c>
      <c r="BI15" s="59">
        <f ca="1">AVERAGE(OFFSET($BH$3,0,0,'Données projet'!$E$11+1,1))-AVERAGE(OFFSET($H$3,0,0,'Données projet'!$E$11+1,1))</f>
        <v>383.03154033422328</v>
      </c>
      <c r="BJ15" s="59">
        <f t="shared" si="38"/>
        <v>373.27897156169877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64.325910278208696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3.65</v>
      </c>
      <c r="BY15" s="12">
        <f>IF('Données projet'!$A$114&gt;35,BY14+BX15-CG14,IF(A15&lt;'Données projet'!$A$114,$BV$205^A15,IF(A15='Données projet'!$A$114,'Données projet'!$B$114,BY14+BX15-CG14)))</f>
        <v>13.121809125710287</v>
      </c>
      <c r="BZ15" s="13">
        <f>BY15*VLOOKUP('Données projet'!$B$12,Paramètres!$A$1:$I$89,3,0)*VLOOKUP('Données projet'!$B$12,Paramètres!$A$1:$I$89,5,0)</f>
        <v>11.053812007498347</v>
      </c>
      <c r="CA15" s="13">
        <f t="shared" si="39"/>
        <v>3.8512289154738402</v>
      </c>
      <c r="CB15" s="20">
        <f t="shared" si="10"/>
        <v>25.959612940843225</v>
      </c>
      <c r="CC15" s="59">
        <f t="shared" si="11"/>
        <v>276.48795062760843</v>
      </c>
      <c r="CD15" s="59">
        <f ca="1">AVERAGE(OFFSET($CC$3,0,0,'Données projet'!$E$12+1,1))-AVERAGE(OFFSET($H$3,0,0,'Données projet'!$E$12+1,1))</f>
        <v>449.94334483948603</v>
      </c>
      <c r="CE15" s="59">
        <f t="shared" si="40"/>
        <v>318.02929110264176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64.325910278208696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1.6</v>
      </c>
      <c r="CT15" s="12">
        <f>IF('Données projet'!$A$140&gt;35,CT14+CS15-DB14,IF(A15&lt;'Données projet'!$A$140,$CQ$205^A15,IF(A15='Données projet'!$A$140,'Données projet'!$B$140,CT14+CS15-DB14)))</f>
        <v>7.9999999999999947</v>
      </c>
      <c r="CU15" s="17">
        <f>CT15*VLOOKUP('Données projet'!$B$13,Paramètres!$A$1:$I$89,3,0)*VLOOKUP('Données projet'!$B$13,Paramètres!$A$1:$I$89,5,0)</f>
        <v>6.8639999999999963</v>
      </c>
      <c r="CV15" s="13">
        <f t="shared" si="41"/>
        <v>2.5278525909113112</v>
      </c>
      <c r="CW15" s="20">
        <f t="shared" si="13"/>
        <v>16.357476595837191</v>
      </c>
      <c r="CX15" s="59">
        <f t="shared" si="14"/>
        <v>266.88581428260238</v>
      </c>
      <c r="CY15" s="59">
        <f ca="1">AVERAGE(OFFSET($CX$3,0,0,'Données projet'!$E$13+1,1))-AVERAGE(OFFSET($H$3,0,0,'Données projet'!$E$13+1,1))</f>
        <v>565.32667500225568</v>
      </c>
      <c r="CZ15" s="59">
        <f t="shared" si="42"/>
        <v>275.06957234480944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64.325910278208696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20.100000000000001</v>
      </c>
      <c r="DO15" s="12">
        <f>IF('Données projet'!$A$166&gt;35,DO14+DN15-DW14,IF(A15&lt;'Données projet'!$A$166,$DL$205^A15,IF(A15='Données projet'!$A$166,'Données projet'!$B$166,DO14+DN15-DW14)))</f>
        <v>67.2</v>
      </c>
      <c r="DP15" s="17">
        <f>DO15*VLOOKUP('Données projet'!$B$14,Paramètres!$A$1:$I$89,3,0)*VLOOKUP('Données projet'!$B$14,Paramètres!$A$1:$I$89,5,0)</f>
        <v>37.564800000000005</v>
      </c>
      <c r="DQ15" s="13">
        <f t="shared" si="43"/>
        <v>11.350856362116868</v>
      </c>
      <c r="DR15" s="20">
        <f t="shared" si="16"/>
        <v>85.194768164020218</v>
      </c>
      <c r="DS15" s="59">
        <f t="shared" si="17"/>
        <v>335.72310585078543</v>
      </c>
      <c r="DT15" s="59">
        <f ca="1">AVERAGE(OFFSET($DS$3,0,0,'Données projet'!$E$14+1,1))-AVERAGE(OFFSET($H$3,0,0,'Données projet'!$E$14+1,1))</f>
        <v>532.64469322244281</v>
      </c>
      <c r="DU15" s="59">
        <f t="shared" si="44"/>
        <v>525.88014011096413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64.325910278208696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2.1</v>
      </c>
      <c r="EJ15" s="12">
        <f>IF('Données projet'!$A$192&gt;35,EJ14+EI15-ER14,IF(A15&lt;'Données projet'!$A$192,$EG$205^A15,IF(A15='Données projet'!$A$192,'Données projet'!$B$192,EJ14+EI15-ER14)))</f>
        <v>9.4178024044149407</v>
      </c>
      <c r="EK15" s="17">
        <f>EJ15*VLOOKUP('Données projet'!$B$15,Paramètres!$A$1:$I$89,3,0)*VLOOKUP('Données projet'!$B$15,Paramètres!$A$1:$I$89,5,0)</f>
        <v>8.521227615514638</v>
      </c>
      <c r="EL15" s="13">
        <f t="shared" si="45"/>
        <v>3.0601574970852128</v>
      </c>
      <c r="EM15" s="20">
        <f t="shared" si="19"/>
        <v>20.170912404444739</v>
      </c>
      <c r="EN15" s="59">
        <f t="shared" si="20"/>
        <v>270.69925009120993</v>
      </c>
      <c r="EO15" s="59">
        <f ca="1">AVERAGE(OFFSET($EN$3,0,0,'Données projet'!$E$15+1,1))-AVERAGE(OFFSET($H$3,0,0,'Données projet'!$E$15+1,1))</f>
        <v>398.27843768730202</v>
      </c>
      <c r="EP15" s="59">
        <f t="shared" si="46"/>
        <v>252.3617347568813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64.325910278208696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2.1</v>
      </c>
      <c r="FE15" s="12">
        <f>IF('Données projet'!$A$218&gt;35,FE14+FD15-FM14,IF(A15&lt;'Données projet'!$A$218,$FB$205^A15,IF(A15='Données projet'!$A$218,'Données projet'!$B$218,FE14+FD15-FM14)))</f>
        <v>9.4178024044149407</v>
      </c>
      <c r="FF15" s="17">
        <f>FE15*VLOOKUP('Données projet'!$B$16,Paramètres!$A$1:$I$89,3,0)*VLOOKUP('Données projet'!$B$16,Paramètres!$A$1:$I$89,5,0)</f>
        <v>9.1088984855501316</v>
      </c>
      <c r="FG15" s="13">
        <f t="shared" si="47"/>
        <v>3.2459072101643005</v>
      </c>
      <c r="FH15" s="20">
        <f t="shared" si="22"/>
        <v>21.517953253369303</v>
      </c>
      <c r="FI15" s="59">
        <f t="shared" si="23"/>
        <v>272.0462909401345</v>
      </c>
      <c r="FJ15" s="59">
        <f ca="1">AVERAGE(OFFSET($FI$3,0,0,'Données projet'!$E$16+1,1))-AVERAGE(OFFSET($H$3,0,0,'Données projet'!$E$16+1,1))</f>
        <v>422.28024471365825</v>
      </c>
      <c r="FK15" s="59">
        <f t="shared" si="48"/>
        <v>266.49730479813206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64.325910278208696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3.56</v>
      </c>
      <c r="FZ15" s="12">
        <f>IF('Données projet'!$A$244&gt;35,FZ14+FY15-GH14,IF(A15&lt;'Données projet'!$A$244,$FW$205^A15,IF(A15='Données projet'!$A$244,'Données projet'!$B$244,FZ14+FY15-GH14)))</f>
        <v>8.6239693271150166</v>
      </c>
      <c r="GA15" s="17">
        <f>FZ15*VLOOKUP('Données projet'!$B$17,Paramètres!$A$1:$I$89,3,0)*VLOOKUP('Données projet'!$B$17,Paramètres!$A$1:$I$89,5,0)</f>
        <v>6.7266960751497136</v>
      </c>
      <c r="GB15" s="13">
        <f t="shared" si="49"/>
        <v>2.4831201866130401</v>
      </c>
      <c r="GC15" s="20">
        <f t="shared" si="25"/>
        <v>16.040429989236795</v>
      </c>
      <c r="GD15" s="59">
        <f t="shared" si="26"/>
        <v>266.56876767600198</v>
      </c>
      <c r="GE15" s="59">
        <f ca="1">AVERAGE(OFFSET($GD$3,0,0,'Données projet'!$E$17+1,1))-AVERAGE(OFFSET($H$3,0,0,'Données projet'!$E$17+1,1))</f>
        <v>300.95722646933314</v>
      </c>
      <c r="GF15" s="59">
        <f t="shared" si="50"/>
        <v>269.52365224623759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>
        <f>EXP(-LN(2)/35)*GL14+(1-EXP(-LN(2)/35))/(LN(2)/35)*GH15*GI15*VLOOKUP('Données projet'!$B$17,Paramètres!$A$1:$I$89,3,0)*0.475*44/12</f>
        <v>0</v>
      </c>
      <c r="GM15" s="21">
        <f>EXP(-LN(2)/25)*GM14+(1-EXP(-LN(2)/25))/(LN(2)/25)*Calculateur!GH15*Calculateur!GJ15*VLOOKUP('Données projet'!$B$17,Paramètres!$A$1:$I$89,3,0)*0.475*44/12</f>
        <v>0</v>
      </c>
      <c r="GN15" s="21">
        <f>EXP(-LN(2)/2)*GN14+(1-EXP(-LN(2)/2))/(LN(2)/2)*GH15*GK15*VLOOKUP('Données projet'!$B$17,Paramètres!$A$1:$I$89,3,0)*0.475*44/12</f>
        <v>0</v>
      </c>
      <c r="GO15" s="21">
        <f t="shared" si="27"/>
        <v>0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64.325910278208696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1.4000000000000001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5.1333333333333337</v>
      </c>
      <c r="H16" s="67">
        <f t="shared" si="1"/>
        <v>236.13333333333335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64.42434304951756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3.65</v>
      </c>
      <c r="N16" s="13">
        <f>IF('Données projet'!$A$36&gt;35,N15+M16-V15,IF(A16&lt;'Données projet'!$A$36,$K$205^A16,IF(A16='Données projet'!$A$36,'Données projet'!$B$36,N15+M16-V15)))</f>
        <v>16.261472127148366</v>
      </c>
      <c r="O16" s="13">
        <f>N16*VLOOKUP('Données projet'!$B$9,Paramètres!$A$1:$I$89,3,0)*VLOOKUP('Données projet'!$B$9,Paramètres!$A$1:$I$89,5,0)</f>
        <v>14.713379980643843</v>
      </c>
      <c r="P16" s="13">
        <f t="shared" si="33"/>
        <v>4.9584140165447881</v>
      </c>
      <c r="Q16" s="20">
        <f t="shared" si="2"/>
        <v>34.261707878436859</v>
      </c>
      <c r="R16" s="59">
        <f t="shared" si="0"/>
        <v>286.37318794889012</v>
      </c>
      <c r="S16" s="59">
        <f ca="1">AVERAGE(OFFSET($R$3,0,0,'Données projet'!$E$9+1,1))-AVERAGE(OFFSET($H$3,0,0,'Données projet'!$E$9+1,1))</f>
        <v>479.46542424895119</v>
      </c>
      <c r="T16" s="59">
        <f t="shared" si="34"/>
        <v>337.96395820277337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64.42434304951756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3.65</v>
      </c>
      <c r="AI16" s="13">
        <f>IF('Données projet'!$A$62&gt;35,AI15+AH16-AQ15,IF(A16&lt;'Données projet'!$A$62,$AF$205^A16,IF(A16='Données projet'!$A$62,'Données projet'!$B$62,AI15+AH16-AQ15)))</f>
        <v>16.261472127148366</v>
      </c>
      <c r="AJ16" s="13">
        <f>AI16*VLOOKUP('Données projet'!$B$10,Paramètres!$A$1:$I$89,3,0)*VLOOKUP('Données projet'!$B$10,Paramètres!$A$1:$I$89,5,0)</f>
        <v>15.728095841377899</v>
      </c>
      <c r="AK16" s="13">
        <f t="shared" si="35"/>
        <v>5.2593867546400634</v>
      </c>
      <c r="AL16" s="20">
        <f t="shared" si="4"/>
        <v>36.553198854731285</v>
      </c>
      <c r="AM16" s="59">
        <f t="shared" si="5"/>
        <v>288.66467892518455</v>
      </c>
      <c r="AN16" s="59">
        <f ca="1">AVERAGE(OFFSET($AM$3,0,0,'Données projet'!$E$10+1,1))-AVERAGE(OFFSET($H$3,0,0,'Données projet'!$E$10+1,1))</f>
        <v>508.94560627895089</v>
      </c>
      <c r="AO16" s="59">
        <f t="shared" si="36"/>
        <v>357.86868650263034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64.42434304951756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5.85</v>
      </c>
      <c r="BD16" s="12">
        <f>IF('Données projet'!$A$88&gt;35,BD15+BC16-BL15,IF(A16&lt;'Données projet'!$A$88,$BA$205^A16,IF(A16='Données projet'!$A$88,'Données projet'!$B$88,BD15+BC16-BL15)))</f>
        <v>22.096363724180279</v>
      </c>
      <c r="BE16" s="13">
        <f>BD16*VLOOKUP('Données projet'!$B$11,Paramètres!$A$1:$I$89,3,0)*VLOOKUP('Données projet'!$B$11,Paramètres!$A$1:$I$89,5,0)</f>
        <v>17.235163704860618</v>
      </c>
      <c r="BF16" s="13">
        <f t="shared" si="37"/>
        <v>5.7022824278817001</v>
      </c>
      <c r="BG16" s="20">
        <f t="shared" si="7"/>
        <v>39.949385347859533</v>
      </c>
      <c r="BH16" s="59">
        <f t="shared" si="8"/>
        <v>292.0608654183128</v>
      </c>
      <c r="BI16" s="59">
        <f ca="1">AVERAGE(OFFSET($BH$3,0,0,'Données projet'!$E$11+1,1))-AVERAGE(OFFSET($H$3,0,0,'Données projet'!$E$11+1,1))</f>
        <v>383.03154033422328</v>
      </c>
      <c r="BJ16" s="59">
        <f t="shared" si="38"/>
        <v>373.27897156169877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64.42434304951756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3.65</v>
      </c>
      <c r="BY16" s="12">
        <f>IF('Données projet'!$A$114&gt;35,BY15+BX16-CG15,IF(A16&lt;'Données projet'!$A$114,$BV$205^A16,IF(A16='Données projet'!$A$114,'Données projet'!$B$114,BY15+BX16-CG15)))</f>
        <v>16.261472127148366</v>
      </c>
      <c r="BZ16" s="13">
        <f>BY16*VLOOKUP('Données projet'!$B$12,Paramètres!$A$1:$I$89,3,0)*VLOOKUP('Données projet'!$B$12,Paramètres!$A$1:$I$89,5,0)</f>
        <v>13.698664119909786</v>
      </c>
      <c r="CA16" s="13">
        <f t="shared" si="39"/>
        <v>4.6550134230463893</v>
      </c>
      <c r="CB16" s="20">
        <f t="shared" si="10"/>
        <v>31.965988387315338</v>
      </c>
      <c r="CC16" s="59">
        <f t="shared" si="11"/>
        <v>284.07746845776859</v>
      </c>
      <c r="CD16" s="59">
        <f ca="1">AVERAGE(OFFSET($CC$3,0,0,'Données projet'!$E$12+1,1))-AVERAGE(OFFSET($H$3,0,0,'Données projet'!$E$12+1,1))</f>
        <v>449.94334483948603</v>
      </c>
      <c r="CE16" s="59">
        <f t="shared" si="40"/>
        <v>318.02929110264176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64.42434304951756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1.6</v>
      </c>
      <c r="CT16" s="12">
        <f>IF('Données projet'!$A$140&gt;35,CT15+CS16-DB15,IF(A16&lt;'Données projet'!$A$140,$CQ$205^A16,IF(A16='Données projet'!$A$140,'Données projet'!$B$140,CT15+CS16-DB15)))</f>
        <v>9.5136569200217629</v>
      </c>
      <c r="CU16" s="17">
        <f>CT16*VLOOKUP('Données projet'!$B$13,Paramètres!$A$1:$I$89,3,0)*VLOOKUP('Données projet'!$B$13,Paramètres!$A$1:$I$89,5,0)</f>
        <v>8.1627176373786732</v>
      </c>
      <c r="CV16" s="13">
        <f t="shared" si="41"/>
        <v>2.946112121509751</v>
      </c>
      <c r="CW16" s="20">
        <f t="shared" si="13"/>
        <v>19.347878496730672</v>
      </c>
      <c r="CX16" s="59">
        <f t="shared" si="14"/>
        <v>271.45935856718393</v>
      </c>
      <c r="CY16" s="59">
        <f ca="1">AVERAGE(OFFSET($CX$3,0,0,'Données projet'!$E$13+1,1))-AVERAGE(OFFSET($H$3,0,0,'Données projet'!$E$13+1,1))</f>
        <v>565.32667500225568</v>
      </c>
      <c r="CZ16" s="59">
        <f t="shared" si="42"/>
        <v>275.06957234480944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64.42434304951756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20.100000000000001</v>
      </c>
      <c r="DO16" s="12">
        <f>IF('Données projet'!$A$166&gt;35,DO15+DN16-DW15,IF(A16&lt;'Données projet'!$A$166,$DL$205^A16,IF(A16='Données projet'!$A$166,'Données projet'!$B$166,DO15+DN16-DW15)))</f>
        <v>87.300000000000011</v>
      </c>
      <c r="DP16" s="17">
        <f>DO16*VLOOKUP('Données projet'!$B$14,Paramètres!$A$1:$I$89,3,0)*VLOOKUP('Données projet'!$B$14,Paramètres!$A$1:$I$89,5,0)</f>
        <v>48.800700000000006</v>
      </c>
      <c r="DQ16" s="13">
        <f t="shared" si="43"/>
        <v>14.303598928763776</v>
      </c>
      <c r="DR16" s="20">
        <f t="shared" si="16"/>
        <v>109.90665396759691</v>
      </c>
      <c r="DS16" s="59">
        <f t="shared" si="17"/>
        <v>362.01813403805016</v>
      </c>
      <c r="DT16" s="59">
        <f ca="1">AVERAGE(OFFSET($DS$3,0,0,'Données projet'!$E$14+1,1))-AVERAGE(OFFSET($H$3,0,0,'Données projet'!$E$14+1,1))</f>
        <v>532.64469322244281</v>
      </c>
      <c r="DU16" s="59">
        <f t="shared" si="44"/>
        <v>525.88014011096413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64.42434304951756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2.1</v>
      </c>
      <c r="EJ16" s="12">
        <f>IF('Données projet'!$A$192&gt;35,EJ15+EI16-ER15,IF(A16&lt;'Données projet'!$A$192,$EG$205^A16,IF(A16='Données projet'!$A$192,'Données projet'!$B$192,EJ15+EI16-ER15)))</f>
        <v>11.35303662145153</v>
      </c>
      <c r="EK16" s="17">
        <f>EJ16*VLOOKUP('Données projet'!$B$15,Paramètres!$A$1:$I$89,3,0)*VLOOKUP('Données projet'!$B$15,Paramètres!$A$1:$I$89,5,0)</f>
        <v>10.272227535089344</v>
      </c>
      <c r="EL16" s="13">
        <f t="shared" si="45"/>
        <v>3.6095987912522753</v>
      </c>
      <c r="EM16" s="20">
        <f t="shared" si="19"/>
        <v>24.177514185044988</v>
      </c>
      <c r="EN16" s="59">
        <f t="shared" si="20"/>
        <v>276.28899425549827</v>
      </c>
      <c r="EO16" s="59">
        <f ca="1">AVERAGE(OFFSET($EN$3,0,0,'Données projet'!$E$15+1,1))-AVERAGE(OFFSET($H$3,0,0,'Données projet'!$E$15+1,1))</f>
        <v>398.27843768730202</v>
      </c>
      <c r="EP16" s="59">
        <f t="shared" si="46"/>
        <v>252.3617347568813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64.42434304951756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2.1</v>
      </c>
      <c r="FE16" s="12">
        <f>IF('Données projet'!$A$218&gt;35,FE15+FD16-FM15,IF(A16&lt;'Données projet'!$A$218,$FB$205^A16,IF(A16='Données projet'!$A$218,'Données projet'!$B$218,FE15+FD16-FM15)))</f>
        <v>11.35303662145153</v>
      </c>
      <c r="FF16" s="17">
        <f>FE16*VLOOKUP('Données projet'!$B$16,Paramètres!$A$1:$I$89,3,0)*VLOOKUP('Données projet'!$B$16,Paramètres!$A$1:$I$89,5,0)</f>
        <v>10.98065702026792</v>
      </c>
      <c r="FG16" s="13">
        <f t="shared" si="47"/>
        <v>3.8286992592655618</v>
      </c>
      <c r="FH16" s="20">
        <f t="shared" si="22"/>
        <v>25.792962186854144</v>
      </c>
      <c r="FI16" s="59">
        <f t="shared" si="23"/>
        <v>277.90444225730744</v>
      </c>
      <c r="FJ16" s="59">
        <f ca="1">AVERAGE(OFFSET($FI$3,0,0,'Données projet'!$E$16+1,1))-AVERAGE(OFFSET($H$3,0,0,'Données projet'!$E$16+1,1))</f>
        <v>422.28024471365825</v>
      </c>
      <c r="FK16" s="59">
        <f t="shared" si="48"/>
        <v>266.49730479813206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64.42434304951756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3.56</v>
      </c>
      <c r="FZ16" s="12">
        <f>IF('Données projet'!$A$244&gt;35,FZ15+FY16-GH15,IF(A16&lt;'Données projet'!$A$244,$FW$205^A16,IF(A16='Données projet'!$A$244,'Données projet'!$B$244,FZ15+FY16-GH15)))</f>
        <v>10.320073811043248</v>
      </c>
      <c r="GA16" s="17">
        <f>FZ16*VLOOKUP('Données projet'!$B$17,Paramètres!$A$1:$I$89,3,0)*VLOOKUP('Données projet'!$B$17,Paramètres!$A$1:$I$89,5,0)</f>
        <v>8.049657572613734</v>
      </c>
      <c r="GB16" s="13">
        <f t="shared" si="49"/>
        <v>2.9100267483017022</v>
      </c>
      <c r="GC16" s="20">
        <f t="shared" si="25"/>
        <v>19.088116858927716</v>
      </c>
      <c r="GD16" s="59">
        <f t="shared" si="26"/>
        <v>271.19959692938096</v>
      </c>
      <c r="GE16" s="59">
        <f ca="1">AVERAGE(OFFSET($GD$3,0,0,'Données projet'!$E$17+1,1))-AVERAGE(OFFSET($H$3,0,0,'Données projet'!$E$17+1,1))</f>
        <v>300.95722646933314</v>
      </c>
      <c r="GF16" s="59">
        <f t="shared" si="50"/>
        <v>269.52365224623759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>
        <f>EXP(-LN(2)/35)*GL15+(1-EXP(-LN(2)/35))/(LN(2)/35)*GH16*GI16*VLOOKUP('Données projet'!$B$17,Paramètres!$A$1:$I$89,3,0)*0.475*44/12</f>
        <v>0</v>
      </c>
      <c r="GM16" s="21">
        <f>EXP(-LN(2)/25)*GM15+(1-EXP(-LN(2)/25))/(LN(2)/25)*Calculateur!GH16*Calculateur!GJ16*VLOOKUP('Données projet'!$B$17,Paramètres!$A$1:$I$89,3,0)*0.475*44/12</f>
        <v>0</v>
      </c>
      <c r="GN16" s="21">
        <f>EXP(-LN(2)/2)*GN15+(1-EXP(-LN(2)/2))/(LN(2)/2)*GH16*GK16*VLOOKUP('Données projet'!$B$17,Paramètres!$A$1:$I$89,3,0)*0.475*44/12</f>
        <v>0</v>
      </c>
      <c r="GO16" s="21">
        <f t="shared" si="27"/>
        <v>0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64.42434304951756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1.4000000000000001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5.1333333333333337</v>
      </c>
      <c r="H17" s="67">
        <f t="shared" si="1"/>
        <v>236.13333333333335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64.521068232306931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3.65</v>
      </c>
      <c r="N17" s="13">
        <f>IF('Données projet'!$A$36&gt;35,N16+M17-V16,IF(A17&lt;'Données projet'!$A$36,$K$205^A17,IF(A17='Données projet'!$A$36,'Données projet'!$B$36,N16+M17-V16)))</f>
        <v>20.152364144963837</v>
      </c>
      <c r="O17" s="13">
        <f>N17*VLOOKUP('Données projet'!$B$9,Paramètres!$A$1:$I$89,3,0)*VLOOKUP('Données projet'!$B$9,Paramètres!$A$1:$I$89,5,0)</f>
        <v>18.233859078363277</v>
      </c>
      <c r="P17" s="13">
        <f t="shared" si="33"/>
        <v>5.9932775513027368</v>
      </c>
      <c r="Q17" s="20">
        <f t="shared" si="2"/>
        <v>42.195596296668306</v>
      </c>
      <c r="R17" s="59">
        <f t="shared" si="0"/>
        <v>295.88395759290484</v>
      </c>
      <c r="S17" s="59">
        <f ca="1">AVERAGE(OFFSET($R$3,0,0,'Données projet'!$E$9+1,1))-AVERAGE(OFFSET($H$3,0,0,'Données projet'!$E$9+1,1))</f>
        <v>479.46542424895119</v>
      </c>
      <c r="T17" s="59">
        <f t="shared" si="34"/>
        <v>337.96395820277337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64.521068232306931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3.65</v>
      </c>
      <c r="AI17" s="13">
        <f>IF('Données projet'!$A$62&gt;35,AI16+AH17-AQ16,IF(A17&lt;'Données projet'!$A$62,$AF$205^A17,IF(A17='Données projet'!$A$62,'Données projet'!$B$62,AI16+AH17-AQ16)))</f>
        <v>20.152364144963837</v>
      </c>
      <c r="AJ17" s="13">
        <f>AI17*VLOOKUP('Données projet'!$B$10,Paramètres!$A$1:$I$89,3,0)*VLOOKUP('Données projet'!$B$10,Paramètres!$A$1:$I$89,5,0)</f>
        <v>19.491366601009023</v>
      </c>
      <c r="AK17" s="13">
        <f t="shared" si="35"/>
        <v>6.3570658813537859</v>
      </c>
      <c r="AL17" s="20">
        <f t="shared" si="4"/>
        <v>45.01935324011523</v>
      </c>
      <c r="AM17" s="59">
        <f t="shared" si="5"/>
        <v>298.70771453635177</v>
      </c>
      <c r="AN17" s="59">
        <f ca="1">AVERAGE(OFFSET($AM$3,0,0,'Données projet'!$E$10+1,1))-AVERAGE(OFFSET($H$3,0,0,'Données projet'!$E$10+1,1))</f>
        <v>508.94560627895089</v>
      </c>
      <c r="AO17" s="59">
        <f t="shared" si="36"/>
        <v>357.86868650263034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64.521068232306931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5.85</v>
      </c>
      <c r="BD17" s="12">
        <f>IF('Données projet'!$A$88&gt;35,BD16+BC17-BL16,IF(A17&lt;'Données projet'!$A$88,$BA$205^A17,IF(A17='Données projet'!$A$88,'Données projet'!$B$88,BD16+BC17-BL16)))</f>
        <v>28.036907139651255</v>
      </c>
      <c r="BE17" s="13">
        <f>BD17*VLOOKUP('Données projet'!$B$11,Paramètres!$A$1:$I$89,3,0)*VLOOKUP('Données projet'!$B$11,Paramètres!$A$1:$I$89,5,0)</f>
        <v>21.868787568927981</v>
      </c>
      <c r="BF17" s="13">
        <f t="shared" si="37"/>
        <v>7.0375448403422114</v>
      </c>
      <c r="BG17" s="20">
        <f t="shared" si="7"/>
        <v>50.34519561281224</v>
      </c>
      <c r="BH17" s="59">
        <f t="shared" si="8"/>
        <v>304.0335569090488</v>
      </c>
      <c r="BI17" s="59">
        <f ca="1">AVERAGE(OFFSET($BH$3,0,0,'Données projet'!$E$11+1,1))-AVERAGE(OFFSET($H$3,0,0,'Données projet'!$E$11+1,1))</f>
        <v>383.03154033422328</v>
      </c>
      <c r="BJ17" s="59">
        <f t="shared" si="38"/>
        <v>373.27897156169877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64.521068232306931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3.65</v>
      </c>
      <c r="BY17" s="12">
        <f>IF('Données projet'!$A$114&gt;35,BY16+BX17-CG16,IF(A17&lt;'Données projet'!$A$114,$BV$205^A17,IF(A17='Données projet'!$A$114,'Données projet'!$B$114,BY16+BX17-CG16)))</f>
        <v>20.152364144963837</v>
      </c>
      <c r="BZ17" s="13">
        <f>BY17*VLOOKUP('Données projet'!$B$12,Paramètres!$A$1:$I$89,3,0)*VLOOKUP('Données projet'!$B$12,Paramètres!$A$1:$I$89,5,0)</f>
        <v>16.976351555717539</v>
      </c>
      <c r="CA17" s="13">
        <f t="shared" si="39"/>
        <v>5.6265546516016363</v>
      </c>
      <c r="CB17" s="20">
        <f t="shared" si="10"/>
        <v>39.366728311080898</v>
      </c>
      <c r="CC17" s="59">
        <f t="shared" si="11"/>
        <v>293.05508960731743</v>
      </c>
      <c r="CD17" s="59">
        <f ca="1">AVERAGE(OFFSET($CC$3,0,0,'Données projet'!$E$12+1,1))-AVERAGE(OFFSET($H$3,0,0,'Données projet'!$E$12+1,1))</f>
        <v>449.94334483948603</v>
      </c>
      <c r="CE17" s="59">
        <f t="shared" si="40"/>
        <v>318.02929110264176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64.521068232306931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1.6</v>
      </c>
      <c r="CT17" s="12">
        <f>IF('Données projet'!$A$140&gt;35,CT16+CS17-DB16,IF(A17&lt;'Données projet'!$A$140,$CQ$205^A17,IF(A17='Données projet'!$A$140,'Données projet'!$B$140,CT16+CS17-DB16)))</f>
        <v>11.313708498984752</v>
      </c>
      <c r="CU17" s="17">
        <f>CT17*VLOOKUP('Données projet'!$B$13,Paramètres!$A$1:$I$89,3,0)*VLOOKUP('Données projet'!$B$13,Paramètres!$A$1:$I$89,5,0)</f>
        <v>9.7071618921289176</v>
      </c>
      <c r="CV17" s="13">
        <f t="shared" si="41"/>
        <v>3.433577046269785</v>
      </c>
      <c r="CW17" s="20">
        <f t="shared" si="13"/>
        <v>22.886786984377736</v>
      </c>
      <c r="CX17" s="59">
        <f t="shared" si="14"/>
        <v>276.57514828061426</v>
      </c>
      <c r="CY17" s="59">
        <f ca="1">AVERAGE(OFFSET($CX$3,0,0,'Données projet'!$E$13+1,1))-AVERAGE(OFFSET($H$3,0,0,'Données projet'!$E$13+1,1))</f>
        <v>565.32667500225568</v>
      </c>
      <c r="CZ17" s="59">
        <f t="shared" si="42"/>
        <v>275.06957234480944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64.521068232306931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20.100000000000001</v>
      </c>
      <c r="DO17" s="12">
        <f>IF('Données projet'!$A$166&gt;35,DO16+DN17-DW16,IF(A17&lt;'Données projet'!$A$166,$DL$205^A17,IF(A17='Données projet'!$A$166,'Données projet'!$B$166,DO16+DN17-DW16)))</f>
        <v>107.4</v>
      </c>
      <c r="DP17" s="17">
        <f>DO17*VLOOKUP('Données projet'!$B$14,Paramètres!$A$1:$I$89,3,0)*VLOOKUP('Données projet'!$B$14,Paramètres!$A$1:$I$89,5,0)</f>
        <v>60.036600000000007</v>
      </c>
      <c r="DQ17" s="13">
        <f t="shared" si="43"/>
        <v>17.177522312374215</v>
      </c>
      <c r="DR17" s="20">
        <f t="shared" si="16"/>
        <v>134.48126302738513</v>
      </c>
      <c r="DS17" s="59">
        <f t="shared" si="17"/>
        <v>388.16962432362163</v>
      </c>
      <c r="DT17" s="59">
        <f ca="1">AVERAGE(OFFSET($DS$3,0,0,'Données projet'!$E$14+1,1))-AVERAGE(OFFSET($H$3,0,0,'Données projet'!$E$14+1,1))</f>
        <v>532.64469322244281</v>
      </c>
      <c r="DU17" s="59">
        <f t="shared" si="44"/>
        <v>525.88014011096413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64.521068232306931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2.1</v>
      </c>
      <c r="EJ17" s="12">
        <f>IF('Données projet'!$A$192&gt;35,EJ16+EI17-ER16,IF(A17&lt;'Données projet'!$A$192,$EG$205^A17,IF(A17='Données projet'!$A$192,'Données projet'!$B$192,EJ16+EI17-ER16)))</f>
        <v>13.685935953338433</v>
      </c>
      <c r="EK17" s="17">
        <f>EJ17*VLOOKUP('Données projet'!$B$15,Paramètres!$A$1:$I$89,3,0)*VLOOKUP('Données projet'!$B$15,Paramètres!$A$1:$I$89,5,0)</f>
        <v>12.383034850580612</v>
      </c>
      <c r="EL17" s="13">
        <f t="shared" si="45"/>
        <v>4.2576904771143838</v>
      </c>
      <c r="EM17" s="20">
        <f t="shared" si="19"/>
        <v>28.982596612402116</v>
      </c>
      <c r="EN17" s="59">
        <f t="shared" si="20"/>
        <v>282.67095790863863</v>
      </c>
      <c r="EO17" s="59">
        <f ca="1">AVERAGE(OFFSET($EN$3,0,0,'Données projet'!$E$15+1,1))-AVERAGE(OFFSET($H$3,0,0,'Données projet'!$E$15+1,1))</f>
        <v>398.27843768730202</v>
      </c>
      <c r="EP17" s="59">
        <f t="shared" si="46"/>
        <v>252.3617347568813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64.521068232306931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2.1</v>
      </c>
      <c r="FE17" s="12">
        <f>IF('Données projet'!$A$218&gt;35,FE16+FD17-FM16,IF(A17&lt;'Données projet'!$A$218,$FB$205^A17,IF(A17='Données projet'!$A$218,'Données projet'!$B$218,FE16+FD17-FM16)))</f>
        <v>13.685935953338433</v>
      </c>
      <c r="FF17" s="17">
        <f>FE17*VLOOKUP('Données projet'!$B$16,Paramètres!$A$1:$I$89,3,0)*VLOOKUP('Données projet'!$B$16,Paramètres!$A$1:$I$89,5,0)</f>
        <v>13.237037254068934</v>
      </c>
      <c r="FG17" s="13">
        <f t="shared" si="47"/>
        <v>4.5161297192961545</v>
      </c>
      <c r="FH17" s="20">
        <f t="shared" si="22"/>
        <v>30.920099145277529</v>
      </c>
      <c r="FI17" s="59">
        <f t="shared" si="23"/>
        <v>284.60846044151407</v>
      </c>
      <c r="FJ17" s="59">
        <f ca="1">AVERAGE(OFFSET($FI$3,0,0,'Données projet'!$E$16+1,1))-AVERAGE(OFFSET($H$3,0,0,'Données projet'!$E$16+1,1))</f>
        <v>422.28024471365825</v>
      </c>
      <c r="FK17" s="59">
        <f t="shared" si="48"/>
        <v>266.49730479813206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64.521068232306931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3.56</v>
      </c>
      <c r="FZ17" s="12">
        <f>IF('Données projet'!$A$244&gt;35,FZ16+FY17-GH16,IF(A17&lt;'Données projet'!$A$244,$FW$205^A17,IF(A17='Données projet'!$A$244,'Données projet'!$B$244,FZ16+FY17-GH16)))</f>
        <v>12.349756756499216</v>
      </c>
      <c r="GA17" s="17">
        <f>FZ17*VLOOKUP('Données projet'!$B$17,Paramètres!$A$1:$I$89,3,0)*VLOOKUP('Données projet'!$B$17,Paramètres!$A$1:$I$89,5,0)</f>
        <v>9.6328102700693883</v>
      </c>
      <c r="GB17" s="13">
        <f t="shared" si="49"/>
        <v>3.4103285541655652</v>
      </c>
      <c r="GC17" s="20">
        <f t="shared" si="25"/>
        <v>22.716800118875877</v>
      </c>
      <c r="GD17" s="59">
        <f t="shared" si="26"/>
        <v>276.40516141511239</v>
      </c>
      <c r="GE17" s="59">
        <f ca="1">AVERAGE(OFFSET($GD$3,0,0,'Données projet'!$E$17+1,1))-AVERAGE(OFFSET($H$3,0,0,'Données projet'!$E$17+1,1))</f>
        <v>300.95722646933314</v>
      </c>
      <c r="GF17" s="59">
        <f t="shared" si="50"/>
        <v>269.52365224623759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>
        <f>EXP(-LN(2)/35)*GL16+(1-EXP(-LN(2)/35))/(LN(2)/35)*GH17*GI17*VLOOKUP('Données projet'!$B$17,Paramètres!$A$1:$I$89,3,0)*0.475*44/12</f>
        <v>0</v>
      </c>
      <c r="GM17" s="21">
        <f>EXP(-LN(2)/25)*GM16+(1-EXP(-LN(2)/25))/(LN(2)/25)*Calculateur!GH17*Calculateur!GJ17*VLOOKUP('Données projet'!$B$17,Paramètres!$A$1:$I$89,3,0)*0.475*44/12</f>
        <v>0</v>
      </c>
      <c r="GN17" s="21">
        <f>EXP(-LN(2)/2)*GN16+(1-EXP(-LN(2)/2))/(LN(2)/2)*GH17*GK17*VLOOKUP('Données projet'!$B$17,Paramètres!$A$1:$I$89,3,0)*0.475*44/12</f>
        <v>0</v>
      </c>
      <c r="GO17" s="21">
        <f t="shared" si="27"/>
        <v>0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64.521068232306931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1.4000000000000001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5.1333333333333337</v>
      </c>
      <c r="H18" s="67">
        <f t="shared" si="1"/>
        <v>236.13333333333335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64.616115449420008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3.65</v>
      </c>
      <c r="N18" s="13">
        <f>IF('Données projet'!$A$36&gt;35,N17+M18-V17,IF(A18&lt;'Données projet'!$A$36,$K$205^A18,IF(A18='Données projet'!$A$36,'Données projet'!$B$36,N17+M18-V17)))</f>
        <v>24.974232188561476</v>
      </c>
      <c r="O18" s="13">
        <f>N18*VLOOKUP('Données projet'!$B$9,Paramètres!$A$1:$I$89,3,0)*VLOOKUP('Données projet'!$B$9,Paramètres!$A$1:$I$89,5,0)</f>
        <v>22.596685284210423</v>
      </c>
      <c r="P18" s="13">
        <f t="shared" si="33"/>
        <v>7.2441259820371586</v>
      </c>
      <c r="Q18" s="20">
        <f t="shared" si="2"/>
        <v>51.972746288714539</v>
      </c>
      <c r="R18" s="59">
        <f t="shared" si="0"/>
        <v>307.23183626992125</v>
      </c>
      <c r="S18" s="59">
        <f ca="1">AVERAGE(OFFSET($R$3,0,0,'Données projet'!$E$9+1,1))-AVERAGE(OFFSET($H$3,0,0,'Données projet'!$E$9+1,1))</f>
        <v>479.46542424895119</v>
      </c>
      <c r="T18" s="59">
        <f t="shared" si="34"/>
        <v>337.96395820277337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64.616115449420008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3.65</v>
      </c>
      <c r="AI18" s="13">
        <f>IF('Données projet'!$A$62&gt;35,AI17+AH18-AQ17,IF(A18&lt;'Données projet'!$A$62,$AF$205^A18,IF(A18='Données projet'!$A$62,'Données projet'!$B$62,AI17+AH18-AQ17)))</f>
        <v>24.974232188561476</v>
      </c>
      <c r="AJ18" s="13">
        <f>AI18*VLOOKUP('Données projet'!$B$10,Paramètres!$A$1:$I$89,3,0)*VLOOKUP('Données projet'!$B$10,Paramètres!$A$1:$I$89,5,0)</f>
        <v>24.155077372776663</v>
      </c>
      <c r="AK18" s="13">
        <f t="shared" si="35"/>
        <v>7.6838400568695304</v>
      </c>
      <c r="AL18" s="20">
        <f t="shared" si="4"/>
        <v>55.452781189967119</v>
      </c>
      <c r="AM18" s="59">
        <f t="shared" si="5"/>
        <v>310.71187117117381</v>
      </c>
      <c r="AN18" s="59">
        <f ca="1">AVERAGE(OFFSET($AM$3,0,0,'Données projet'!$E$10+1,1))-AVERAGE(OFFSET($H$3,0,0,'Données projet'!$E$10+1,1))</f>
        <v>508.94560627895089</v>
      </c>
      <c r="AO18" s="59">
        <f t="shared" si="36"/>
        <v>357.86868650263034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64.616115449420008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5.85</v>
      </c>
      <c r="BD18" s="12">
        <f>IF('Données projet'!$A$88&gt;35,BD17+BC18-BL17,IF(A18&lt;'Données projet'!$A$88,$BA$205^A18,IF(A18='Données projet'!$A$88,'Données projet'!$B$88,BD17+BC18-BL17)))</f>
        <v>35.574548453745123</v>
      </c>
      <c r="BE18" s="13">
        <f>BD18*VLOOKUP('Données projet'!$B$11,Paramètres!$A$1:$I$89,3,0)*VLOOKUP('Données projet'!$B$11,Paramètres!$A$1:$I$89,5,0)</f>
        <v>27.748147793921198</v>
      </c>
      <c r="BF18" s="13">
        <f t="shared" si="37"/>
        <v>8.6854760363431716</v>
      </c>
      <c r="BG18" s="20">
        <f t="shared" si="7"/>
        <v>63.455228171043764</v>
      </c>
      <c r="BH18" s="59">
        <f t="shared" si="8"/>
        <v>318.71431815225048</v>
      </c>
      <c r="BI18" s="59">
        <f ca="1">AVERAGE(OFFSET($BH$3,0,0,'Données projet'!$E$11+1,1))-AVERAGE(OFFSET($H$3,0,0,'Données projet'!$E$11+1,1))</f>
        <v>383.03154033422328</v>
      </c>
      <c r="BJ18" s="59">
        <f t="shared" si="38"/>
        <v>373.27897156169877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64.616115449420008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3.65</v>
      </c>
      <c r="BY18" s="12">
        <f>IF('Données projet'!$A$114&gt;35,BY17+BX18-CG17,IF(A18&lt;'Données projet'!$A$114,$BV$205^A18,IF(A18='Données projet'!$A$114,'Données projet'!$B$114,BY17+BX18-CG17)))</f>
        <v>24.974232188561476</v>
      </c>
      <c r="BZ18" s="13">
        <f>BY18*VLOOKUP('Données projet'!$B$12,Paramètres!$A$1:$I$89,3,0)*VLOOKUP('Données projet'!$B$12,Paramètres!$A$1:$I$89,5,0)</f>
        <v>21.03829319564419</v>
      </c>
      <c r="CA18" s="13">
        <f t="shared" si="39"/>
        <v>6.8008648676982615</v>
      </c>
      <c r="CB18" s="20">
        <f t="shared" si="10"/>
        <v>48.486533626988098</v>
      </c>
      <c r="CC18" s="59">
        <f t="shared" si="11"/>
        <v>303.74562360819482</v>
      </c>
      <c r="CD18" s="59">
        <f ca="1">AVERAGE(OFFSET($CC$3,0,0,'Données projet'!$E$12+1,1))-AVERAGE(OFFSET($H$3,0,0,'Données projet'!$E$12+1,1))</f>
        <v>449.94334483948603</v>
      </c>
      <c r="CE18" s="59">
        <f t="shared" si="40"/>
        <v>318.02929110264176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64.616115449420008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1.6</v>
      </c>
      <c r="CT18" s="12">
        <f>IF('Données projet'!$A$140&gt;35,CT17+CS18-DB17,IF(A18&lt;'Données projet'!$A$140,$CQ$205^A18,IF(A18='Données projet'!$A$140,'Données projet'!$B$140,CT17+CS18-DB17)))</f>
        <v>13.454342644059421</v>
      </c>
      <c r="CU18" s="17">
        <f>CT18*VLOOKUP('Données projet'!$B$13,Paramètres!$A$1:$I$89,3,0)*VLOOKUP('Données projet'!$B$13,Paramètres!$A$1:$I$89,5,0)</f>
        <v>11.543825988602984</v>
      </c>
      <c r="CV18" s="13">
        <f t="shared" si="41"/>
        <v>4.0016981182064377</v>
      </c>
      <c r="CW18" s="20">
        <f t="shared" si="13"/>
        <v>27.075121152693075</v>
      </c>
      <c r="CX18" s="59">
        <f t="shared" si="14"/>
        <v>282.33421113389977</v>
      </c>
      <c r="CY18" s="59">
        <f ca="1">AVERAGE(OFFSET($CX$3,0,0,'Données projet'!$E$13+1,1))-AVERAGE(OFFSET($H$3,0,0,'Données projet'!$E$13+1,1))</f>
        <v>565.32667500225568</v>
      </c>
      <c r="CZ18" s="59">
        <f t="shared" si="42"/>
        <v>275.06957234480944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64.616115449420008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20.100000000000001</v>
      </c>
      <c r="DO18" s="12">
        <f>IF('Données projet'!$A$166&gt;35,DO17+DN18-DW17,IF(A18&lt;'Données projet'!$A$166,$DL$205^A18,IF(A18='Données projet'!$A$166,'Données projet'!$B$166,DO17+DN18-DW17)))</f>
        <v>127.5</v>
      </c>
      <c r="DP18" s="17">
        <f>DO18*VLOOKUP('Données projet'!$B$14,Paramètres!$A$1:$I$89,3,0)*VLOOKUP('Données projet'!$B$14,Paramètres!$A$1:$I$89,5,0)</f>
        <v>71.272499999999994</v>
      </c>
      <c r="DQ18" s="13">
        <f t="shared" si="43"/>
        <v>19.989132077392792</v>
      </c>
      <c r="DR18" s="20">
        <f t="shared" si="16"/>
        <v>158.94734253479243</v>
      </c>
      <c r="DS18" s="59">
        <f t="shared" si="17"/>
        <v>414.20643251599915</v>
      </c>
      <c r="DT18" s="59">
        <f ca="1">AVERAGE(OFFSET($DS$3,0,0,'Données projet'!$E$14+1,1))-AVERAGE(OFFSET($H$3,0,0,'Données projet'!$E$14+1,1))</f>
        <v>532.64469322244281</v>
      </c>
      <c r="DU18" s="59">
        <f t="shared" si="44"/>
        <v>525.88014011096413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64.616115449420008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2.1</v>
      </c>
      <c r="EJ18" s="12">
        <f>IF('Données projet'!$A$192&gt;35,EJ17+EI18-ER17,IF(A18&lt;'Données projet'!$A$192,$EG$205^A18,IF(A18='Données projet'!$A$192,'Données projet'!$B$192,EJ17+EI18-ER17)))</f>
        <v>16.498215337821566</v>
      </c>
      <c r="EK18" s="17">
        <f>EJ18*VLOOKUP('Données projet'!$B$15,Paramètres!$A$1:$I$89,3,0)*VLOOKUP('Données projet'!$B$15,Paramètres!$A$1:$I$89,5,0)</f>
        <v>14.927585237660953</v>
      </c>
      <c r="EL18" s="13">
        <f t="shared" si="45"/>
        <v>5.0221449106318534</v>
      </c>
      <c r="EM18" s="20">
        <f t="shared" si="19"/>
        <v>34.745780008276633</v>
      </c>
      <c r="EN18" s="59">
        <f t="shared" si="20"/>
        <v>290.00486998948332</v>
      </c>
      <c r="EO18" s="59">
        <f ca="1">AVERAGE(OFFSET($EN$3,0,0,'Données projet'!$E$15+1,1))-AVERAGE(OFFSET($H$3,0,0,'Données projet'!$E$15+1,1))</f>
        <v>398.27843768730202</v>
      </c>
      <c r="EP18" s="59">
        <f t="shared" si="46"/>
        <v>252.3617347568813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64.616115449420008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2.1</v>
      </c>
      <c r="FE18" s="12">
        <f>IF('Données projet'!$A$218&gt;35,FE17+FD18-FM17,IF(A18&lt;'Données projet'!$A$218,$FB$205^A18,IF(A18='Données projet'!$A$218,'Données projet'!$B$218,FE17+FD18-FM17)))</f>
        <v>16.498215337821566</v>
      </c>
      <c r="FF18" s="17">
        <f>FE18*VLOOKUP('Données projet'!$B$16,Paramètres!$A$1:$I$89,3,0)*VLOOKUP('Données projet'!$B$16,Paramètres!$A$1:$I$89,5,0)</f>
        <v>15.957073874741019</v>
      </c>
      <c r="FG18" s="13">
        <f t="shared" si="47"/>
        <v>5.3269860755326848</v>
      </c>
      <c r="FH18" s="20">
        <f t="shared" si="22"/>
        <v>37.069737746726702</v>
      </c>
      <c r="FI18" s="59">
        <f t="shared" si="23"/>
        <v>292.3288277279334</v>
      </c>
      <c r="FJ18" s="59">
        <f ca="1">AVERAGE(OFFSET($FI$3,0,0,'Données projet'!$E$16+1,1))-AVERAGE(OFFSET($H$3,0,0,'Données projet'!$E$16+1,1))</f>
        <v>422.28024471365825</v>
      </c>
      <c r="FK18" s="59">
        <f t="shared" si="48"/>
        <v>266.49730479813206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0</v>
      </c>
      <c r="FS18" s="21">
        <f>EXP(-LN(2)/2)*FS17+(1-EXP(-LN(2)/2))/(LN(2)/2)*FM18*FP18*VLOOKUP('Données projet'!$B$16,Paramètres!$A$1:$I$89,3,0)*0.475*44/12</f>
        <v>0</v>
      </c>
      <c r="FT18" s="22">
        <f t="shared" si="24"/>
        <v>0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64.616115449420008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3.56</v>
      </c>
      <c r="FZ18" s="12">
        <f>IF('Données projet'!$A$244&gt;35,FZ17+FY18-GH17,IF(A18&lt;'Données projet'!$A$244,$FW$205^A18,IF(A18='Données projet'!$A$244,'Données projet'!$B$244,FZ17+FY18-GH17)))</f>
        <v>14.778624139441142</v>
      </c>
      <c r="GA18" s="17">
        <f>FZ18*VLOOKUP('Données projet'!$B$17,Paramètres!$A$1:$I$89,3,0)*VLOOKUP('Données projet'!$B$17,Paramètres!$A$1:$I$89,5,0)</f>
        <v>11.527326828764091</v>
      </c>
      <c r="GB18" s="13">
        <f t="shared" si="49"/>
        <v>3.9966439669822584</v>
      </c>
      <c r="GC18" s="20">
        <f t="shared" si="25"/>
        <v>27.037582469258226</v>
      </c>
      <c r="GD18" s="59">
        <f t="shared" si="26"/>
        <v>282.29667245046494</v>
      </c>
      <c r="GE18" s="59">
        <f ca="1">AVERAGE(OFFSET($GD$3,0,0,'Données projet'!$E$17+1,1))-AVERAGE(OFFSET($H$3,0,0,'Données projet'!$E$17+1,1))</f>
        <v>300.95722646933314</v>
      </c>
      <c r="GF18" s="59">
        <f t="shared" si="50"/>
        <v>269.52365224623759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>
        <f>EXP(-LN(2)/35)*GL17+(1-EXP(-LN(2)/35))/(LN(2)/35)*GH18*GI18*VLOOKUP('Données projet'!$B$17,Paramètres!$A$1:$I$89,3,0)*0.475*44/12</f>
        <v>0</v>
      </c>
      <c r="GM18" s="21">
        <f>EXP(-LN(2)/25)*GM17+(1-EXP(-LN(2)/25))/(LN(2)/25)*Calculateur!GH18*Calculateur!GJ18*VLOOKUP('Données projet'!$B$17,Paramètres!$A$1:$I$89,3,0)*0.475*44/12</f>
        <v>0</v>
      </c>
      <c r="GN18" s="21">
        <f>EXP(-LN(2)/2)*GN17+(1-EXP(-LN(2)/2))/(LN(2)/2)*GH18*GK18*VLOOKUP('Données projet'!$B$17,Paramètres!$A$1:$I$89,3,0)*0.475*44/12</f>
        <v>0</v>
      </c>
      <c r="GO18" s="21">
        <f t="shared" si="27"/>
        <v>0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64.616115449420008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1.4000000000000001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5.1333333333333337</v>
      </c>
      <c r="H19" s="67">
        <f t="shared" si="1"/>
        <v>236.13333333333335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64.70951380980992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3.65</v>
      </c>
      <c r="N19" s="13">
        <f>IF('Données projet'!$A$36&gt;35,N18+M19-V18,IF(A19&lt;'Données projet'!$A$36,$K$205^A19,IF(A19='Données projet'!$A$36,'Données projet'!$B$36,N18+M19-V18)))</f>
        <v>30.949831440200953</v>
      </c>
      <c r="O19" s="13">
        <f>N19*VLOOKUP('Données projet'!$B$9,Paramètres!$A$1:$I$89,3,0)*VLOOKUP('Données projet'!$B$9,Paramètres!$A$1:$I$89,5,0)</f>
        <v>28.003407487093821</v>
      </c>
      <c r="P19" s="13">
        <f t="shared" si="33"/>
        <v>8.7560372090925433</v>
      </c>
      <c r="Q19" s="20">
        <f t="shared" si="2"/>
        <v>64.022699512524582</v>
      </c>
      <c r="R19" s="59">
        <f t="shared" si="0"/>
        <v>320.84647237071653</v>
      </c>
      <c r="S19" s="59">
        <f ca="1">AVERAGE(OFFSET($R$3,0,0,'Données projet'!$E$9+1,1))-AVERAGE(OFFSET($H$3,0,0,'Données projet'!$E$9+1,1))</f>
        <v>479.46542424895119</v>
      </c>
      <c r="T19" s="59">
        <f t="shared" si="34"/>
        <v>337.96395820277337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64.70951380980992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3.65</v>
      </c>
      <c r="AI19" s="13">
        <f>IF('Données projet'!$A$62&gt;35,AI18+AH19-AQ18,IF(A19&lt;'Données projet'!$A$62,$AF$205^A19,IF(A19='Données projet'!$A$62,'Données projet'!$B$62,AI18+AH19-AQ18)))</f>
        <v>30.949831440200953</v>
      </c>
      <c r="AJ19" s="13">
        <f>AI19*VLOOKUP('Données projet'!$B$10,Paramètres!$A$1:$I$89,3,0)*VLOOKUP('Données projet'!$B$10,Paramètres!$A$1:$I$89,5,0)</f>
        <v>29.934676968962361</v>
      </c>
      <c r="AK19" s="13">
        <f t="shared" si="35"/>
        <v>9.2875233828754098</v>
      </c>
      <c r="AL19" s="20">
        <f t="shared" si="4"/>
        <v>68.311998946117441</v>
      </c>
      <c r="AM19" s="59">
        <f t="shared" si="5"/>
        <v>325.1357718043094</v>
      </c>
      <c r="AN19" s="59">
        <f ca="1">AVERAGE(OFFSET($AM$3,0,0,'Données projet'!$E$10+1,1))-AVERAGE(OFFSET($H$3,0,0,'Données projet'!$E$10+1,1))</f>
        <v>508.94560627895089</v>
      </c>
      <c r="AO19" s="59">
        <f t="shared" si="36"/>
        <v>357.86868650263034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64.70951380980992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5.85</v>
      </c>
      <c r="BD19" s="12">
        <f>IF('Données projet'!$A$88&gt;35,BD18+BC19-BL18,IF(A19&lt;'Données projet'!$A$88,$BA$205^A19,IF(A19='Données projet'!$A$88,'Données projet'!$B$88,BD18+BC19-BL18)))</f>
        <v>45.138662812705725</v>
      </c>
      <c r="BE19" s="13">
        <f>BD19*VLOOKUP('Données projet'!$B$11,Paramètres!$A$1:$I$89,3,0)*VLOOKUP('Données projet'!$B$11,Paramètres!$A$1:$I$89,5,0)</f>
        <v>35.208156993910464</v>
      </c>
      <c r="BF19" s="13">
        <f t="shared" si="37"/>
        <v>10.71929141331386</v>
      </c>
      <c r="BG19" s="20">
        <f t="shared" si="7"/>
        <v>79.990305975915703</v>
      </c>
      <c r="BH19" s="59">
        <f t="shared" si="8"/>
        <v>336.81407883410765</v>
      </c>
      <c r="BI19" s="59">
        <f ca="1">AVERAGE(OFFSET($BH$3,0,0,'Données projet'!$E$11+1,1))-AVERAGE(OFFSET($H$3,0,0,'Données projet'!$E$11+1,1))</f>
        <v>383.03154033422328</v>
      </c>
      <c r="BJ19" s="59">
        <f t="shared" si="38"/>
        <v>373.27897156169877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64.70951380980992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3.65</v>
      </c>
      <c r="BY19" s="12">
        <f>IF('Données projet'!$A$114&gt;35,BY18+BX19-CG18,IF(A19&lt;'Données projet'!$A$114,$BV$205^A19,IF(A19='Données projet'!$A$114,'Données projet'!$B$114,BY18+BX19-CG18)))</f>
        <v>30.949831440200953</v>
      </c>
      <c r="BZ19" s="13">
        <f>BY19*VLOOKUP('Données projet'!$B$12,Paramètres!$A$1:$I$89,3,0)*VLOOKUP('Données projet'!$B$12,Paramètres!$A$1:$I$89,5,0)</f>
        <v>26.072138005225284</v>
      </c>
      <c r="CA19" s="13">
        <f t="shared" si="39"/>
        <v>8.2202636982343371</v>
      </c>
      <c r="CB19" s="20">
        <f t="shared" si="10"/>
        <v>59.725932966858835</v>
      </c>
      <c r="CC19" s="59">
        <f t="shared" si="11"/>
        <v>316.54970582505075</v>
      </c>
      <c r="CD19" s="59">
        <f ca="1">AVERAGE(OFFSET($CC$3,0,0,'Données projet'!$E$12+1,1))-AVERAGE(OFFSET($H$3,0,0,'Données projet'!$E$12+1,1))</f>
        <v>449.94334483948603</v>
      </c>
      <c r="CE19" s="59">
        <f t="shared" si="40"/>
        <v>318.02929110264176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64.70951380980992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1.6</v>
      </c>
      <c r="CT19" s="12">
        <f>IF('Données projet'!$A$140&gt;35,CT18+CS19-DB18,IF(A19&lt;'Données projet'!$A$140,$CQ$205^A19,IF(A19='Données projet'!$A$140,'Données projet'!$B$140,CT18+CS19-DB18)))</f>
        <v>15.999999999999986</v>
      </c>
      <c r="CU19" s="17">
        <f>CT19*VLOOKUP('Données projet'!$B$13,Paramètres!$A$1:$I$89,3,0)*VLOOKUP('Données projet'!$B$13,Paramètres!$A$1:$I$89,5,0)</f>
        <v>13.727999999999991</v>
      </c>
      <c r="CV19" s="13">
        <f t="shared" si="41"/>
        <v>4.6638207366437268</v>
      </c>
      <c r="CW19" s="20">
        <f t="shared" si="13"/>
        <v>32.032421116321139</v>
      </c>
      <c r="CX19" s="59">
        <f t="shared" si="14"/>
        <v>288.85619397451308</v>
      </c>
      <c r="CY19" s="59">
        <f ca="1">AVERAGE(OFFSET($CX$3,0,0,'Données projet'!$E$13+1,1))-AVERAGE(OFFSET($H$3,0,0,'Données projet'!$E$13+1,1))</f>
        <v>565.32667500225568</v>
      </c>
      <c r="CZ19" s="59">
        <f t="shared" si="42"/>
        <v>275.06957234480944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64.70951380980992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20.100000000000001</v>
      </c>
      <c r="DO19" s="12">
        <f>IF('Données projet'!$A$166&gt;35,DO18+DN19-DW18,IF(A19&lt;'Données projet'!$A$166,$DL$205^A19,IF(A19='Données projet'!$A$166,'Données projet'!$B$166,DO18+DN19-DW18)))</f>
        <v>147.6</v>
      </c>
      <c r="DP19" s="17">
        <f>DO19*VLOOKUP('Données projet'!$B$14,Paramètres!$A$1:$I$89,3,0)*VLOOKUP('Données projet'!$B$14,Paramètres!$A$1:$I$89,5,0)</f>
        <v>82.508399999999995</v>
      </c>
      <c r="DQ19" s="13">
        <f t="shared" si="43"/>
        <v>22.749394597897183</v>
      </c>
      <c r="DR19" s="20">
        <f t="shared" si="16"/>
        <v>183.32399225800421</v>
      </c>
      <c r="DS19" s="59">
        <f t="shared" si="17"/>
        <v>440.14776511619618</v>
      </c>
      <c r="DT19" s="59">
        <f ca="1">AVERAGE(OFFSET($DS$3,0,0,'Données projet'!$E$14+1,1))-AVERAGE(OFFSET($H$3,0,0,'Données projet'!$E$14+1,1))</f>
        <v>532.64469322244281</v>
      </c>
      <c r="DU19" s="59">
        <f t="shared" si="44"/>
        <v>525.88014011096413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64.70951380980992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2.1</v>
      </c>
      <c r="EJ19" s="12">
        <f>IF('Données projet'!$A$192&gt;35,EJ18+EI19-ER18,IF(A19&lt;'Données projet'!$A$192,$EG$205^A19,IF(A19='Données projet'!$A$192,'Données projet'!$B$192,EJ18+EI19-ER18)))</f>
        <v>19.888381054913147</v>
      </c>
      <c r="EK19" s="17">
        <f>EJ19*VLOOKUP('Données projet'!$B$15,Paramètres!$A$1:$I$89,3,0)*VLOOKUP('Données projet'!$B$15,Paramètres!$A$1:$I$89,5,0)</f>
        <v>17.995007178485412</v>
      </c>
      <c r="EL19" s="13">
        <f t="shared" si="45"/>
        <v>5.9238546434872337</v>
      </c>
      <c r="EM19" s="20">
        <f t="shared" si="19"/>
        <v>41.658684339935689</v>
      </c>
      <c r="EN19" s="59">
        <f t="shared" si="20"/>
        <v>298.48245719812763</v>
      </c>
      <c r="EO19" s="59">
        <f ca="1">AVERAGE(OFFSET($EN$3,0,0,'Données projet'!$E$15+1,1))-AVERAGE(OFFSET($H$3,0,0,'Données projet'!$E$15+1,1))</f>
        <v>398.27843768730202</v>
      </c>
      <c r="EP19" s="59">
        <f t="shared" si="46"/>
        <v>252.3617347568813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64.70951380980992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2.1</v>
      </c>
      <c r="FE19" s="12">
        <f>IF('Données projet'!$A$218&gt;35,FE18+FD19-FM18,IF(A19&lt;'Données projet'!$A$218,$FB$205^A19,IF(A19='Données projet'!$A$218,'Données projet'!$B$218,FE18+FD19-FM18)))</f>
        <v>19.888381054913147</v>
      </c>
      <c r="FF19" s="17">
        <f>FE19*VLOOKUP('Données projet'!$B$16,Paramètres!$A$1:$I$89,3,0)*VLOOKUP('Données projet'!$B$16,Paramètres!$A$1:$I$89,5,0)</f>
        <v>19.236042156311996</v>
      </c>
      <c r="FG19" s="13">
        <f t="shared" si="47"/>
        <v>6.2834290449348904</v>
      </c>
      <c r="FH19" s="20">
        <f t="shared" si="22"/>
        <v>44.446412342171662</v>
      </c>
      <c r="FI19" s="59">
        <f t="shared" si="23"/>
        <v>301.27018520036358</v>
      </c>
      <c r="FJ19" s="59">
        <f ca="1">AVERAGE(OFFSET($FI$3,0,0,'Données projet'!$E$16+1,1))-AVERAGE(OFFSET($H$3,0,0,'Données projet'!$E$16+1,1))</f>
        <v>422.28024471365825</v>
      </c>
      <c r="FK19" s="59">
        <f t="shared" si="48"/>
        <v>266.49730479813206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0</v>
      </c>
      <c r="FS19" s="21">
        <f>EXP(-LN(2)/2)*FS18+(1-EXP(-LN(2)/2))/(LN(2)/2)*FM19*FP19*VLOOKUP('Données projet'!$B$16,Paramètres!$A$1:$I$89,3,0)*0.475*44/12</f>
        <v>0</v>
      </c>
      <c r="FT19" s="22">
        <f t="shared" si="24"/>
        <v>0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64.70951380980992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3.56</v>
      </c>
      <c r="FZ19" s="12">
        <f>IF('Données projet'!$A$244&gt;35,FZ18+FY19-GH18,IF(A19&lt;'Données projet'!$A$244,$FW$205^A19,IF(A19='Données projet'!$A$244,'Données projet'!$B$244,FZ18+FY19-GH18)))</f>
        <v>17.68518487944571</v>
      </c>
      <c r="GA19" s="17">
        <f>FZ19*VLOOKUP('Données projet'!$B$17,Paramètres!$A$1:$I$89,3,0)*VLOOKUP('Données projet'!$B$17,Paramètres!$A$1:$I$89,5,0)</f>
        <v>13.794444205967654</v>
      </c>
      <c r="GB19" s="13">
        <f t="shared" si="49"/>
        <v>4.6837607418514473</v>
      </c>
      <c r="GC19" s="20">
        <f t="shared" si="25"/>
        <v>32.182873617451598</v>
      </c>
      <c r="GD19" s="59">
        <f t="shared" si="26"/>
        <v>289.00664647564355</v>
      </c>
      <c r="GE19" s="59">
        <f ca="1">AVERAGE(OFFSET($GD$3,0,0,'Données projet'!$E$17+1,1))-AVERAGE(OFFSET($H$3,0,0,'Données projet'!$E$17+1,1))</f>
        <v>300.95722646933314</v>
      </c>
      <c r="GF19" s="59">
        <f t="shared" si="50"/>
        <v>269.52365224623759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>
        <f>EXP(-LN(2)/35)*GL18+(1-EXP(-LN(2)/35))/(LN(2)/35)*GH19*GI19*VLOOKUP('Données projet'!$B$17,Paramètres!$A$1:$I$89,3,0)*0.475*44/12</f>
        <v>0</v>
      </c>
      <c r="GM19" s="21">
        <f>EXP(-LN(2)/25)*GM18+(1-EXP(-LN(2)/25))/(LN(2)/25)*Calculateur!GH19*Calculateur!GJ19*VLOOKUP('Données projet'!$B$17,Paramètres!$A$1:$I$89,3,0)*0.475*44/12</f>
        <v>0</v>
      </c>
      <c r="GN19" s="21">
        <f>EXP(-LN(2)/2)*GN18+(1-EXP(-LN(2)/2))/(LN(2)/2)*GH19*GK19*VLOOKUP('Données projet'!$B$17,Paramètres!$A$1:$I$89,3,0)*0.475*44/12</f>
        <v>0</v>
      </c>
      <c r="GO19" s="21">
        <f t="shared" si="27"/>
        <v>0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64.70951380980992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1.4000000000000001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5.1333333333333337</v>
      </c>
      <c r="H20" s="67">
        <f t="shared" si="1"/>
        <v>236.13333333333335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64.80129191745452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3.65</v>
      </c>
      <c r="N20" s="13">
        <f>IF('Données projet'!$A$36&gt;35,N19+M20-V19,IF(A20&lt;'Données projet'!$A$36,$K$205^A20,IF(A20='Données projet'!$A$36,'Données projet'!$B$36,N19+M20-V19)))</f>
        <v>38.355215845858055</v>
      </c>
      <c r="O20" s="13">
        <f>N20*VLOOKUP('Données projet'!$B$9,Paramètres!$A$1:$I$89,3,0)*VLOOKUP('Données projet'!$B$9,Paramètres!$A$1:$I$89,5,0)</f>
        <v>34.703799297332367</v>
      </c>
      <c r="P20" s="13">
        <f t="shared" si="33"/>
        <v>10.583497277259243</v>
      </c>
      <c r="Q20" s="20">
        <f t="shared" si="2"/>
        <v>78.875374867413711</v>
      </c>
      <c r="R20" s="59">
        <f t="shared" si="0"/>
        <v>337.25788967585805</v>
      </c>
      <c r="S20" s="59">
        <f ca="1">AVERAGE(OFFSET($R$3,0,0,'Données projet'!$E$9+1,1))-AVERAGE(OFFSET($H$3,0,0,'Données projet'!$E$9+1,1))</f>
        <v>479.46542424895119</v>
      </c>
      <c r="T20" s="59">
        <f t="shared" si="34"/>
        <v>337.96395820277337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64.80129191745452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3.65</v>
      </c>
      <c r="AI20" s="13">
        <f>IF('Données projet'!$A$62&gt;35,AI19+AH20-AQ19,IF(A20&lt;'Données projet'!$A$62,$AF$205^A20,IF(A20='Données projet'!$A$62,'Données projet'!$B$62,AI19+AH20-AQ19)))</f>
        <v>38.355215845858055</v>
      </c>
      <c r="AJ20" s="13">
        <f>AI20*VLOOKUP('Données projet'!$B$10,Paramètres!$A$1:$I$89,3,0)*VLOOKUP('Données projet'!$B$10,Paramètres!$A$1:$I$89,5,0)</f>
        <v>37.097164766113913</v>
      </c>
      <c r="AK20" s="13">
        <f t="shared" si="35"/>
        <v>11.225909174194843</v>
      </c>
      <c r="AL20" s="20">
        <f t="shared" si="4"/>
        <v>84.162687112704418</v>
      </c>
      <c r="AM20" s="59">
        <f t="shared" si="5"/>
        <v>342.54520192114876</v>
      </c>
      <c r="AN20" s="59">
        <f ca="1">AVERAGE(OFFSET($AM$3,0,0,'Données projet'!$E$10+1,1))-AVERAGE(OFFSET($H$3,0,0,'Données projet'!$E$10+1,1))</f>
        <v>508.94560627895089</v>
      </c>
      <c r="AO20" s="59">
        <f t="shared" si="36"/>
        <v>357.86868650263034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64.80129191745452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5.85</v>
      </c>
      <c r="BD20" s="12">
        <f>IF('Données projet'!$A$88&gt;35,BD19+BC20-BL19,IF(A20&lt;'Données projet'!$A$88,$BA$205^A20,IF(A20='Données projet'!$A$88,'Données projet'!$B$88,BD19+BC20-BL19)))</f>
        <v>57.274061627749042</v>
      </c>
      <c r="BE20" s="13">
        <f>BD20*VLOOKUP('Données projet'!$B$11,Paramètres!$A$1:$I$89,3,0)*VLOOKUP('Données projet'!$B$11,Paramètres!$A$1:$I$89,5,0)</f>
        <v>44.673768069644254</v>
      </c>
      <c r="BF20" s="13">
        <f t="shared" si="37"/>
        <v>13.229350691055696</v>
      </c>
      <c r="BG20" s="20">
        <f t="shared" si="7"/>
        <v>100.84793184155241</v>
      </c>
      <c r="BH20" s="59">
        <f t="shared" si="8"/>
        <v>359.23044664999674</v>
      </c>
      <c r="BI20" s="59">
        <f ca="1">AVERAGE(OFFSET($BH$3,0,0,'Données projet'!$E$11+1,1))-AVERAGE(OFFSET($H$3,0,0,'Données projet'!$E$11+1,1))</f>
        <v>383.03154033422328</v>
      </c>
      <c r="BJ20" s="59">
        <f t="shared" si="38"/>
        <v>373.27897156169877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64.80129191745452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3.65</v>
      </c>
      <c r="BY20" s="12">
        <f>IF('Données projet'!$A$114&gt;35,BY19+BX20-CG19,IF(A20&lt;'Données projet'!$A$114,$BV$205^A20,IF(A20='Données projet'!$A$114,'Données projet'!$B$114,BY19+BX20-CG19)))</f>
        <v>38.355215845858055</v>
      </c>
      <c r="BZ20" s="13">
        <f>BY20*VLOOKUP('Données projet'!$B$12,Paramètres!$A$1:$I$89,3,0)*VLOOKUP('Données projet'!$B$12,Paramètres!$A$1:$I$89,5,0)</f>
        <v>32.310433828550828</v>
      </c>
      <c r="CA20" s="13">
        <f t="shared" si="39"/>
        <v>9.9359032392271498</v>
      </c>
      <c r="CB20" s="20">
        <f t="shared" si="10"/>
        <v>73.579037059713301</v>
      </c>
      <c r="CC20" s="59">
        <f t="shared" si="11"/>
        <v>331.96155186815764</v>
      </c>
      <c r="CD20" s="59">
        <f ca="1">AVERAGE(OFFSET($CC$3,0,0,'Données projet'!$E$12+1,1))-AVERAGE(OFFSET($H$3,0,0,'Données projet'!$E$12+1,1))</f>
        <v>449.94334483948603</v>
      </c>
      <c r="CE20" s="59">
        <f t="shared" si="40"/>
        <v>318.02929110264176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64.80129191745452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1.6</v>
      </c>
      <c r="CT20" s="12">
        <f>IF('Données projet'!$A$140&gt;35,CT19+CS20-DB19,IF(A20&lt;'Données projet'!$A$140,$CQ$205^A20,IF(A20='Données projet'!$A$140,'Données projet'!$B$140,CT19+CS20-DB19)))</f>
        <v>19.027313840043519</v>
      </c>
      <c r="CU20" s="17">
        <f>CT20*VLOOKUP('Données projet'!$B$13,Paramètres!$A$1:$I$89,3,0)*VLOOKUP('Données projet'!$B$13,Paramètres!$A$1:$I$89,5,0)</f>
        <v>16.325435274757343</v>
      </c>
      <c r="CV20" s="13">
        <f t="shared" si="41"/>
        <v>5.4354984361731269</v>
      </c>
      <c r="CW20" s="20">
        <f t="shared" si="13"/>
        <v>37.90029287987057</v>
      </c>
      <c r="CX20" s="59">
        <f t="shared" si="14"/>
        <v>296.2828076883149</v>
      </c>
      <c r="CY20" s="59">
        <f ca="1">AVERAGE(OFFSET($CX$3,0,0,'Données projet'!$E$13+1,1))-AVERAGE(OFFSET($H$3,0,0,'Données projet'!$E$13+1,1))</f>
        <v>565.32667500225568</v>
      </c>
      <c r="CZ20" s="59">
        <f t="shared" si="42"/>
        <v>275.06957234480944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64.80129191745452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20.100000000000001</v>
      </c>
      <c r="DO20" s="12">
        <f>IF('Données projet'!$A$166&gt;35,DO19+DN20-DW19,IF(A20&lt;'Données projet'!$A$166,$DL$205^A20,IF(A20='Données projet'!$A$166,'Données projet'!$B$166,DO19+DN20-DW19)))</f>
        <v>167.7</v>
      </c>
      <c r="DP20" s="17">
        <f>DO20*VLOOKUP('Données projet'!$B$14,Paramètres!$A$1:$I$89,3,0)*VLOOKUP('Données projet'!$B$14,Paramètres!$A$1:$I$89,5,0)</f>
        <v>93.744299999999996</v>
      </c>
      <c r="DQ20" s="13">
        <f t="shared" si="43"/>
        <v>25.466106585554108</v>
      </c>
      <c r="DR20" s="20">
        <f t="shared" si="16"/>
        <v>207.62479146984003</v>
      </c>
      <c r="DS20" s="59">
        <f t="shared" si="17"/>
        <v>466.00730627828437</v>
      </c>
      <c r="DT20" s="59">
        <f ca="1">AVERAGE(OFFSET($DS$3,0,0,'Données projet'!$E$14+1,1))-AVERAGE(OFFSET($H$3,0,0,'Données projet'!$E$14+1,1))</f>
        <v>532.64469322244281</v>
      </c>
      <c r="DU20" s="59">
        <f t="shared" si="44"/>
        <v>525.88014011096413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64.80129191745452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2.1</v>
      </c>
      <c r="EJ20" s="12">
        <f>IF('Données projet'!$A$192&gt;35,EJ19+EI20-ER19,IF(A20&lt;'Données projet'!$A$192,$EG$205^A20,IF(A20='Données projet'!$A$192,'Données projet'!$B$192,EJ19+EI20-ER19)))</f>
        <v>23.975181126327602</v>
      </c>
      <c r="EK20" s="17">
        <f>EJ20*VLOOKUP('Données projet'!$B$15,Paramètres!$A$1:$I$89,3,0)*VLOOKUP('Données projet'!$B$15,Paramètres!$A$1:$I$89,5,0)</f>
        <v>21.692743883101215</v>
      </c>
      <c r="EL20" s="13">
        <f t="shared" si="45"/>
        <v>6.98746341685115</v>
      </c>
      <c r="EM20" s="20">
        <f t="shared" si="19"/>
        <v>49.951361047417038</v>
      </c>
      <c r="EN20" s="59">
        <f t="shared" si="20"/>
        <v>308.33387585586138</v>
      </c>
      <c r="EO20" s="59">
        <f ca="1">AVERAGE(OFFSET($EN$3,0,0,'Données projet'!$E$15+1,1))-AVERAGE(OFFSET($H$3,0,0,'Données projet'!$E$15+1,1))</f>
        <v>398.27843768730202</v>
      </c>
      <c r="EP20" s="59">
        <f t="shared" si="46"/>
        <v>252.3617347568813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64.80129191745452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2.1</v>
      </c>
      <c r="FE20" s="12">
        <f>IF('Données projet'!$A$218&gt;35,FE19+FD20-FM19,IF(A20&lt;'Données projet'!$A$218,$FB$205^A20,IF(A20='Données projet'!$A$218,'Données projet'!$B$218,FE19+FD20-FM19)))</f>
        <v>23.975181126327602</v>
      </c>
      <c r="FF20" s="17">
        <f>FE20*VLOOKUP('Données projet'!$B$16,Paramètres!$A$1:$I$89,3,0)*VLOOKUP('Données projet'!$B$16,Paramètres!$A$1:$I$89,5,0)</f>
        <v>23.188795185384055</v>
      </c>
      <c r="FG20" s="13">
        <f t="shared" si="47"/>
        <v>7.4115982288884323</v>
      </c>
      <c r="FH20" s="20">
        <f t="shared" si="22"/>
        <v>53.29568519652458</v>
      </c>
      <c r="FI20" s="59">
        <f t="shared" si="23"/>
        <v>311.67820000496891</v>
      </c>
      <c r="FJ20" s="59">
        <f ca="1">AVERAGE(OFFSET($FI$3,0,0,'Données projet'!$E$16+1,1))-AVERAGE(OFFSET($H$3,0,0,'Données projet'!$E$16+1,1))</f>
        <v>422.28024471365825</v>
      </c>
      <c r="FK20" s="59">
        <f t="shared" si="48"/>
        <v>266.49730479813206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0</v>
      </c>
      <c r="FS20" s="21">
        <f>EXP(-LN(2)/2)*FS19+(1-EXP(-LN(2)/2))/(LN(2)/2)*FM20*FP20*VLOOKUP('Données projet'!$B$16,Paramètres!$A$1:$I$89,3,0)*0.475*44/12</f>
        <v>0</v>
      </c>
      <c r="FT20" s="22">
        <f t="shared" si="24"/>
        <v>0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64.80129191745452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3.56</v>
      </c>
      <c r="FZ20" s="12">
        <f>IF('Données projet'!$A$244&gt;35,FZ19+FY20-GH19,IF(A20&lt;'Données projet'!$A$244,$FW$205^A20,IF(A20='Données projet'!$A$244,'Données projet'!$B$244,FZ19+FY20-GH19)))</f>
        <v>21.163388504175224</v>
      </c>
      <c r="GA20" s="17">
        <f>FZ20*VLOOKUP('Données projet'!$B$17,Paramètres!$A$1:$I$89,3,0)*VLOOKUP('Données projet'!$B$17,Paramètres!$A$1:$I$89,5,0)</f>
        <v>16.507443033256674</v>
      </c>
      <c r="GB20" s="13">
        <f t="shared" si="49"/>
        <v>5.4890089955831698</v>
      </c>
      <c r="GC20" s="20">
        <f t="shared" si="25"/>
        <v>38.310487283562729</v>
      </c>
      <c r="GD20" s="59">
        <f t="shared" si="26"/>
        <v>296.69300209200708</v>
      </c>
      <c r="GE20" s="59">
        <f ca="1">AVERAGE(OFFSET($GD$3,0,0,'Données projet'!$E$17+1,1))-AVERAGE(OFFSET($H$3,0,0,'Données projet'!$E$17+1,1))</f>
        <v>300.95722646933314</v>
      </c>
      <c r="GF20" s="59">
        <f t="shared" si="50"/>
        <v>269.52365224623759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>
        <f>EXP(-LN(2)/35)*GL19+(1-EXP(-LN(2)/35))/(LN(2)/35)*GH20*GI20*VLOOKUP('Données projet'!$B$17,Paramètres!$A$1:$I$89,3,0)*0.475*44/12</f>
        <v>0</v>
      </c>
      <c r="GM20" s="21">
        <f>EXP(-LN(2)/25)*GM19+(1-EXP(-LN(2)/25))/(LN(2)/25)*Calculateur!GH20*Calculateur!GJ20*VLOOKUP('Données projet'!$B$17,Paramètres!$A$1:$I$89,3,0)*0.475*44/12</f>
        <v>0</v>
      </c>
      <c r="GN20" s="21">
        <f>EXP(-LN(2)/2)*GN19+(1-EXP(-LN(2)/2))/(LN(2)/2)*GH20*GK20*VLOOKUP('Données projet'!$B$17,Paramètres!$A$1:$I$89,3,0)*0.475*44/12</f>
        <v>0</v>
      </c>
      <c r="GO20" s="21">
        <f t="shared" si="27"/>
        <v>0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64.80129191745452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1.4000000000000001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5.1333333333333337</v>
      </c>
      <c r="H21" s="67">
        <f t="shared" si="1"/>
        <v>236.13333333333335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64.891477880116597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3.65</v>
      </c>
      <c r="N21" s="13">
        <f>IF('Données projet'!$A$36&gt;35,N20+M21-V20,IF(A21&lt;'Données projet'!$A$36,$K$205^A21,IF(A21='Données projet'!$A$36,'Données projet'!$B$36,N20+M21-V20)))</f>
        <v>47.532490941824946</v>
      </c>
      <c r="O21" s="13">
        <f>N21*VLOOKUP('Données projet'!$B$9,Paramètres!$A$1:$I$89,3,0)*VLOOKUP('Données projet'!$B$9,Paramètres!$A$1:$I$89,5,0)</f>
        <v>43.007397804163212</v>
      </c>
      <c r="P21" s="13">
        <f t="shared" si="33"/>
        <v>12.792363936215189</v>
      </c>
      <c r="Q21" s="20">
        <f t="shared" si="2"/>
        <v>97.184585031159045</v>
      </c>
      <c r="R21" s="59">
        <f t="shared" si="0"/>
        <v>357.1200039249199</v>
      </c>
      <c r="S21" s="59">
        <f ca="1">AVERAGE(OFFSET($R$3,0,0,'Données projet'!$E$9+1,1))-AVERAGE(OFFSET($H$3,0,0,'Données projet'!$E$9+1,1))</f>
        <v>479.46542424895119</v>
      </c>
      <c r="T21" s="59">
        <f t="shared" si="34"/>
        <v>337.96395820277337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64.891477880116597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3.65</v>
      </c>
      <c r="AI21" s="13">
        <f>IF('Données projet'!$A$62&gt;35,AI20+AH21-AQ20,IF(A21&lt;'Données projet'!$A$62,$AF$205^A21,IF(A21='Données projet'!$A$62,'Données projet'!$B$62,AI20+AH21-AQ20)))</f>
        <v>47.532490941824946</v>
      </c>
      <c r="AJ21" s="13">
        <f>AI21*VLOOKUP('Données projet'!$B$10,Paramètres!$A$1:$I$89,3,0)*VLOOKUP('Données projet'!$B$10,Paramètres!$A$1:$I$89,5,0)</f>
        <v>45.973425238933089</v>
      </c>
      <c r="AK21" s="13">
        <f t="shared" si="35"/>
        <v>13.56885270616201</v>
      </c>
      <c r="AL21" s="20">
        <f t="shared" si="4"/>
        <v>103.70280075437397</v>
      </c>
      <c r="AM21" s="59">
        <f t="shared" si="5"/>
        <v>363.63821964813485</v>
      </c>
      <c r="AN21" s="59">
        <f ca="1">AVERAGE(OFFSET($AM$3,0,0,'Données projet'!$E$10+1,1))-AVERAGE(OFFSET($H$3,0,0,'Données projet'!$E$10+1,1))</f>
        <v>508.94560627895089</v>
      </c>
      <c r="AO21" s="59">
        <f t="shared" si="36"/>
        <v>357.86868650263034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64.891477880116597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5.85</v>
      </c>
      <c r="BD21" s="12">
        <f>IF('Données projet'!$A$88&gt;35,BD20+BC21-BL20,IF(A21&lt;'Données projet'!$A$88,$BA$205^A21,IF(A21='Données projet'!$A$88,'Données projet'!$B$88,BD20+BC21-BL20)))</f>
        <v>72.672027280698373</v>
      </c>
      <c r="BE21" s="13">
        <f>BD21*VLOOKUP('Données projet'!$B$11,Paramètres!$A$1:$I$89,3,0)*VLOOKUP('Données projet'!$B$11,Paramètres!$A$1:$I$89,5,0)</f>
        <v>56.684181278944735</v>
      </c>
      <c r="BF21" s="13">
        <f t="shared" si="37"/>
        <v>16.327172474251263</v>
      </c>
      <c r="BG21" s="20">
        <f t="shared" si="7"/>
        <v>127.16144112014972</v>
      </c>
      <c r="BH21" s="59">
        <f t="shared" si="8"/>
        <v>387.0968600139106</v>
      </c>
      <c r="BI21" s="59">
        <f ca="1">AVERAGE(OFFSET($BH$3,0,0,'Données projet'!$E$11+1,1))-AVERAGE(OFFSET($H$3,0,0,'Données projet'!$E$11+1,1))</f>
        <v>383.03154033422328</v>
      </c>
      <c r="BJ21" s="59">
        <f t="shared" si="38"/>
        <v>373.27897156169877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64.891477880116597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3.65</v>
      </c>
      <c r="BY21" s="12">
        <f>IF('Données projet'!$A$114&gt;35,BY20+BX21-CG20,IF(A21&lt;'Données projet'!$A$114,$BV$205^A21,IF(A21='Données projet'!$A$114,'Données projet'!$B$114,BY20+BX21-CG20)))</f>
        <v>47.532490941824946</v>
      </c>
      <c r="BZ21" s="13">
        <f>BY21*VLOOKUP('Données projet'!$B$12,Paramètres!$A$1:$I$89,3,0)*VLOOKUP('Données projet'!$B$12,Paramètres!$A$1:$I$89,5,0)</f>
        <v>40.041370369393334</v>
      </c>
      <c r="CA21" s="13">
        <f t="shared" si="39"/>
        <v>12.009611467876571</v>
      </c>
      <c r="CB21" s="20">
        <f t="shared" si="10"/>
        <v>90.655460033245092</v>
      </c>
      <c r="CC21" s="59">
        <f t="shared" si="11"/>
        <v>350.59087892700597</v>
      </c>
      <c r="CD21" s="59">
        <f ca="1">AVERAGE(OFFSET($CC$3,0,0,'Données projet'!$E$12+1,1))-AVERAGE(OFFSET($H$3,0,0,'Données projet'!$E$12+1,1))</f>
        <v>449.94334483948603</v>
      </c>
      <c r="CE21" s="59">
        <f t="shared" si="40"/>
        <v>318.02929110264176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64.891477880116597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1.6</v>
      </c>
      <c r="CT21" s="12">
        <f>IF('Données projet'!$A$140&gt;35,CT20+CS21-DB20,IF(A21&lt;'Données projet'!$A$140,$CQ$205^A21,IF(A21='Données projet'!$A$140,'Données projet'!$B$140,CT20+CS21-DB20)))</f>
        <v>22.627416997969497</v>
      </c>
      <c r="CU21" s="17">
        <f>CT21*VLOOKUP('Données projet'!$B$13,Paramètres!$A$1:$I$89,3,0)*VLOOKUP('Données projet'!$B$13,Paramètres!$A$1:$I$89,5,0)</f>
        <v>19.414323784257832</v>
      </c>
      <c r="CV21" s="13">
        <f t="shared" si="41"/>
        <v>6.3348582456241713</v>
      </c>
      <c r="CW21" s="20">
        <f t="shared" si="13"/>
        <v>44.846492035377821</v>
      </c>
      <c r="CX21" s="59">
        <f t="shared" si="14"/>
        <v>304.78191092913869</v>
      </c>
      <c r="CY21" s="59">
        <f ca="1">AVERAGE(OFFSET($CX$3,0,0,'Données projet'!$E$13+1,1))-AVERAGE(OFFSET($H$3,0,0,'Données projet'!$E$13+1,1))</f>
        <v>565.32667500225568</v>
      </c>
      <c r="CZ21" s="59">
        <f t="shared" si="42"/>
        <v>275.06957234480944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64.891477880116597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20.100000000000001</v>
      </c>
      <c r="DO21" s="12">
        <f>IF('Données projet'!$A$166&gt;35,DO20+DN21-DW20,IF(A21&lt;'Données projet'!$A$166,$DL$205^A21,IF(A21='Données projet'!$A$166,'Données projet'!$B$166,DO20+DN21-DW20)))</f>
        <v>187.79999999999998</v>
      </c>
      <c r="DP21" s="17">
        <f>DO21*VLOOKUP('Données projet'!$B$14,Paramètres!$A$1:$I$89,3,0)*VLOOKUP('Données projet'!$B$14,Paramètres!$A$1:$I$89,5,0)</f>
        <v>104.9802</v>
      </c>
      <c r="DQ21" s="13">
        <f t="shared" si="43"/>
        <v>28.145084690033578</v>
      </c>
      <c r="DR21" s="20">
        <f t="shared" si="16"/>
        <v>231.85987083514178</v>
      </c>
      <c r="DS21" s="59">
        <f t="shared" si="17"/>
        <v>491.79528972890262</v>
      </c>
      <c r="DT21" s="59">
        <f ca="1">AVERAGE(OFFSET($DS$3,0,0,'Données projet'!$E$14+1,1))-AVERAGE(OFFSET($H$3,0,0,'Données projet'!$E$14+1,1))</f>
        <v>532.64469322244281</v>
      </c>
      <c r="DU21" s="59">
        <f t="shared" si="44"/>
        <v>525.88014011096413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64.891477880116597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2.1</v>
      </c>
      <c r="EJ21" s="12">
        <f>IF('Données projet'!$A$192&gt;35,EJ20+EI21-ER20,IF(A21&lt;'Données projet'!$A$192,$EG$205^A21,IF(A21='Données projet'!$A$192,'Données projet'!$B$192,EJ20+EI21-ER20)))</f>
        <v>28.901764726506816</v>
      </c>
      <c r="EK21" s="17">
        <f>EJ21*VLOOKUP('Données projet'!$B$15,Paramètres!$A$1:$I$89,3,0)*VLOOKUP('Données projet'!$B$15,Paramètres!$A$1:$I$89,5,0)</f>
        <v>26.150316724543362</v>
      </c>
      <c r="EL21" s="13">
        <f t="shared" si="45"/>
        <v>8.2420396752158016</v>
      </c>
      <c r="EM21" s="20">
        <f t="shared" si="19"/>
        <v>59.900020729580547</v>
      </c>
      <c r="EN21" s="59">
        <f t="shared" si="20"/>
        <v>319.83543962334141</v>
      </c>
      <c r="EO21" s="59">
        <f ca="1">AVERAGE(OFFSET($EN$3,0,0,'Données projet'!$E$15+1,1))-AVERAGE(OFFSET($H$3,0,0,'Données projet'!$E$15+1,1))</f>
        <v>398.27843768730202</v>
      </c>
      <c r="EP21" s="59">
        <f t="shared" si="46"/>
        <v>252.3617347568813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64.891477880116597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2.1</v>
      </c>
      <c r="FE21" s="12">
        <f>IF('Données projet'!$A$218&gt;35,FE20+FD21-FM20,IF(A21&lt;'Données projet'!$A$218,$FB$205^A21,IF(A21='Données projet'!$A$218,'Données projet'!$B$218,FE20+FD21-FM20)))</f>
        <v>28.901764726506816</v>
      </c>
      <c r="FF21" s="17">
        <f>FE21*VLOOKUP('Données projet'!$B$16,Paramètres!$A$1:$I$89,3,0)*VLOOKUP('Données projet'!$B$16,Paramètres!$A$1:$I$89,5,0)</f>
        <v>27.953786843477392</v>
      </c>
      <c r="FG21" s="13">
        <f t="shared" si="47"/>
        <v>8.7423265089215931</v>
      </c>
      <c r="FH21" s="20">
        <f t="shared" si="22"/>
        <v>63.912397422094891</v>
      </c>
      <c r="FI21" s="59">
        <f t="shared" si="23"/>
        <v>323.84781631585577</v>
      </c>
      <c r="FJ21" s="59">
        <f ca="1">AVERAGE(OFFSET($FI$3,0,0,'Données projet'!$E$16+1,1))-AVERAGE(OFFSET($H$3,0,0,'Données projet'!$E$16+1,1))</f>
        <v>422.28024471365825</v>
      </c>
      <c r="FK21" s="59">
        <f t="shared" si="48"/>
        <v>266.49730479813206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0</v>
      </c>
      <c r="FS21" s="21">
        <f>EXP(-LN(2)/2)*FS20+(1-EXP(-LN(2)/2))/(LN(2)/2)*FM21*FP21*VLOOKUP('Données projet'!$B$16,Paramètres!$A$1:$I$89,3,0)*0.475*44/12</f>
        <v>0</v>
      </c>
      <c r="FT21" s="22">
        <f t="shared" si="24"/>
        <v>0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64.891477880116597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3.56</v>
      </c>
      <c r="FZ21" s="12">
        <f>IF('Données projet'!$A$244&gt;35,FZ20+FY21-GH20,IF(A21&lt;'Données projet'!$A$244,$FW$205^A21,IF(A21='Données projet'!$A$244,'Données projet'!$B$244,FZ20+FY21-GH20)))</f>
        <v>25.325661904683113</v>
      </c>
      <c r="GA21" s="17">
        <f>FZ21*VLOOKUP('Données projet'!$B$17,Paramètres!$A$1:$I$89,3,0)*VLOOKUP('Données projet'!$B$17,Paramètres!$A$1:$I$89,5,0)</f>
        <v>19.754016285652828</v>
      </c>
      <c r="GB21" s="13">
        <f t="shared" si="49"/>
        <v>6.4326982982660121</v>
      </c>
      <c r="GC21" s="20">
        <f t="shared" si="25"/>
        <v>45.608527900325306</v>
      </c>
      <c r="GD21" s="59">
        <f t="shared" si="26"/>
        <v>305.5439467940862</v>
      </c>
      <c r="GE21" s="59">
        <f ca="1">AVERAGE(OFFSET($GD$3,0,0,'Données projet'!$E$17+1,1))-AVERAGE(OFFSET($H$3,0,0,'Données projet'!$E$17+1,1))</f>
        <v>300.95722646933314</v>
      </c>
      <c r="GF21" s="59">
        <f t="shared" si="50"/>
        <v>269.52365224623759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>
        <f>EXP(-LN(2)/35)*GL20+(1-EXP(-LN(2)/35))/(LN(2)/35)*GH21*GI21*VLOOKUP('Données projet'!$B$17,Paramètres!$A$1:$I$89,3,0)*0.475*44/12</f>
        <v>0</v>
      </c>
      <c r="GM21" s="21">
        <f>EXP(-LN(2)/25)*GM20+(1-EXP(-LN(2)/25))/(LN(2)/25)*Calculateur!GH21*Calculateur!GJ21*VLOOKUP('Données projet'!$B$17,Paramètres!$A$1:$I$89,3,0)*0.475*44/12</f>
        <v>0</v>
      </c>
      <c r="GN21" s="21">
        <f>EXP(-LN(2)/2)*GN20+(1-EXP(-LN(2)/2))/(LN(2)/2)*GH21*GK21*VLOOKUP('Données projet'!$B$17,Paramètres!$A$1:$I$89,3,0)*0.475*44/12</f>
        <v>0</v>
      </c>
      <c r="GO21" s="21">
        <f t="shared" si="27"/>
        <v>0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64.891477880116597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1.4000000000000001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5.1333333333333337</v>
      </c>
      <c r="H22" s="67">
        <f t="shared" si="1"/>
        <v>236.13333333333335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64.980099317952096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3.65</v>
      </c>
      <c r="N22" s="13">
        <f>IF('Données projet'!$A$36&gt;35,N21+M22-V21,IF(A22&lt;'Données projet'!$A$36,$K$205^A22,IF(A22='Données projet'!$A$36,'Données projet'!$B$36,N21+M22-V21)))</f>
        <v>58.90561805764559</v>
      </c>
      <c r="O22" s="13">
        <f>N22*VLOOKUP('Données projet'!$B$9,Paramètres!$A$1:$I$89,3,0)*VLOOKUP('Données projet'!$B$9,Paramètres!$A$1:$I$89,5,0)</f>
        <v>53.297803218557732</v>
      </c>
      <c r="P22" s="13">
        <f t="shared" si="33"/>
        <v>15.462240012873817</v>
      </c>
      <c r="Q22" s="20">
        <f t="shared" si="2"/>
        <v>119.75707529474329</v>
      </c>
      <c r="R22" s="59">
        <f t="shared" si="0"/>
        <v>381.23966168278986</v>
      </c>
      <c r="S22" s="59">
        <f ca="1">AVERAGE(OFFSET($R$3,0,0,'Données projet'!$E$9+1,1))-AVERAGE(OFFSET($H$3,0,0,'Données projet'!$E$9+1,1))</f>
        <v>479.46542424895119</v>
      </c>
      <c r="T22" s="59">
        <f t="shared" si="34"/>
        <v>337.96395820277337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64.980099317952096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3.65</v>
      </c>
      <c r="AI22" s="13">
        <f>IF('Données projet'!$A$62&gt;35,AI21+AH22-AQ21,IF(A22&lt;'Données projet'!$A$62,$AF$205^A22,IF(A22='Données projet'!$A$62,'Données projet'!$B$62,AI21+AH22-AQ21)))</f>
        <v>58.90561805764559</v>
      </c>
      <c r="AJ22" s="13">
        <f>AI22*VLOOKUP('Données projet'!$B$10,Paramètres!$A$1:$I$89,3,0)*VLOOKUP('Données projet'!$B$10,Paramètres!$A$1:$I$89,5,0)</f>
        <v>56.973513785354818</v>
      </c>
      <c r="AK22" s="13">
        <f t="shared" si="35"/>
        <v>16.400788649238766</v>
      </c>
      <c r="AL22" s="20">
        <f t="shared" si="4"/>
        <v>127.7935767402505</v>
      </c>
      <c r="AM22" s="59">
        <f t="shared" si="5"/>
        <v>389.27616312829707</v>
      </c>
      <c r="AN22" s="59">
        <f ca="1">AVERAGE(OFFSET($AM$3,0,0,'Données projet'!$E$10+1,1))-AVERAGE(OFFSET($H$3,0,0,'Données projet'!$E$10+1,1))</f>
        <v>508.94560627895089</v>
      </c>
      <c r="AO22" s="59">
        <f t="shared" si="36"/>
        <v>357.86868650263034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64.980099317952096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5.85</v>
      </c>
      <c r="BD22" s="12">
        <f>IF('Données projet'!$A$88&gt;35,BD21+BC22-BL21,IF(A22&lt;'Données projet'!$A$88,$BA$205^A22,IF(A22='Données projet'!$A$88,'Données projet'!$B$88,BD21+BC22-BL21)))</f>
        <v>92.209691420380025</v>
      </c>
      <c r="BE22" s="13">
        <f>BD22*VLOOKUP('Données projet'!$B$11,Paramètres!$A$1:$I$89,3,0)*VLOOKUP('Données projet'!$B$11,Paramètres!$A$1:$I$89,5,0)</f>
        <v>71.923559307896426</v>
      </c>
      <c r="BF22" s="13">
        <f t="shared" si="37"/>
        <v>20.150388876166009</v>
      </c>
      <c r="BG22" s="20">
        <f t="shared" si="7"/>
        <v>160.36212642057541</v>
      </c>
      <c r="BH22" s="59">
        <f t="shared" si="8"/>
        <v>421.84471280862198</v>
      </c>
      <c r="BI22" s="59">
        <f ca="1">AVERAGE(OFFSET($BH$3,0,0,'Données projet'!$E$11+1,1))-AVERAGE(OFFSET($H$3,0,0,'Données projet'!$E$11+1,1))</f>
        <v>383.03154033422328</v>
      </c>
      <c r="BJ22" s="59">
        <f t="shared" si="38"/>
        <v>373.27897156169877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64.980099317952096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3.65</v>
      </c>
      <c r="BY22" s="12">
        <f>IF('Données projet'!$A$114&gt;35,BY21+BX22-CG21,IF(A22&lt;'Données projet'!$A$114,$BV$205^A22,IF(A22='Données projet'!$A$114,'Données projet'!$B$114,BY21+BX22-CG21)))</f>
        <v>58.90561805764559</v>
      </c>
      <c r="BZ22" s="13">
        <f>BY22*VLOOKUP('Données projet'!$B$12,Paramètres!$A$1:$I$89,3,0)*VLOOKUP('Données projet'!$B$12,Paramètres!$A$1:$I$89,5,0)</f>
        <v>49.622092651760646</v>
      </c>
      <c r="CA22" s="13">
        <f t="shared" si="39"/>
        <v>14.516120390537463</v>
      </c>
      <c r="CB22" s="20">
        <f t="shared" si="10"/>
        <v>111.70738771533587</v>
      </c>
      <c r="CC22" s="59">
        <f t="shared" si="11"/>
        <v>373.18997410338244</v>
      </c>
      <c r="CD22" s="59">
        <f ca="1">AVERAGE(OFFSET($CC$3,0,0,'Données projet'!$E$12+1,1))-AVERAGE(OFFSET($H$3,0,0,'Données projet'!$E$12+1,1))</f>
        <v>449.94334483948603</v>
      </c>
      <c r="CE22" s="59">
        <f t="shared" si="40"/>
        <v>318.02929110264176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64.980099317952096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1.6</v>
      </c>
      <c r="CT22" s="12">
        <f>IF('Données projet'!$A$140&gt;35,CT21+CS22-DB21,IF(A22&lt;'Données projet'!$A$140,$CQ$205^A22,IF(A22='Données projet'!$A$140,'Données projet'!$B$140,CT21+CS22-DB21)))</f>
        <v>26.908685288118836</v>
      </c>
      <c r="CU22" s="17">
        <f>CT22*VLOOKUP('Données projet'!$B$13,Paramètres!$A$1:$I$89,3,0)*VLOOKUP('Données projet'!$B$13,Paramètres!$A$1:$I$89,5,0)</f>
        <v>23.087651977205965</v>
      </c>
      <c r="CV22" s="13">
        <f t="shared" si="41"/>
        <v>7.3830264994807839</v>
      </c>
      <c r="CW22" s="20">
        <f t="shared" si="13"/>
        <v>53.069765013562751</v>
      </c>
      <c r="CX22" s="59">
        <f t="shared" si="14"/>
        <v>314.55235140160931</v>
      </c>
      <c r="CY22" s="59">
        <f ca="1">AVERAGE(OFFSET($CX$3,0,0,'Données projet'!$E$13+1,1))-AVERAGE(OFFSET($H$3,0,0,'Données projet'!$E$13+1,1))</f>
        <v>565.32667500225568</v>
      </c>
      <c r="CZ22" s="59">
        <f t="shared" si="42"/>
        <v>275.06957234480944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64.980099317952096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20.100000000000001</v>
      </c>
      <c r="DO22" s="12">
        <f>IF('Données projet'!$A$166&gt;35,DO21+DN22-DW21,IF(A22&lt;'Données projet'!$A$166,$DL$205^A22,IF(A22='Données projet'!$A$166,'Données projet'!$B$166,DO21+DN22-DW21)))</f>
        <v>207.89999999999998</v>
      </c>
      <c r="DP22" s="17">
        <f>DO22*VLOOKUP('Données projet'!$B$14,Paramètres!$A$1:$I$89,3,0)*VLOOKUP('Données projet'!$B$14,Paramètres!$A$1:$I$89,5,0)</f>
        <v>116.2161</v>
      </c>
      <c r="DQ22" s="13">
        <f t="shared" si="43"/>
        <v>30.790827813105789</v>
      </c>
      <c r="DR22" s="20">
        <f t="shared" si="16"/>
        <v>256.03706594115926</v>
      </c>
      <c r="DS22" s="59">
        <f t="shared" si="17"/>
        <v>517.51965232920588</v>
      </c>
      <c r="DT22" s="59">
        <f ca="1">AVERAGE(OFFSET($DS$3,0,0,'Données projet'!$E$14+1,1))-AVERAGE(OFFSET($H$3,0,0,'Données projet'!$E$14+1,1))</f>
        <v>532.64469322244281</v>
      </c>
      <c r="DU22" s="59">
        <f t="shared" si="44"/>
        <v>525.88014011096413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64.980099317952096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2.1</v>
      </c>
      <c r="EJ22" s="12">
        <f>IF('Données projet'!$A$192&gt;35,EJ21+EI22-ER21,IF(A22&lt;'Données projet'!$A$192,$EG$205^A22,IF(A22='Données projet'!$A$192,'Données projet'!$B$192,EJ21+EI22-ER21)))</f>
        <v>34.840696297767764</v>
      </c>
      <c r="EK22" s="17">
        <f>EJ22*VLOOKUP('Données projet'!$B$15,Paramètres!$A$1:$I$89,3,0)*VLOOKUP('Données projet'!$B$15,Paramètres!$A$1:$I$89,5,0)</f>
        <v>31.52386201022027</v>
      </c>
      <c r="EL22" s="13">
        <f t="shared" si="45"/>
        <v>9.7218710074397983</v>
      </c>
      <c r="EM22" s="20">
        <f t="shared" si="19"/>
        <v>71.836318339091292</v>
      </c>
      <c r="EN22" s="59">
        <f t="shared" si="20"/>
        <v>333.31890472713786</v>
      </c>
      <c r="EO22" s="59">
        <f ca="1">AVERAGE(OFFSET($EN$3,0,0,'Données projet'!$E$15+1,1))-AVERAGE(OFFSET($H$3,0,0,'Données projet'!$E$15+1,1))</f>
        <v>398.27843768730202</v>
      </c>
      <c r="EP22" s="59">
        <f t="shared" si="46"/>
        <v>252.3617347568813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64.980099317952096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2.1</v>
      </c>
      <c r="FE22" s="12">
        <f>IF('Données projet'!$A$218&gt;35,FE21+FD22-FM21,IF(A22&lt;'Données projet'!$A$218,$FB$205^A22,IF(A22='Données projet'!$A$218,'Données projet'!$B$218,FE21+FD22-FM21)))</f>
        <v>34.840696297767764</v>
      </c>
      <c r="FF22" s="17">
        <f>FE22*VLOOKUP('Données projet'!$B$16,Paramètres!$A$1:$I$89,3,0)*VLOOKUP('Données projet'!$B$16,Paramètres!$A$1:$I$89,5,0)</f>
        <v>33.697921459200977</v>
      </c>
      <c r="FG22" s="13">
        <f t="shared" si="47"/>
        <v>10.31198270984201</v>
      </c>
      <c r="FH22" s="20">
        <f t="shared" si="22"/>
        <v>76.650583094416518</v>
      </c>
      <c r="FI22" s="59">
        <f t="shared" si="23"/>
        <v>338.13316948246307</v>
      </c>
      <c r="FJ22" s="59">
        <f ca="1">AVERAGE(OFFSET($FI$3,0,0,'Données projet'!$E$16+1,1))-AVERAGE(OFFSET($H$3,0,0,'Données projet'!$E$16+1,1))</f>
        <v>422.28024471365825</v>
      </c>
      <c r="FK22" s="59">
        <f t="shared" si="48"/>
        <v>266.49730479813206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0</v>
      </c>
      <c r="FS22" s="21">
        <f>EXP(-LN(2)/2)*FS21+(1-EXP(-LN(2)/2))/(LN(2)/2)*FM22*FP22*VLOOKUP('Données projet'!$B$16,Paramètres!$A$1:$I$89,3,0)*0.475*44/12</f>
        <v>0</v>
      </c>
      <c r="FT22" s="22">
        <f t="shared" si="24"/>
        <v>0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64.980099317952096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3.56</v>
      </c>
      <c r="FZ22" s="12">
        <f>IF('Données projet'!$A$244&gt;35,FZ21+FY22-GH21,IF(A22&lt;'Données projet'!$A$244,$FW$205^A22,IF(A22='Données projet'!$A$244,'Données projet'!$B$244,FZ21+FY22-GH21)))</f>
        <v>30.306543339398647</v>
      </c>
      <c r="GA22" s="17">
        <f>FZ22*VLOOKUP('Données projet'!$B$17,Paramètres!$A$1:$I$89,3,0)*VLOOKUP('Données projet'!$B$17,Paramètres!$A$1:$I$89,5,0)</f>
        <v>23.639103804730947</v>
      </c>
      <c r="GB22" s="13">
        <f t="shared" si="49"/>
        <v>7.5386299111208031</v>
      </c>
      <c r="GC22" s="20">
        <f t="shared" si="25"/>
        <v>54.301219555108467</v>
      </c>
      <c r="GD22" s="59">
        <f t="shared" si="26"/>
        <v>315.78380594315502</v>
      </c>
      <c r="GE22" s="59">
        <f ca="1">AVERAGE(OFFSET($GD$3,0,0,'Données projet'!$E$17+1,1))-AVERAGE(OFFSET($H$3,0,0,'Données projet'!$E$17+1,1))</f>
        <v>300.95722646933314</v>
      </c>
      <c r="GF22" s="59">
        <f t="shared" si="50"/>
        <v>269.52365224623759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>
        <f>EXP(-LN(2)/35)*GL21+(1-EXP(-LN(2)/35))/(LN(2)/35)*GH22*GI22*VLOOKUP('Données projet'!$B$17,Paramètres!$A$1:$I$89,3,0)*0.475*44/12</f>
        <v>0</v>
      </c>
      <c r="GM22" s="21">
        <f>EXP(-LN(2)/25)*GM21+(1-EXP(-LN(2)/25))/(LN(2)/25)*Calculateur!GH22*Calculateur!GJ22*VLOOKUP('Données projet'!$B$17,Paramètres!$A$1:$I$89,3,0)*0.475*44/12</f>
        <v>0</v>
      </c>
      <c r="GN22" s="21">
        <f>EXP(-LN(2)/2)*GN21+(1-EXP(-LN(2)/2))/(LN(2)/2)*GH22*GK22*VLOOKUP('Données projet'!$B$17,Paramètres!$A$1:$I$89,3,0)*0.475*44/12</f>
        <v>0</v>
      </c>
      <c r="GO22" s="21">
        <f t="shared" si="27"/>
        <v>0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64.980099317952096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1.4000000000000001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5.1333333333333337</v>
      </c>
      <c r="H23" s="67">
        <f t="shared" si="1"/>
        <v>236.13333333333335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65.067183371969008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73</v>
      </c>
      <c r="L23" s="12">
        <f>VLOOKUP(A23,'Données projet'!$A$35:$I$55,9,0)</f>
        <v>3.65</v>
      </c>
      <c r="M23" s="12">
        <f t="array" ref="M23">INDEX(L:L,MIN(IF(ISNUMBER(L23:L219),ROW(L23:L219),"")))</f>
        <v>3.65</v>
      </c>
      <c r="N23" s="13">
        <f>IF('Données projet'!$A$36&gt;35,N22+M23-V22,IF(A23&lt;'Données projet'!$A$36,$K$205^A23,IF(A23='Données projet'!$A$36,'Données projet'!$B$36,N22+M23-V22)))</f>
        <v>73</v>
      </c>
      <c r="O23" s="13">
        <f>N23*VLOOKUP('Données projet'!$B$9,Paramètres!$A$1:$I$89,3,0)*VLOOKUP('Données projet'!$B$9,Paramètres!$A$1:$I$89,5,0)</f>
        <v>66.050399999999996</v>
      </c>
      <c r="P23" s="13">
        <f t="shared" si="33"/>
        <v>18.689342126897891</v>
      </c>
      <c r="Q23" s="20">
        <f t="shared" si="2"/>
        <v>147.58838420434714</v>
      </c>
      <c r="R23" s="59">
        <f t="shared" si="0"/>
        <v>410.61250101267797</v>
      </c>
      <c r="S23" s="59">
        <f ca="1">AVERAGE(OFFSET($R$3,0,0,'Données projet'!$E$9+1,1))-AVERAGE(OFFSET($H$3,0,0,'Données projet'!$E$9+1,1))</f>
        <v>479.46542424895119</v>
      </c>
      <c r="T23" s="59">
        <f t="shared" si="34"/>
        <v>337.96395820277337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6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0.1075</v>
      </c>
      <c r="Y23" s="16">
        <f>IF(ISNA(VLOOKUP(A23,'Données projet'!$A$35:$I$55,7,0)),0%,VLOOKUP(A23,'Données projet'!$A$35:$I$55,7,0))</f>
        <v>0.25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0.64260789775653271</v>
      </c>
      <c r="AB23" s="21">
        <f>EXP(-LN(2)/2)*AB22+(1-EXP(-LN(2)/2))/(LN(2)/2)*V23*Y23*VLOOKUP('Données projet'!$B$9,Paramètres!$A$1:$I$89,3,0)*0.475*44/12</f>
        <v>1.2805547285024328</v>
      </c>
      <c r="AC23" s="22">
        <f t="shared" si="3"/>
        <v>1.9231626262589656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65.067183371969008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73</v>
      </c>
      <c r="AG23" s="12">
        <f>VLOOKUP(A23,'Données projet'!$A$61:$I$81,9,0)</f>
        <v>3.65</v>
      </c>
      <c r="AH23" s="12">
        <f t="array" ref="AH23">INDEX(AG:AG,MIN(IF(ISNUMBER(AG23:AG219),ROW(AG23:AG219),"")))</f>
        <v>3.65</v>
      </c>
      <c r="AI23" s="13">
        <f>IF('Données projet'!$A$62&gt;35,AI22+AH23-AQ22,IF(A23&lt;'Données projet'!$A$62,$AF$205^A23,IF(A23='Données projet'!$A$62,'Données projet'!$B$62,AI22+AH23-AQ22)))</f>
        <v>73</v>
      </c>
      <c r="AJ23" s="13">
        <f>AI23*VLOOKUP('Données projet'!$B$10,Paramètres!$A$1:$I$89,3,0)*VLOOKUP('Données projet'!$B$10,Paramètres!$A$1:$I$89,5,0)</f>
        <v>70.605599999999995</v>
      </c>
      <c r="AK23" s="13">
        <f t="shared" si="35"/>
        <v>19.823773913828742</v>
      </c>
      <c r="AL23" s="20">
        <f t="shared" si="4"/>
        <v>157.49782623325171</v>
      </c>
      <c r="AM23" s="59">
        <f t="shared" si="5"/>
        <v>420.52194304158252</v>
      </c>
      <c r="AN23" s="59">
        <f ca="1">AVERAGE(OFFSET($AM$3,0,0,'Données projet'!$E$10+1,1))-AVERAGE(OFFSET($H$3,0,0,'Données projet'!$E$10+1,1))</f>
        <v>508.94560627895089</v>
      </c>
      <c r="AO23" s="59">
        <f t="shared" si="36"/>
        <v>357.86868650263034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6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0.1075</v>
      </c>
      <c r="AT23" s="16">
        <f>IF(ISNA(VLOOKUP(A23,'Données projet'!$A$61:$I$81,7,0)),0%,VLOOKUP(A23,'Données projet'!$A$61:$I$81,7,0))</f>
        <v>0.25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0.68692568380870744</v>
      </c>
      <c r="AW23" s="21">
        <f>EXP(-LN(2)/2)*AW22+(1-EXP(-LN(2)/2))/(LN(2)/2)*AQ23*AT23*VLOOKUP('Données projet'!$B$10,Paramètres!$A$1:$I$89,3,0)*0.475*44/12</f>
        <v>1.3688688477094972</v>
      </c>
      <c r="AX23" s="21">
        <f t="shared" si="6"/>
        <v>2.0557945315182047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65.067183371969008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117</v>
      </c>
      <c r="BB23" s="12">
        <f>VLOOKUP(A23,'Données projet'!$A$87:$I$107,9,0)</f>
        <v>5.85</v>
      </c>
      <c r="BC23" s="12">
        <f t="array" ref="BC23">INDEX(BB:BB,MIN(IF(ISNUMBER(BB23:BB219),ROW(BB23:BB219),"")))</f>
        <v>5.85</v>
      </c>
      <c r="BD23" s="12">
        <f>IF('Données projet'!$A$88&gt;35,BD22+BC23-BL22,IF(A23&lt;'Données projet'!$A$88,$BA$205^A23,IF(A23='Données projet'!$A$88,'Données projet'!$B$88,BD22+BC23-BL22)))</f>
        <v>117</v>
      </c>
      <c r="BE23" s="13">
        <f>BD23*VLOOKUP('Données projet'!$B$11,Paramètres!$A$1:$I$89,3,0)*VLOOKUP('Données projet'!$B$11,Paramètres!$A$1:$I$89,5,0)</f>
        <v>91.26</v>
      </c>
      <c r="BF23" s="13">
        <f t="shared" si="37"/>
        <v>24.868860330902777</v>
      </c>
      <c r="BG23" s="20">
        <f t="shared" si="7"/>
        <v>202.25776507632233</v>
      </c>
      <c r="BH23" s="59">
        <f t="shared" si="8"/>
        <v>465.2818818846531</v>
      </c>
      <c r="BI23" s="59">
        <f ca="1">AVERAGE(OFFSET($BH$3,0,0,'Données projet'!$E$11+1,1))-AVERAGE(OFFSET($H$3,0,0,'Données projet'!$E$11+1,1))</f>
        <v>383.03154033422328</v>
      </c>
      <c r="BJ23" s="59">
        <f t="shared" si="38"/>
        <v>373.27897156169877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27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0.1075</v>
      </c>
      <c r="BO23" s="16">
        <f>IF(ISNA(VLOOKUP(A23,'Données projet'!$A$87:$I$107,7,0)),0%,VLOOKUP(A23,'Données projet'!$A$87:$I$107,7,0))</f>
        <v>0.25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2.4928754654348251</v>
      </c>
      <c r="BR23" s="21">
        <f>EXP(-LN(2)/2)*BR22+(1-EXP(-LN(2)/2))/(LN(2)/2)*BL23*BO23*VLOOKUP('Données projet'!$B$11,Paramètres!$A$1:$I$89,3,0)*0.475*44/12</f>
        <v>4.9676692053973701</v>
      </c>
      <c r="BS23" s="22">
        <f t="shared" si="9"/>
        <v>7.4605446708321956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65.067183371969008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73</v>
      </c>
      <c r="BW23" s="12">
        <f>VLOOKUP(A23,'Données projet'!$A$113:$I$133,9,0)</f>
        <v>3.65</v>
      </c>
      <c r="BX23" s="12">
        <f t="array" ref="BX23">INDEX(BW:BW,MIN(IF(ISNUMBER(BW23:BW219),ROW(BW23:BW219),"")))</f>
        <v>3.65</v>
      </c>
      <c r="BY23" s="12">
        <f>IF('Données projet'!$A$114&gt;35,BY22+BX23-CG22,IF(A23&lt;'Données projet'!$A$114,$BV$205^A23,IF(A23='Données projet'!$A$114,'Données projet'!$B$114,BY22+BX23-CG22)))</f>
        <v>73</v>
      </c>
      <c r="BZ23" s="13">
        <f>BY23*VLOOKUP('Données projet'!$B$12,Paramètres!$A$1:$I$89,3,0)*VLOOKUP('Données projet'!$B$12,Paramètres!$A$1:$I$89,5,0)</f>
        <v>61.495200000000004</v>
      </c>
      <c r="CA23" s="13">
        <f t="shared" si="39"/>
        <v>17.545759224285259</v>
      </c>
      <c r="CB23" s="20">
        <f t="shared" si="10"/>
        <v>137.66300398229683</v>
      </c>
      <c r="CC23" s="59">
        <f t="shared" si="11"/>
        <v>400.68712079062766</v>
      </c>
      <c r="CD23" s="59">
        <f ca="1">AVERAGE(OFFSET($CC$3,0,0,'Données projet'!$E$12+1,1))-AVERAGE(OFFSET($H$3,0,0,'Données projet'!$E$12+1,1))</f>
        <v>449.94334483948603</v>
      </c>
      <c r="CE23" s="59">
        <f t="shared" si="40"/>
        <v>318.02929110264176</v>
      </c>
      <c r="CF23" s="15">
        <f>IF(ISNA(VLOOKUP(A23,'Données projet'!$A$113:$I$133,3,0)),0,VLOOKUP(A23,'Données projet'!$A$113:$I$133,3,0))</f>
        <v>1</v>
      </c>
      <c r="CG23" s="15">
        <f>IF(ISNA(VLOOKUP(A23,'Données projet'!$A$113:$I$133,4,0)),0,VLOOKUP(A23,'Données projet'!$A$113:$I$133,4,0))</f>
        <v>6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0.1075</v>
      </c>
      <c r="CJ23" s="16">
        <f>IF(ISNA(VLOOKUP(A23,'Données projet'!$A$113:$I$133,7,0)),0%,VLOOKUP(A23,'Données projet'!$A$113:$I$133,7,0))</f>
        <v>0.25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0.59829011170435809</v>
      </c>
      <c r="CM23" s="21">
        <f>EXP(-LN(2)/2)*CM22+(1-EXP(-LN(2)/2))/(LN(2)/2)*CG23*CJ23*VLOOKUP('Données projet'!$B$12,Paramètres!$A$1:$I$89,3,0)*0.475*44/12</f>
        <v>1.1922406092953686</v>
      </c>
      <c r="CN23" s="22">
        <f t="shared" si="12"/>
        <v>1.7905307209997265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65.067183371969008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>
        <f>VLOOKUP(A23,'Données projet'!$A$139:$I$159,2,0)</f>
        <v>32</v>
      </c>
      <c r="CR23" s="12">
        <f>VLOOKUP(A23,'Données projet'!$A$139:$I$159,9,0)</f>
        <v>1.6</v>
      </c>
      <c r="CS23" s="12">
        <f t="array" ref="CS23">INDEX(CR:CR,MIN(IF(ISNUMBER(CR23:CR219),ROW(CR23:CR219),"")))</f>
        <v>1.6</v>
      </c>
      <c r="CT23" s="12">
        <f>IF('Données projet'!$A$140&gt;35,CT22+CS23-DB22,IF(A23&lt;'Données projet'!$A$140,$CQ$205^A23,IF(A23='Données projet'!$A$140,'Données projet'!$B$140,CT22+CS23-DB22)))</f>
        <v>32</v>
      </c>
      <c r="CU23" s="17">
        <f>CT23*VLOOKUP('Données projet'!$B$13,Paramètres!$A$1:$I$89,3,0)*VLOOKUP('Données projet'!$B$13,Paramètres!$A$1:$I$89,5,0)</f>
        <v>27.456000000000003</v>
      </c>
      <c r="CV23" s="13">
        <f t="shared" si="41"/>
        <v>8.604625104229898</v>
      </c>
      <c r="CW23" s="20">
        <f t="shared" si="13"/>
        <v>62.805588723200408</v>
      </c>
      <c r="CX23" s="59">
        <f t="shared" si="14"/>
        <v>325.8297055315312</v>
      </c>
      <c r="CY23" s="59">
        <f ca="1">AVERAGE(OFFSET($CX$3,0,0,'Données projet'!$E$13+1,1))-AVERAGE(OFFSET($H$3,0,0,'Données projet'!$E$13+1,1))</f>
        <v>565.32667500225568</v>
      </c>
      <c r="CZ23" s="59">
        <f t="shared" si="42"/>
        <v>275.06957234480944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65.067183371969008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>
        <f>VLOOKUP(A23,'Données projet'!$A$165:$I$185,2,0)</f>
        <v>228</v>
      </c>
      <c r="DM23" s="12">
        <f>VLOOKUP(A23,'Données projet'!$A$165:$I$185,9,0)</f>
        <v>20.100000000000001</v>
      </c>
      <c r="DN23" s="12">
        <f t="array" ref="DN23">INDEX(DM:DM,MIN(IF(ISNUMBER(DM23:DM219),ROW(DM23:DM219),"")))</f>
        <v>20.100000000000001</v>
      </c>
      <c r="DO23" s="12">
        <f>IF('Données projet'!$A$166&gt;35,DO22+DN23-DW22,IF(A23&lt;'Données projet'!$A$166,$DL$205^A23,IF(A23='Données projet'!$A$166,'Données projet'!$B$166,DO22+DN23-DW22)))</f>
        <v>227.99999999999997</v>
      </c>
      <c r="DP23" s="17">
        <f>DO23*VLOOKUP('Données projet'!$B$14,Paramètres!$A$1:$I$89,3,0)*VLOOKUP('Données projet'!$B$14,Paramètres!$A$1:$I$89,5,0)</f>
        <v>127.452</v>
      </c>
      <c r="DQ23" s="13">
        <f t="shared" si="43"/>
        <v>33.406914773953936</v>
      </c>
      <c r="DR23" s="20">
        <f t="shared" si="16"/>
        <v>280.16260989796973</v>
      </c>
      <c r="DS23" s="59">
        <f t="shared" si="17"/>
        <v>543.18672670630053</v>
      </c>
      <c r="DT23" s="59">
        <f ca="1">AVERAGE(OFFSET($DS$3,0,0,'Données projet'!$E$14+1,1))-AVERAGE(OFFSET($H$3,0,0,'Données projet'!$E$14+1,1))</f>
        <v>532.64469322244281</v>
      </c>
      <c r="DU23" s="59">
        <f t="shared" si="44"/>
        <v>525.88014011096413</v>
      </c>
      <c r="DV23" s="15">
        <f>IF(ISNA(VLOOKUP(A23,'Données projet'!$A$165:$I$185,3,0)),0,VLOOKUP(A23,'Données projet'!$A$165:$I$185,3,0))</f>
        <v>1</v>
      </c>
      <c r="DW23" s="15">
        <f>IF(ISNA(VLOOKUP(A23,'Données projet'!$A$165:$I$185,4,0)),0,VLOOKUP(A23,'Données projet'!$A$165:$I$185,4,0))</f>
        <v>104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0.27500000000000002</v>
      </c>
      <c r="DZ23" s="16">
        <f>IF(ISNA(VLOOKUP(A23,'Données projet'!$A$165:$I$185,7,0)),0%,VLOOKUP(A23,'Données projet'!$A$165:$I$185,7,0))</f>
        <v>0.5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21.124811351536597</v>
      </c>
      <c r="EC23" s="21">
        <f>EXP(-LN(2)/2)*EC22+(1-EXP(-LN(2)/2))/(LN(2)/2)*DW23*DZ23*VLOOKUP('Données projet'!$B$14,Paramètres!$A$1:$I$89,3,0)*0.475*44/12</f>
        <v>32.911728424499309</v>
      </c>
      <c r="ED23" s="22">
        <f t="shared" si="18"/>
        <v>54.036539776035909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65.067183371969008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>
        <f>VLOOKUP(A23,'Données projet'!$A$191:$I$211,2,0)</f>
        <v>42</v>
      </c>
      <c r="EH23" s="12">
        <f>VLOOKUP(A23,'Données projet'!$A$191:$I$211,9,0)</f>
        <v>2.1</v>
      </c>
      <c r="EI23" s="12">
        <f t="array" ref="EI23">INDEX(EH:EH,MIN(IF(ISNUMBER(EH23:EH219),ROW(EH23:EH219),"")))</f>
        <v>2.1</v>
      </c>
      <c r="EJ23" s="12">
        <f>IF('Données projet'!$A$192&gt;35,EJ22+EI23-ER22,IF(A23&lt;'Données projet'!$A$192,$EG$205^A23,IF(A23='Données projet'!$A$192,'Données projet'!$B$192,EJ22+EI23-ER22)))</f>
        <v>42</v>
      </c>
      <c r="EK23" s="17">
        <f>EJ23*VLOOKUP('Données projet'!$B$15,Paramètres!$A$1:$I$89,3,0)*VLOOKUP('Données projet'!$B$15,Paramètres!$A$1:$I$89,5,0)</f>
        <v>38.001600000000003</v>
      </c>
      <c r="EL23" s="13">
        <f t="shared" si="45"/>
        <v>11.467401227090512</v>
      </c>
      <c r="EM23" s="20">
        <f t="shared" si="19"/>
        <v>86.158510470515978</v>
      </c>
      <c r="EN23" s="59">
        <f t="shared" si="20"/>
        <v>349.18262727884678</v>
      </c>
      <c r="EO23" s="59">
        <f ca="1">AVERAGE(OFFSET($EN$3,0,0,'Données projet'!$E$15+1,1))-AVERAGE(OFFSET($H$3,0,0,'Données projet'!$E$15+1,1))</f>
        <v>398.27843768730202</v>
      </c>
      <c r="EP23" s="59">
        <f t="shared" si="46"/>
        <v>252.3617347568813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0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65.067183371969008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>
        <f>VLOOKUP(A23,'Données projet'!$A$217:$I$237,2,0)</f>
        <v>42</v>
      </c>
      <c r="FC23" s="12">
        <f>VLOOKUP(A23,'Données projet'!$A$217:$I$237,9,0)</f>
        <v>2.1</v>
      </c>
      <c r="FD23" s="12">
        <f t="array" ref="FD23">INDEX(FC:FC,MIN(IF(ISNUMBER(FC23:FC219),ROW(FC23:FC219),"")))</f>
        <v>2.1</v>
      </c>
      <c r="FE23" s="12">
        <f>IF('Données projet'!$A$218&gt;35,FE22+FD23-FM22,IF(A23&lt;'Données projet'!$A$218,$FB$205^A23,IF(A23='Données projet'!$A$218,'Données projet'!$B$218,FE22+FD23-FM22)))</f>
        <v>42</v>
      </c>
      <c r="FF23" s="17">
        <f>FE23*VLOOKUP('Données projet'!$B$16,Paramètres!$A$1:$I$89,3,0)*VLOOKUP('Données projet'!$B$16,Paramètres!$A$1:$I$89,5,0)</f>
        <v>40.622399999999999</v>
      </c>
      <c r="FG23" s="13">
        <f t="shared" si="47"/>
        <v>12.163465560290264</v>
      </c>
      <c r="FH23" s="20">
        <f t="shared" si="22"/>
        <v>91.935382517505545</v>
      </c>
      <c r="FI23" s="59">
        <f t="shared" si="23"/>
        <v>354.95949932583636</v>
      </c>
      <c r="FJ23" s="59">
        <f ca="1">AVERAGE(OFFSET($FI$3,0,0,'Données projet'!$E$16+1,1))-AVERAGE(OFFSET($H$3,0,0,'Données projet'!$E$16+1,1))</f>
        <v>422.28024471365825</v>
      </c>
      <c r="FK23" s="59">
        <f t="shared" si="48"/>
        <v>266.49730479813206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0</v>
      </c>
      <c r="FS23" s="21">
        <f>EXP(-LN(2)/2)*FS22+(1-EXP(-LN(2)/2))/(LN(2)/2)*FM23*FP23*VLOOKUP('Données projet'!$B$16,Paramètres!$A$1:$I$89,3,0)*0.475*44/12</f>
        <v>0</v>
      </c>
      <c r="FT23" s="22">
        <f t="shared" si="24"/>
        <v>0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65.067183371969008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3.56</v>
      </c>
      <c r="FZ23" s="12">
        <f>IF('Données projet'!$A$244&gt;35,FZ22+FY23-GH22,IF(A23&lt;'Données projet'!$A$244,$FW$205^A23,IF(A23='Données projet'!$A$244,'Données projet'!$B$244,FZ22+FY23-GH22)))</f>
        <v>36.267031149657967</v>
      </c>
      <c r="GA23" s="17">
        <f>FZ23*VLOOKUP('Données projet'!$B$17,Paramètres!$A$1:$I$89,3,0)*VLOOKUP('Données projet'!$B$17,Paramètres!$A$1:$I$89,5,0)</f>
        <v>28.288284296733217</v>
      </c>
      <c r="GB23" s="13">
        <f t="shared" si="49"/>
        <v>8.834697090047662</v>
      </c>
      <c r="GC23" s="20">
        <f t="shared" si="25"/>
        <v>64.655859248643353</v>
      </c>
      <c r="GD23" s="59">
        <f t="shared" si="26"/>
        <v>327.67997605697417</v>
      </c>
      <c r="GE23" s="59">
        <f ca="1">AVERAGE(OFFSET($GD$3,0,0,'Données projet'!$E$17+1,1))-AVERAGE(OFFSET($H$3,0,0,'Données projet'!$E$17+1,1))</f>
        <v>300.95722646933314</v>
      </c>
      <c r="GF23" s="59">
        <f t="shared" si="50"/>
        <v>269.52365224623759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>
        <f>EXP(-LN(2)/35)*GL22+(1-EXP(-LN(2)/35))/(LN(2)/35)*GH23*GI23*VLOOKUP('Données projet'!$B$17,Paramètres!$A$1:$I$89,3,0)*0.475*44/12</f>
        <v>0</v>
      </c>
      <c r="GM23" s="21">
        <f>EXP(-LN(2)/25)*GM22+(1-EXP(-LN(2)/25))/(LN(2)/25)*Calculateur!GH23*Calculateur!GJ23*VLOOKUP('Données projet'!$B$17,Paramètres!$A$1:$I$89,3,0)*0.475*44/12</f>
        <v>0</v>
      </c>
      <c r="GN23" s="21">
        <f>EXP(-LN(2)/2)*GN22+(1-EXP(-LN(2)/2))/(LN(2)/2)*GH23*GK23*VLOOKUP('Données projet'!$B$17,Paramètres!$A$1:$I$89,3,0)*0.475*44/12</f>
        <v>0</v>
      </c>
      <c r="GO23" s="21">
        <f t="shared" si="27"/>
        <v>0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65.067183371969008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1.4000000000000001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5.1333333333333337</v>
      </c>
      <c r="H24" s="67">
        <f t="shared" si="1"/>
        <v>236.13333333333335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65.152756712339496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8.1999999999999993</v>
      </c>
      <c r="N24" s="13">
        <f>IF('Données projet'!$A$36&gt;35,N23+M24-V23,IF(A24&lt;'Données projet'!$A$36,$K$205^A24,IF(A24='Données projet'!$A$36,'Données projet'!$B$36,N23+M24-V23)))</f>
        <v>75.2</v>
      </c>
      <c r="O24" s="13">
        <f>N24*VLOOKUP('Données projet'!$B$9,Paramètres!$A$1:$I$89,3,0)*VLOOKUP('Données projet'!$B$9,Paramètres!$A$1:$I$89,5,0)</f>
        <v>68.040959999999998</v>
      </c>
      <c r="P24" s="13">
        <f t="shared" si="33"/>
        <v>19.186158107165539</v>
      </c>
      <c r="Q24" s="20">
        <f t="shared" si="2"/>
        <v>151.92056403664665</v>
      </c>
      <c r="R24" s="59">
        <f t="shared" si="0"/>
        <v>416.48067198189153</v>
      </c>
      <c r="S24" s="59">
        <f ca="1">AVERAGE(OFFSET($R$3,0,0,'Données projet'!$E$9+1,1))-AVERAGE(OFFSET($H$3,0,0,'Données projet'!$E$9+1,1))</f>
        <v>479.46542424895119</v>
      </c>
      <c r="T24" s="59">
        <f t="shared" si="34"/>
        <v>337.96395820277337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0.62503575099909969</v>
      </c>
      <c r="AB24" s="21">
        <f>EXP(-LN(2)/2)*AB23+(1-EXP(-LN(2)/2))/(LN(2)/2)*V24*Y24*VLOOKUP('Données projet'!$B$9,Paramètres!$A$1:$I$89,3,0)*0.475*44/12</f>
        <v>0.90548893220456861</v>
      </c>
      <c r="AC24" s="22">
        <f t="shared" si="3"/>
        <v>1.5305246832036683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65.152756712339496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8.1999999999999993</v>
      </c>
      <c r="AI24" s="13">
        <f>IF('Données projet'!$A$62&gt;35,AI23+AH24-AQ23,IF(A24&lt;'Données projet'!$A$62,$AF$205^A24,IF(A24='Données projet'!$A$62,'Données projet'!$B$62,AI23+AH24-AQ23)))</f>
        <v>75.2</v>
      </c>
      <c r="AJ24" s="13">
        <f>AI24*VLOOKUP('Données projet'!$B$10,Paramètres!$A$1:$I$89,3,0)*VLOOKUP('Données projet'!$B$10,Paramètres!$A$1:$I$89,5,0)</f>
        <v>72.733440000000002</v>
      </c>
      <c r="AK24" s="13">
        <f t="shared" si="35"/>
        <v>20.35074632423952</v>
      </c>
      <c r="AL24" s="20">
        <f t="shared" si="4"/>
        <v>162.12162451471718</v>
      </c>
      <c r="AM24" s="59">
        <f t="shared" si="5"/>
        <v>426.68173245996206</v>
      </c>
      <c r="AN24" s="59">
        <f ca="1">AVERAGE(OFFSET($AM$3,0,0,'Données projet'!$E$10+1,1))-AVERAGE(OFFSET($H$3,0,0,'Données projet'!$E$10+1,1))</f>
        <v>508.94560627895089</v>
      </c>
      <c r="AO24" s="59">
        <f t="shared" si="36"/>
        <v>357.86868650263034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0.6681416648611066</v>
      </c>
      <c r="AW24" s="21">
        <f>EXP(-LN(2)/2)*AW23+(1-EXP(-LN(2)/2))/(LN(2)/2)*AQ24*AT24*VLOOKUP('Données projet'!$B$10,Paramètres!$A$1:$I$89,3,0)*0.475*44/12</f>
        <v>0.96793644477040097</v>
      </c>
      <c r="AX24" s="21">
        <f t="shared" si="6"/>
        <v>1.6360781096315076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65.152756712339496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10.4</v>
      </c>
      <c r="BD24" s="12">
        <f>IF('Données projet'!$A$88&gt;35,BD23+BC24-BL23,IF(A24&lt;'Données projet'!$A$88,$BA$205^A24,IF(A24='Données projet'!$A$88,'Données projet'!$B$88,BD23+BC24-BL23)))</f>
        <v>100.4</v>
      </c>
      <c r="BE24" s="13">
        <f>BD24*VLOOKUP('Données projet'!$B$11,Paramètres!$A$1:$I$89,3,0)*VLOOKUP('Données projet'!$B$11,Paramètres!$A$1:$I$89,5,0)</f>
        <v>78.312000000000012</v>
      </c>
      <c r="BF24" s="13">
        <f t="shared" si="37"/>
        <v>21.723948494283775</v>
      </c>
      <c r="BG24" s="20">
        <f t="shared" si="7"/>
        <v>174.22927696087757</v>
      </c>
      <c r="BH24" s="59">
        <f t="shared" si="8"/>
        <v>438.78938490612245</v>
      </c>
      <c r="BI24" s="59">
        <f ca="1">AVERAGE(OFFSET($BH$3,0,0,'Données projet'!$E$11+1,1))-AVERAGE(OFFSET($H$3,0,0,'Données projet'!$E$11+1,1))</f>
        <v>383.03154033422328</v>
      </c>
      <c r="BJ24" s="59">
        <f t="shared" si="38"/>
        <v>373.27897156169877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2.4247076547378867</v>
      </c>
      <c r="BR24" s="21">
        <f>EXP(-LN(2)/2)*BR23+(1-EXP(-LN(2)/2))/(LN(2)/2)*BL24*BO24*VLOOKUP('Données projet'!$B$11,Paramètres!$A$1:$I$89,3,0)*0.475*44/12</f>
        <v>3.5126725818280686</v>
      </c>
      <c r="BS24" s="22">
        <f t="shared" si="9"/>
        <v>5.9373802365659554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65.152756712339496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8.1999999999999993</v>
      </c>
      <c r="BY24" s="12">
        <f>IF('Données projet'!$A$114&gt;35,BY23+BX24-CG23,IF(A24&lt;'Données projet'!$A$114,$BV$205^A24,IF(A24='Données projet'!$A$114,'Données projet'!$B$114,BY23+BX24-CG23)))</f>
        <v>75.2</v>
      </c>
      <c r="BZ24" s="13">
        <f>BY24*VLOOKUP('Données projet'!$B$12,Paramètres!$A$1:$I$89,3,0)*VLOOKUP('Données projet'!$B$12,Paramètres!$A$1:$I$89,5,0)</f>
        <v>63.348480000000009</v>
      </c>
      <c r="CA24" s="13">
        <f t="shared" si="39"/>
        <v>18.012175511673341</v>
      </c>
      <c r="CB24" s="20">
        <f t="shared" si="10"/>
        <v>141.70314168283105</v>
      </c>
      <c r="CC24" s="59">
        <f t="shared" si="11"/>
        <v>406.26324962807587</v>
      </c>
      <c r="CD24" s="59">
        <f ca="1">AVERAGE(OFFSET($CC$3,0,0,'Données projet'!$E$12+1,1))-AVERAGE(OFFSET($H$3,0,0,'Données projet'!$E$12+1,1))</f>
        <v>449.94334483948603</v>
      </c>
      <c r="CE24" s="59">
        <f t="shared" si="40"/>
        <v>318.02929110264176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0.5819298371370929</v>
      </c>
      <c r="CM24" s="21">
        <f>EXP(-LN(2)/2)*CM23+(1-EXP(-LN(2)/2))/(LN(2)/2)*CG24*CJ24*VLOOKUP('Données projet'!$B$12,Paramètres!$A$1:$I$89,3,0)*0.475*44/12</f>
        <v>0.84304141963873636</v>
      </c>
      <c r="CN24" s="22">
        <f t="shared" si="12"/>
        <v>1.4249712567758293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65.152756712339496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9.1</v>
      </c>
      <c r="CT24" s="12">
        <f>IF('Données projet'!$A$140&gt;35,CT23+CS24-DB23,IF(A24&lt;'Données projet'!$A$140,$CQ$205^A24,IF(A24='Données projet'!$A$140,'Données projet'!$B$140,CT23+CS24-DB23)))</f>
        <v>41.1</v>
      </c>
      <c r="CU24" s="17">
        <f>CT24*VLOOKUP('Données projet'!$B$13,Paramètres!$A$1:$I$89,3,0)*VLOOKUP('Données projet'!$B$13,Paramètres!$A$1:$I$89,5,0)</f>
        <v>35.26380000000001</v>
      </c>
      <c r="CV24" s="13">
        <f t="shared" si="41"/>
        <v>10.73425890938838</v>
      </c>
      <c r="CW24" s="20">
        <f t="shared" si="13"/>
        <v>80.113285933851444</v>
      </c>
      <c r="CX24" s="59">
        <f t="shared" si="14"/>
        <v>344.6733938790963</v>
      </c>
      <c r="CY24" s="59">
        <f ca="1">AVERAGE(OFFSET($CX$3,0,0,'Données projet'!$E$13+1,1))-AVERAGE(OFFSET($H$3,0,0,'Données projet'!$E$13+1,1))</f>
        <v>565.32667500225568</v>
      </c>
      <c r="CZ24" s="59">
        <f t="shared" si="42"/>
        <v>275.06957234480944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65.152756712339496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27.5</v>
      </c>
      <c r="DO24" s="12">
        <f>IF('Données projet'!$A$166&gt;35,DO23+DN24-DW23,IF(A24&lt;'Données projet'!$A$166,$DL$205^A24,IF(A24='Données projet'!$A$166,'Données projet'!$B$166,DO23+DN24-DW23)))</f>
        <v>151.49999999999997</v>
      </c>
      <c r="DP24" s="17">
        <f>DO24*VLOOKUP('Données projet'!$B$14,Paramètres!$A$1:$I$89,3,0)*VLOOKUP('Données projet'!$B$14,Paramètres!$A$1:$I$89,5,0)</f>
        <v>84.688499999999976</v>
      </c>
      <c r="DQ24" s="13">
        <f t="shared" si="43"/>
        <v>23.279719368585155</v>
      </c>
      <c r="DR24" s="20">
        <f t="shared" si="16"/>
        <v>188.04464873361908</v>
      </c>
      <c r="DS24" s="59">
        <f t="shared" si="17"/>
        <v>452.60475667886396</v>
      </c>
      <c r="DT24" s="59">
        <f ca="1">AVERAGE(OFFSET($DS$3,0,0,'Données projet'!$E$14+1,1))-AVERAGE(OFFSET($H$3,0,0,'Données projet'!$E$14+1,1))</f>
        <v>532.64469322244281</v>
      </c>
      <c r="DU24" s="59">
        <f t="shared" si="44"/>
        <v>525.88014011096413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20.547152274223279</v>
      </c>
      <c r="EC24" s="21">
        <f>EXP(-LN(2)/2)*EC23+(1-EXP(-LN(2)/2))/(LN(2)/2)*DW24*DZ24*VLOOKUP('Données projet'!$B$14,Paramètres!$A$1:$I$89,3,0)*0.475*44/12</f>
        <v>23.272106349533512</v>
      </c>
      <c r="ED24" s="22">
        <f t="shared" si="18"/>
        <v>43.819258623756795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65.152756712339496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6.3</v>
      </c>
      <c r="EJ24" s="12">
        <f>IF('Données projet'!$A$192&gt;35,EJ23+EI24-ER23,IF(A24&lt;'Données projet'!$A$192,$EG$205^A24,IF(A24='Données projet'!$A$192,'Données projet'!$B$192,EJ23+EI24-ER23)))</f>
        <v>48.3</v>
      </c>
      <c r="EK24" s="17">
        <f>EJ24*VLOOKUP('Données projet'!$B$15,Paramètres!$A$1:$I$89,3,0)*VLOOKUP('Données projet'!$B$15,Paramètres!$A$1:$I$89,5,0)</f>
        <v>43.701839999999997</v>
      </c>
      <c r="EL24" s="13">
        <f t="shared" si="45"/>
        <v>12.974708810432297</v>
      </c>
      <c r="EM24" s="20">
        <f t="shared" si="19"/>
        <v>98.711655844836244</v>
      </c>
      <c r="EN24" s="59">
        <f t="shared" si="20"/>
        <v>363.27176379008108</v>
      </c>
      <c r="EO24" s="59">
        <f ca="1">AVERAGE(OFFSET($EN$3,0,0,'Données projet'!$E$15+1,1))-AVERAGE(OFFSET($H$3,0,0,'Données projet'!$E$15+1,1))</f>
        <v>398.27843768730202</v>
      </c>
      <c r="EP24" s="59">
        <f t="shared" si="46"/>
        <v>252.3617347568813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0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65.152756712339496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6.3</v>
      </c>
      <c r="FE24" s="12">
        <f>IF('Données projet'!$A$218&gt;35,FE23+FD24-FM23,IF(A24&lt;'Données projet'!$A$218,$FB$205^A24,IF(A24='Données projet'!$A$218,'Données projet'!$B$218,FE23+FD24-FM23)))</f>
        <v>48.3</v>
      </c>
      <c r="FF24" s="17">
        <f>FE24*VLOOKUP('Données projet'!$B$16,Paramètres!$A$1:$I$89,3,0)*VLOOKUP('Données projet'!$B$16,Paramètres!$A$1:$I$89,5,0)</f>
        <v>46.715759999999996</v>
      </c>
      <c r="FG24" s="13">
        <f t="shared" si="47"/>
        <v>13.762265804187708</v>
      </c>
      <c r="FH24" s="20">
        <f t="shared" si="22"/>
        <v>105.33256160896025</v>
      </c>
      <c r="FI24" s="59">
        <f t="shared" si="23"/>
        <v>369.8926695542051</v>
      </c>
      <c r="FJ24" s="59">
        <f ca="1">AVERAGE(OFFSET($FI$3,0,0,'Données projet'!$E$16+1,1))-AVERAGE(OFFSET($H$3,0,0,'Données projet'!$E$16+1,1))</f>
        <v>422.28024471365825</v>
      </c>
      <c r="FK24" s="59">
        <f t="shared" si="48"/>
        <v>266.49730479813206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0</v>
      </c>
      <c r="FS24" s="21">
        <f>EXP(-LN(2)/2)*FS23+(1-EXP(-LN(2)/2))/(LN(2)/2)*FM24*FP24*VLOOKUP('Données projet'!$B$16,Paramètres!$A$1:$I$89,3,0)*0.475*44/12</f>
        <v>0</v>
      </c>
      <c r="FT24" s="22">
        <f t="shared" si="24"/>
        <v>0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65.152756712339496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3.56</v>
      </c>
      <c r="FZ24" s="12">
        <f>IF('Données projet'!$A$244&gt;35,FZ23+FY24-GH23,IF(A24&lt;'Données projet'!$A$244,$FW$205^A24,IF(A24='Données projet'!$A$244,'Données projet'!$B$244,FZ23+FY24-GH23)))</f>
        <v>43.399787751457886</v>
      </c>
      <c r="GA24" s="17">
        <f>FZ24*VLOOKUP('Données projet'!$B$17,Paramètres!$A$1:$I$89,3,0)*VLOOKUP('Données projet'!$B$17,Paramètres!$A$1:$I$89,5,0)</f>
        <v>33.851834446137154</v>
      </c>
      <c r="GB24" s="13">
        <f t="shared" si="49"/>
        <v>10.353588595423204</v>
      </c>
      <c r="GC24" s="20">
        <f t="shared" si="25"/>
        <v>76.991111797384278</v>
      </c>
      <c r="GD24" s="59">
        <f t="shared" si="26"/>
        <v>341.55121974262914</v>
      </c>
      <c r="GE24" s="59">
        <f ca="1">AVERAGE(OFFSET($GD$3,0,0,'Données projet'!$E$17+1,1))-AVERAGE(OFFSET($H$3,0,0,'Données projet'!$E$17+1,1))</f>
        <v>300.95722646933314</v>
      </c>
      <c r="GF24" s="59">
        <f t="shared" si="50"/>
        <v>269.52365224623759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>
        <f>EXP(-LN(2)/35)*GL23+(1-EXP(-LN(2)/35))/(LN(2)/35)*GH24*GI24*VLOOKUP('Données projet'!$B$17,Paramètres!$A$1:$I$89,3,0)*0.475*44/12</f>
        <v>0</v>
      </c>
      <c r="GM24" s="21">
        <f>EXP(-LN(2)/25)*GM23+(1-EXP(-LN(2)/25))/(LN(2)/25)*Calculateur!GH24*Calculateur!GJ24*VLOOKUP('Données projet'!$B$17,Paramètres!$A$1:$I$89,3,0)*0.475*44/12</f>
        <v>0</v>
      </c>
      <c r="GN24" s="21">
        <f>EXP(-LN(2)/2)*GN23+(1-EXP(-LN(2)/2))/(LN(2)/2)*GH24*GK24*VLOOKUP('Données projet'!$B$17,Paramètres!$A$1:$I$89,3,0)*0.475*44/12</f>
        <v>0</v>
      </c>
      <c r="GO24" s="21">
        <f t="shared" si="27"/>
        <v>0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65.152756712339496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1.4000000000000001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5.1333333333333337</v>
      </c>
      <c r="H25" s="67">
        <f t="shared" si="1"/>
        <v>236.13333333333335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65.236845546567892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8.1999999999999993</v>
      </c>
      <c r="N25" s="13">
        <f>IF('Données projet'!$A$36&gt;35,N24+M25-V24,IF(A25&lt;'Données projet'!$A$36,$K$205^A25,IF(A25='Données projet'!$A$36,'Données projet'!$B$36,N24+M25-V24)))</f>
        <v>83.4</v>
      </c>
      <c r="O25" s="13">
        <f>N25*VLOOKUP('Données projet'!$B$9,Paramètres!$A$1:$I$89,3,0)*VLOOKUP('Données projet'!$B$9,Paramètres!$A$1:$I$89,5,0)</f>
        <v>75.460319999999996</v>
      </c>
      <c r="P25" s="13">
        <f t="shared" si="33"/>
        <v>21.023463123249066</v>
      </c>
      <c r="Q25" s="20">
        <f t="shared" si="2"/>
        <v>168.04258893965877</v>
      </c>
      <c r="R25" s="59">
        <f t="shared" si="0"/>
        <v>434.13324483262988</v>
      </c>
      <c r="S25" s="59">
        <f ca="1">AVERAGE(OFFSET($R$3,0,0,'Données projet'!$E$9+1,1))-AVERAGE(OFFSET($H$3,0,0,'Données projet'!$E$9+1,1))</f>
        <v>479.46542424895119</v>
      </c>
      <c r="T25" s="59">
        <f t="shared" si="34"/>
        <v>337.96395820277337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0.60794411551882765</v>
      </c>
      <c r="AB25" s="21">
        <f>EXP(-LN(2)/2)*AB24+(1-EXP(-LN(2)/2))/(LN(2)/2)*V25*Y25*VLOOKUP('Données projet'!$B$9,Paramètres!$A$1:$I$89,3,0)*0.475*44/12</f>
        <v>0.64027736425121651</v>
      </c>
      <c r="AC25" s="22">
        <f t="shared" si="3"/>
        <v>1.2482214797700442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65.236845546567892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8.1999999999999993</v>
      </c>
      <c r="AI25" s="13">
        <f>IF('Données projet'!$A$62&gt;35,AI24+AH25-AQ24,IF(A25&lt;'Données projet'!$A$62,$AF$205^A25,IF(A25='Données projet'!$A$62,'Données projet'!$B$62,AI24+AH25-AQ24)))</f>
        <v>83.4</v>
      </c>
      <c r="AJ25" s="13">
        <f>AI25*VLOOKUP('Données projet'!$B$10,Paramètres!$A$1:$I$89,3,0)*VLOOKUP('Données projet'!$B$10,Paramètres!$A$1:$I$89,5,0)</f>
        <v>80.664480000000012</v>
      </c>
      <c r="AK25" s="13">
        <f t="shared" si="35"/>
        <v>22.299574645872305</v>
      </c>
      <c r="AL25" s="20">
        <f t="shared" si="4"/>
        <v>179.32906184156093</v>
      </c>
      <c r="AM25" s="59">
        <f t="shared" si="5"/>
        <v>445.41971773453207</v>
      </c>
      <c r="AN25" s="59">
        <f ca="1">AVERAGE(OFFSET($AM$3,0,0,'Données projet'!$E$10+1,1))-AVERAGE(OFFSET($H$3,0,0,'Données projet'!$E$10+1,1))</f>
        <v>508.94560627895089</v>
      </c>
      <c r="AO25" s="59">
        <f t="shared" si="36"/>
        <v>357.86868650263034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0.6498712958994366</v>
      </c>
      <c r="AW25" s="21">
        <f>EXP(-LN(2)/2)*AW24+(1-EXP(-LN(2)/2))/(LN(2)/2)*AQ25*AT25*VLOOKUP('Données projet'!$B$10,Paramètres!$A$1:$I$89,3,0)*0.475*44/12</f>
        <v>0.68443442385474873</v>
      </c>
      <c r="AX25" s="21">
        <f t="shared" si="6"/>
        <v>1.3343057197541852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65.236845546567892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10.4</v>
      </c>
      <c r="BD25" s="12">
        <f>IF('Données projet'!$A$88&gt;35,BD24+BC25-BL24,IF(A25&lt;'Données projet'!$A$88,$BA$205^A25,IF(A25='Données projet'!$A$88,'Données projet'!$B$88,BD24+BC25-BL24)))</f>
        <v>110.80000000000001</v>
      </c>
      <c r="BE25" s="13">
        <f>BD25*VLOOKUP('Données projet'!$B$11,Paramètres!$A$1:$I$89,3,0)*VLOOKUP('Données projet'!$B$11,Paramètres!$A$1:$I$89,5,0)</f>
        <v>86.424000000000007</v>
      </c>
      <c r="BF25" s="13">
        <f t="shared" si="37"/>
        <v>23.700755391849651</v>
      </c>
      <c r="BG25" s="20">
        <f t="shared" si="7"/>
        <v>191.80061564080484</v>
      </c>
      <c r="BH25" s="59">
        <f t="shared" si="8"/>
        <v>457.89127153377598</v>
      </c>
      <c r="BI25" s="59">
        <f ca="1">AVERAGE(OFFSET($BH$3,0,0,'Données projet'!$E$11+1,1))-AVERAGE(OFFSET($H$3,0,0,'Données projet'!$E$11+1,1))</f>
        <v>383.03154033422328</v>
      </c>
      <c r="BJ25" s="59">
        <f t="shared" si="38"/>
        <v>373.27897156169877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2.3584038964092455</v>
      </c>
      <c r="BR25" s="21">
        <f>EXP(-LN(2)/2)*BR24+(1-EXP(-LN(2)/2))/(LN(2)/2)*BL25*BO25*VLOOKUP('Données projet'!$B$11,Paramètres!$A$1:$I$89,3,0)*0.475*44/12</f>
        <v>2.4838346026986851</v>
      </c>
      <c r="BS25" s="22">
        <f t="shared" si="9"/>
        <v>4.8422384991079301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65.236845546567892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8.1999999999999993</v>
      </c>
      <c r="BY25" s="12">
        <f>IF('Données projet'!$A$114&gt;35,BY24+BX25-CG24,IF(A25&lt;'Données projet'!$A$114,$BV$205^A25,IF(A25='Données projet'!$A$114,'Données projet'!$B$114,BY24+BX25-CG24)))</f>
        <v>83.4</v>
      </c>
      <c r="BZ25" s="13">
        <f>BY25*VLOOKUP('Données projet'!$B$12,Paramètres!$A$1:$I$89,3,0)*VLOOKUP('Données projet'!$B$12,Paramètres!$A$1:$I$89,5,0)</f>
        <v>70.256160000000023</v>
      </c>
      <c r="CA25" s="13">
        <f t="shared" si="39"/>
        <v>19.737057597671299</v>
      </c>
      <c r="CB25" s="20">
        <f t="shared" si="10"/>
        <v>156.7381873159442</v>
      </c>
      <c r="CC25" s="59">
        <f t="shared" si="11"/>
        <v>422.82884320891537</v>
      </c>
      <c r="CD25" s="59">
        <f ca="1">AVERAGE(OFFSET($CC$3,0,0,'Données projet'!$E$12+1,1))-AVERAGE(OFFSET($H$3,0,0,'Données projet'!$E$12+1,1))</f>
        <v>449.94334483948603</v>
      </c>
      <c r="CE25" s="59">
        <f t="shared" si="40"/>
        <v>318.02929110264176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0.56601693513821894</v>
      </c>
      <c r="CM25" s="21">
        <f>EXP(-LN(2)/2)*CM24+(1-EXP(-LN(2)/2))/(LN(2)/2)*CG25*CJ25*VLOOKUP('Données projet'!$B$12,Paramètres!$A$1:$I$89,3,0)*0.475*44/12</f>
        <v>0.5961203046476844</v>
      </c>
      <c r="CN25" s="22">
        <f t="shared" si="12"/>
        <v>1.1621372397859033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65.236845546567892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9.1</v>
      </c>
      <c r="CT25" s="12">
        <f>IF('Données projet'!$A$140&gt;35,CT24+CS25-DB24,IF(A25&lt;'Données projet'!$A$140,$CQ$205^A25,IF(A25='Données projet'!$A$140,'Données projet'!$B$140,CT24+CS25-DB24)))</f>
        <v>50.2</v>
      </c>
      <c r="CU25" s="17">
        <f>CT25*VLOOKUP('Données projet'!$B$13,Paramètres!$A$1:$I$89,3,0)*VLOOKUP('Données projet'!$B$13,Paramètres!$A$1:$I$89,5,0)</f>
        <v>43.071600000000004</v>
      </c>
      <c r="CV25" s="13">
        <f t="shared" si="41"/>
        <v>12.809236283910437</v>
      </c>
      <c r="CW25" s="20">
        <f t="shared" si="13"/>
        <v>97.325789861144017</v>
      </c>
      <c r="CX25" s="59">
        <f t="shared" si="14"/>
        <v>363.41644575411516</v>
      </c>
      <c r="CY25" s="59">
        <f ca="1">AVERAGE(OFFSET($CX$3,0,0,'Données projet'!$E$13+1,1))-AVERAGE(OFFSET($H$3,0,0,'Données projet'!$E$13+1,1))</f>
        <v>565.32667500225568</v>
      </c>
      <c r="CZ25" s="59">
        <f t="shared" si="42"/>
        <v>275.06957234480944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65.236845546567892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27.5</v>
      </c>
      <c r="DO25" s="12">
        <f>IF('Données projet'!$A$166&gt;35,DO24+DN25-DW24,IF(A25&lt;'Données projet'!$A$166,$DL$205^A25,IF(A25='Données projet'!$A$166,'Données projet'!$B$166,DO24+DN25-DW24)))</f>
        <v>178.99999999999997</v>
      </c>
      <c r="DP25" s="17">
        <f>DO25*VLOOKUP('Données projet'!$B$14,Paramètres!$A$1:$I$89,3,0)*VLOOKUP('Données projet'!$B$14,Paramètres!$A$1:$I$89,5,0)</f>
        <v>100.06099999999998</v>
      </c>
      <c r="DQ25" s="13">
        <f t="shared" si="43"/>
        <v>26.976529441369074</v>
      </c>
      <c r="DR25" s="20">
        <f t="shared" si="16"/>
        <v>221.25703044371778</v>
      </c>
      <c r="DS25" s="59">
        <f t="shared" si="17"/>
        <v>487.34768633668892</v>
      </c>
      <c r="DT25" s="59">
        <f ca="1">AVERAGE(OFFSET($DS$3,0,0,'Données projet'!$E$14+1,1))-AVERAGE(OFFSET($H$3,0,0,'Données projet'!$E$14+1,1))</f>
        <v>532.64469322244281</v>
      </c>
      <c r="DU25" s="59">
        <f t="shared" si="44"/>
        <v>525.88014011096413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19.985289314756866</v>
      </c>
      <c r="EC25" s="21">
        <f>EXP(-LN(2)/2)*EC24+(1-EXP(-LN(2)/2))/(LN(2)/2)*DW25*DZ25*VLOOKUP('Données projet'!$B$14,Paramètres!$A$1:$I$89,3,0)*0.475*44/12</f>
        <v>16.455864212249658</v>
      </c>
      <c r="ED25" s="22">
        <f t="shared" si="18"/>
        <v>36.44115352700652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65.236845546567892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6.3</v>
      </c>
      <c r="EJ25" s="12">
        <f>IF('Données projet'!$A$192&gt;35,EJ24+EI25-ER24,IF(A25&lt;'Données projet'!$A$192,$EG$205^A25,IF(A25='Données projet'!$A$192,'Données projet'!$B$192,EJ24+EI25-ER24)))</f>
        <v>54.599999999999994</v>
      </c>
      <c r="EK25" s="17">
        <f>EJ25*VLOOKUP('Données projet'!$B$15,Paramètres!$A$1:$I$89,3,0)*VLOOKUP('Données projet'!$B$15,Paramètres!$A$1:$I$89,5,0)</f>
        <v>49.402079999999998</v>
      </c>
      <c r="EL25" s="13">
        <f t="shared" si="45"/>
        <v>14.459236264867963</v>
      </c>
      <c r="EM25" s="20">
        <f t="shared" si="19"/>
        <v>111.22512582797835</v>
      </c>
      <c r="EN25" s="59">
        <f t="shared" si="20"/>
        <v>377.31578172094947</v>
      </c>
      <c r="EO25" s="59">
        <f ca="1">AVERAGE(OFFSET($EN$3,0,0,'Données projet'!$E$15+1,1))-AVERAGE(OFFSET($H$3,0,0,'Données projet'!$E$15+1,1))</f>
        <v>398.27843768730202</v>
      </c>
      <c r="EP25" s="59">
        <f t="shared" si="46"/>
        <v>252.3617347568813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0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65.236845546567892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6.3</v>
      </c>
      <c r="FE25" s="12">
        <f>IF('Données projet'!$A$218&gt;35,FE24+FD25-FM24,IF(A25&lt;'Données projet'!$A$218,$FB$205^A25,IF(A25='Données projet'!$A$218,'Données projet'!$B$218,FE24+FD25-FM24)))</f>
        <v>54.599999999999994</v>
      </c>
      <c r="FF25" s="17">
        <f>FE25*VLOOKUP('Données projet'!$B$16,Paramètres!$A$1:$I$89,3,0)*VLOOKUP('Données projet'!$B$16,Paramètres!$A$1:$I$89,5,0)</f>
        <v>52.80912</v>
      </c>
      <c r="FG25" s="13">
        <f t="shared" si="47"/>
        <v>15.336903179103643</v>
      </c>
      <c r="FH25" s="20">
        <f t="shared" si="22"/>
        <v>118.68765703693884</v>
      </c>
      <c r="FI25" s="59">
        <f t="shared" si="23"/>
        <v>384.77831292990999</v>
      </c>
      <c r="FJ25" s="59">
        <f ca="1">AVERAGE(OFFSET($FI$3,0,0,'Données projet'!$E$16+1,1))-AVERAGE(OFFSET($H$3,0,0,'Données projet'!$E$16+1,1))</f>
        <v>422.28024471365825</v>
      </c>
      <c r="FK25" s="59">
        <f t="shared" si="48"/>
        <v>266.49730479813206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0</v>
      </c>
      <c r="FR25" s="21">
        <f>EXP(-LN(2)/25)*FR24+(1-EXP(-LN(2)/25))/(LN(2)/25)*Calculateur!FM25*Calculateur!FO25*VLOOKUP('Données projet'!$B$16,Paramètres!$A$1:$I$89,3,0)*0.475*44/12</f>
        <v>0</v>
      </c>
      <c r="FS25" s="21">
        <f>EXP(-LN(2)/2)*FS24+(1-EXP(-LN(2)/2))/(LN(2)/2)*FM25*FP25*VLOOKUP('Données projet'!$B$16,Paramètres!$A$1:$I$89,3,0)*0.475*44/12</f>
        <v>0</v>
      </c>
      <c r="FT25" s="22">
        <f t="shared" si="24"/>
        <v>0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65.236845546567892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3.56</v>
      </c>
      <c r="FZ25" s="12">
        <f>IF('Données projet'!$A$244&gt;35,FZ24+FY25-GH24,IF(A25&lt;'Données projet'!$A$244,$FW$205^A25,IF(A25='Données projet'!$A$244,'Données projet'!$B$244,FZ24+FY25-GH24)))</f>
        <v>51.935367113427411</v>
      </c>
      <c r="GA25" s="17">
        <f>FZ25*VLOOKUP('Données projet'!$B$17,Paramètres!$A$1:$I$89,3,0)*VLOOKUP('Données projet'!$B$17,Paramètres!$A$1:$I$89,5,0)</f>
        <v>40.509586348473384</v>
      </c>
      <c r="GB25" s="13">
        <f t="shared" si="49"/>
        <v>12.133613151721432</v>
      </c>
      <c r="GC25" s="20">
        <f t="shared" si="25"/>
        <v>91.686905796172638</v>
      </c>
      <c r="GD25" s="59">
        <f t="shared" si="26"/>
        <v>357.77756168914379</v>
      </c>
      <c r="GE25" s="59">
        <f ca="1">AVERAGE(OFFSET($GD$3,0,0,'Données projet'!$E$17+1,1))-AVERAGE(OFFSET($H$3,0,0,'Données projet'!$E$17+1,1))</f>
        <v>300.95722646933314</v>
      </c>
      <c r="GF25" s="59">
        <f t="shared" si="50"/>
        <v>269.52365224623759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>
        <f>EXP(-LN(2)/35)*GL24+(1-EXP(-LN(2)/35))/(LN(2)/35)*GH25*GI25*VLOOKUP('Données projet'!$B$17,Paramètres!$A$1:$I$89,3,0)*0.475*44/12</f>
        <v>0</v>
      </c>
      <c r="GM25" s="21">
        <f>EXP(-LN(2)/25)*GM24+(1-EXP(-LN(2)/25))/(LN(2)/25)*Calculateur!GH25*Calculateur!GJ25*VLOOKUP('Données projet'!$B$17,Paramètres!$A$1:$I$89,3,0)*0.475*44/12</f>
        <v>0</v>
      </c>
      <c r="GN25" s="21">
        <f>EXP(-LN(2)/2)*GN24+(1-EXP(-LN(2)/2))/(LN(2)/2)*GH25*GK25*VLOOKUP('Données projet'!$B$17,Paramètres!$A$1:$I$89,3,0)*0.475*44/12</f>
        <v>0</v>
      </c>
      <c r="GO25" s="21">
        <f t="shared" si="27"/>
        <v>0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65.236845546567892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1.4000000000000001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5.1333333333333337</v>
      </c>
      <c r="H26" s="67">
        <f t="shared" si="1"/>
        <v>236.13333333333335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65.31947562751688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8.1999999999999993</v>
      </c>
      <c r="N26" s="13">
        <f>IF('Données projet'!$A$36&gt;35,N25+M26-V25,IF(A26&lt;'Données projet'!$A$36,$K$205^A26,IF(A26='Données projet'!$A$36,'Données projet'!$B$36,N25+M26-V25)))</f>
        <v>91.600000000000009</v>
      </c>
      <c r="O26" s="13">
        <f>N26*VLOOKUP('Données projet'!$B$9,Paramètres!$A$1:$I$89,3,0)*VLOOKUP('Données projet'!$B$9,Paramètres!$A$1:$I$89,5,0)</f>
        <v>82.879680000000008</v>
      </c>
      <c r="P26" s="13">
        <f t="shared" si="33"/>
        <v>22.83982519050506</v>
      </c>
      <c r="Q26" s="20">
        <f t="shared" si="2"/>
        <v>184.12813820679631</v>
      </c>
      <c r="R26" s="59">
        <f t="shared" si="0"/>
        <v>451.74399328546929</v>
      </c>
      <c r="S26" s="59">
        <f ca="1">AVERAGE(OFFSET($R$3,0,0,'Données projet'!$E$9+1,1))-AVERAGE(OFFSET($H$3,0,0,'Données projet'!$E$9+1,1))</f>
        <v>479.46542424895119</v>
      </c>
      <c r="T26" s="59">
        <f t="shared" si="34"/>
        <v>337.96395820277337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0.5913198517095738</v>
      </c>
      <c r="AB26" s="21">
        <f>EXP(-LN(2)/2)*AB25+(1-EXP(-LN(2)/2))/(LN(2)/2)*V26*Y26*VLOOKUP('Données projet'!$B$9,Paramètres!$A$1:$I$89,3,0)*0.475*44/12</f>
        <v>0.45274446610228436</v>
      </c>
      <c r="AC26" s="22">
        <f t="shared" si="3"/>
        <v>1.0440643178118583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65.31947562751688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8.1999999999999993</v>
      </c>
      <c r="AI26" s="13">
        <f>IF('Données projet'!$A$62&gt;35,AI25+AH26-AQ25,IF(A26&lt;'Données projet'!$A$62,$AF$205^A26,IF(A26='Données projet'!$A$62,'Données projet'!$B$62,AI25+AH26-AQ25)))</f>
        <v>91.600000000000009</v>
      </c>
      <c r="AJ26" s="13">
        <f>AI26*VLOOKUP('Données projet'!$B$10,Paramètres!$A$1:$I$89,3,0)*VLOOKUP('Données projet'!$B$10,Paramètres!$A$1:$I$89,5,0)</f>
        <v>88.595520000000008</v>
      </c>
      <c r="AK26" s="13">
        <f t="shared" si="35"/>
        <v>24.226188794324088</v>
      </c>
      <c r="AL26" s="20">
        <f t="shared" si="4"/>
        <v>196.49780948344778</v>
      </c>
      <c r="AM26" s="59">
        <f t="shared" si="5"/>
        <v>464.11366456212079</v>
      </c>
      <c r="AN26" s="59">
        <f ca="1">AVERAGE(OFFSET($AM$3,0,0,'Données projet'!$E$10+1,1))-AVERAGE(OFFSET($H$3,0,0,'Données projet'!$E$10+1,1))</f>
        <v>508.94560627895089</v>
      </c>
      <c r="AO26" s="59">
        <f t="shared" si="36"/>
        <v>357.86868650263034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0.63210053113782039</v>
      </c>
      <c r="AW26" s="21">
        <f>EXP(-LN(2)/2)*AW25+(1-EXP(-LN(2)/2))/(LN(2)/2)*AQ26*AT26*VLOOKUP('Données projet'!$B$10,Paramètres!$A$1:$I$89,3,0)*0.475*44/12</f>
        <v>0.48396822238520054</v>
      </c>
      <c r="AX26" s="21">
        <f t="shared" si="6"/>
        <v>1.1160687535230209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65.31947562751688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10.4</v>
      </c>
      <c r="BD26" s="12">
        <f>IF('Données projet'!$A$88&gt;35,BD25+BC26-BL25,IF(A26&lt;'Données projet'!$A$88,$BA$205^A26,IF(A26='Données projet'!$A$88,'Données projet'!$B$88,BD25+BC26-BL25)))</f>
        <v>121.20000000000002</v>
      </c>
      <c r="BE26" s="13">
        <f>BD26*VLOOKUP('Données projet'!$B$11,Paramètres!$A$1:$I$89,3,0)*VLOOKUP('Données projet'!$B$11,Paramètres!$A$1:$I$89,5,0)</f>
        <v>94.536000000000016</v>
      </c>
      <c r="BF26" s="13">
        <f t="shared" si="37"/>
        <v>25.656048664271697</v>
      </c>
      <c r="BG26" s="20">
        <f t="shared" si="7"/>
        <v>209.3344847569399</v>
      </c>
      <c r="BH26" s="59">
        <f t="shared" si="8"/>
        <v>476.95033983561291</v>
      </c>
      <c r="BI26" s="59">
        <f ca="1">AVERAGE(OFFSET($BH$3,0,0,'Données projet'!$E$11+1,1))-AVERAGE(OFFSET($H$3,0,0,'Données projet'!$E$11+1,1))</f>
        <v>383.03154033422328</v>
      </c>
      <c r="BJ26" s="59">
        <f t="shared" si="38"/>
        <v>373.27897156169877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2.2939132178388641</v>
      </c>
      <c r="BR26" s="21">
        <f>EXP(-LN(2)/2)*BR25+(1-EXP(-LN(2)/2))/(LN(2)/2)*BL26*BO26*VLOOKUP('Données projet'!$B$11,Paramètres!$A$1:$I$89,3,0)*0.475*44/12</f>
        <v>1.7563362909140343</v>
      </c>
      <c r="BS26" s="22">
        <f t="shared" si="9"/>
        <v>4.0502495087528985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65.31947562751688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8.1999999999999993</v>
      </c>
      <c r="BY26" s="12">
        <f>IF('Données projet'!$A$114&gt;35,BY25+BX26-CG25,IF(A26&lt;'Données projet'!$A$114,$BV$205^A26,IF(A26='Données projet'!$A$114,'Données projet'!$B$114,BY25+BX26-CG25)))</f>
        <v>91.600000000000009</v>
      </c>
      <c r="BZ26" s="13">
        <f>BY26*VLOOKUP('Données projet'!$B$12,Paramètres!$A$1:$I$89,3,0)*VLOOKUP('Données projet'!$B$12,Paramètres!$A$1:$I$89,5,0)</f>
        <v>77.163840000000008</v>
      </c>
      <c r="CA26" s="13">
        <f t="shared" si="39"/>
        <v>21.442278213774838</v>
      </c>
      <c r="CB26" s="20">
        <f t="shared" si="10"/>
        <v>171.73898922232453</v>
      </c>
      <c r="CC26" s="59">
        <f t="shared" si="11"/>
        <v>439.35484430099757</v>
      </c>
      <c r="CD26" s="59">
        <f ca="1">AVERAGE(OFFSET($CC$3,0,0,'Données projet'!$E$12+1,1))-AVERAGE(OFFSET($H$3,0,0,'Données projet'!$E$12+1,1))</f>
        <v>449.94334483948603</v>
      </c>
      <c r="CE26" s="59">
        <f t="shared" si="40"/>
        <v>318.02929110264176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0.55053917228132732</v>
      </c>
      <c r="CM26" s="21">
        <f>EXP(-LN(2)/2)*CM25+(1-EXP(-LN(2)/2))/(LN(2)/2)*CG26*CJ26*VLOOKUP('Données projet'!$B$12,Paramètres!$A$1:$I$89,3,0)*0.475*44/12</f>
        <v>0.42152070981936823</v>
      </c>
      <c r="CN26" s="22">
        <f t="shared" si="12"/>
        <v>0.9720598821006956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65.31947562751688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9.1</v>
      </c>
      <c r="CT26" s="12">
        <f>IF('Données projet'!$A$140&gt;35,CT25+CS26-DB25,IF(A26&lt;'Données projet'!$A$140,$CQ$205^A26,IF(A26='Données projet'!$A$140,'Données projet'!$B$140,CT25+CS26-DB25)))</f>
        <v>59.300000000000004</v>
      </c>
      <c r="CU26" s="17">
        <f>CT26*VLOOKUP('Données projet'!$B$13,Paramètres!$A$1:$I$89,3,0)*VLOOKUP('Données projet'!$B$13,Paramètres!$A$1:$I$89,5,0)</f>
        <v>50.879400000000004</v>
      </c>
      <c r="CV26" s="13">
        <f t="shared" si="41"/>
        <v>14.840637582309409</v>
      </c>
      <c r="CW26" s="20">
        <f t="shared" si="13"/>
        <v>114.4623987891889</v>
      </c>
      <c r="CX26" s="59">
        <f t="shared" si="14"/>
        <v>382.07825386786192</v>
      </c>
      <c r="CY26" s="59">
        <f ca="1">AVERAGE(OFFSET($CX$3,0,0,'Données projet'!$E$13+1,1))-AVERAGE(OFFSET($H$3,0,0,'Données projet'!$E$13+1,1))</f>
        <v>565.32667500225568</v>
      </c>
      <c r="CZ26" s="59">
        <f t="shared" si="42"/>
        <v>275.06957234480944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65.31947562751688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27.5</v>
      </c>
      <c r="DO26" s="12">
        <f>IF('Données projet'!$A$166&gt;35,DO25+DN26-DW25,IF(A26&lt;'Données projet'!$A$166,$DL$205^A26,IF(A26='Données projet'!$A$166,'Données projet'!$B$166,DO25+DN26-DW25)))</f>
        <v>206.49999999999997</v>
      </c>
      <c r="DP26" s="17">
        <f>DO26*VLOOKUP('Données projet'!$B$14,Paramètres!$A$1:$I$89,3,0)*VLOOKUP('Données projet'!$B$14,Paramètres!$A$1:$I$89,5,0)</f>
        <v>115.43349999999998</v>
      </c>
      <c r="DQ26" s="13">
        <f t="shared" si="43"/>
        <v>30.60754521964256</v>
      </c>
      <c r="DR26" s="20">
        <f t="shared" si="16"/>
        <v>254.35482042421077</v>
      </c>
      <c r="DS26" s="59">
        <f t="shared" si="17"/>
        <v>521.97067550288375</v>
      </c>
      <c r="DT26" s="59">
        <f ca="1">AVERAGE(OFFSET($DS$3,0,0,'Données projet'!$E$14+1,1))-AVERAGE(OFFSET($H$3,0,0,'Données projet'!$E$14+1,1))</f>
        <v>532.64469322244281</v>
      </c>
      <c r="DU26" s="59">
        <f t="shared" si="44"/>
        <v>525.88014011096413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19.43879052746415</v>
      </c>
      <c r="EC26" s="21">
        <f>EXP(-LN(2)/2)*EC25+(1-EXP(-LN(2)/2))/(LN(2)/2)*DW26*DZ26*VLOOKUP('Données projet'!$B$14,Paramètres!$A$1:$I$89,3,0)*0.475*44/12</f>
        <v>11.636053174766758</v>
      </c>
      <c r="ED26" s="22">
        <f t="shared" si="18"/>
        <v>31.074843702230908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65.31947562751688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6.3</v>
      </c>
      <c r="EJ26" s="12">
        <f>IF('Données projet'!$A$192&gt;35,EJ25+EI26-ER25,IF(A26&lt;'Données projet'!$A$192,$EG$205^A26,IF(A26='Données projet'!$A$192,'Données projet'!$B$192,EJ25+EI26-ER25)))</f>
        <v>60.899999999999991</v>
      </c>
      <c r="EK26" s="17">
        <f>EJ26*VLOOKUP('Données projet'!$B$15,Paramètres!$A$1:$I$89,3,0)*VLOOKUP('Données projet'!$B$15,Paramètres!$A$1:$I$89,5,0)</f>
        <v>55.102319999999992</v>
      </c>
      <c r="EL26" s="13">
        <f t="shared" si="45"/>
        <v>15.923912218988239</v>
      </c>
      <c r="EM26" s="20">
        <f t="shared" si="19"/>
        <v>123.70402111473783</v>
      </c>
      <c r="EN26" s="59">
        <f t="shared" si="20"/>
        <v>391.31987619341083</v>
      </c>
      <c r="EO26" s="59">
        <f ca="1">AVERAGE(OFFSET($EN$3,0,0,'Données projet'!$E$15+1,1))-AVERAGE(OFFSET($H$3,0,0,'Données projet'!$E$15+1,1))</f>
        <v>398.27843768730202</v>
      </c>
      <c r="EP26" s="59">
        <f t="shared" si="46"/>
        <v>252.3617347568813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0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65.31947562751688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6.3</v>
      </c>
      <c r="FE26" s="12">
        <f>IF('Données projet'!$A$218&gt;35,FE25+FD26-FM25,IF(A26&lt;'Données projet'!$A$218,$FB$205^A26,IF(A26='Données projet'!$A$218,'Données projet'!$B$218,FE25+FD26-FM25)))</f>
        <v>60.899999999999991</v>
      </c>
      <c r="FF26" s="17">
        <f>FE26*VLOOKUP('Données projet'!$B$16,Paramètres!$A$1:$I$89,3,0)*VLOOKUP('Données projet'!$B$16,Paramètres!$A$1:$I$89,5,0)</f>
        <v>58.902479999999997</v>
      </c>
      <c r="FG26" s="13">
        <f t="shared" si="47"/>
        <v>16.890484079616659</v>
      </c>
      <c r="FH26" s="20">
        <f t="shared" si="22"/>
        <v>132.00607910533233</v>
      </c>
      <c r="FI26" s="59">
        <f t="shared" si="23"/>
        <v>399.62193418400534</v>
      </c>
      <c r="FJ26" s="59">
        <f ca="1">AVERAGE(OFFSET($FI$3,0,0,'Données projet'!$E$16+1,1))-AVERAGE(OFFSET($H$3,0,0,'Données projet'!$E$16+1,1))</f>
        <v>422.28024471365825</v>
      </c>
      <c r="FK26" s="59">
        <f t="shared" si="48"/>
        <v>266.49730479813206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0</v>
      </c>
      <c r="FR26" s="21">
        <f>EXP(-LN(2)/25)*FR25+(1-EXP(-LN(2)/25))/(LN(2)/25)*Calculateur!FM26*Calculateur!FO26*VLOOKUP('Données projet'!$B$16,Paramètres!$A$1:$I$89,3,0)*0.475*44/12</f>
        <v>0</v>
      </c>
      <c r="FS26" s="21">
        <f>EXP(-LN(2)/2)*FS25+(1-EXP(-LN(2)/2))/(LN(2)/2)*FM26*FP26*VLOOKUP('Données projet'!$B$16,Paramètres!$A$1:$I$89,3,0)*0.475*44/12</f>
        <v>0</v>
      </c>
      <c r="FT26" s="22">
        <f t="shared" si="24"/>
        <v>0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65.31947562751688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3.56</v>
      </c>
      <c r="FZ26" s="12">
        <f>IF('Données projet'!$A$244&gt;35,FZ25+FY26-GH25,IF(A26&lt;'Données projet'!$A$244,$FW$205^A26,IF(A26='Données projet'!$A$244,'Données projet'!$B$244,FZ25+FY26-GH25)))</f>
        <v>62.149667013426139</v>
      </c>
      <c r="GA26" s="17">
        <f>FZ26*VLOOKUP('Données projet'!$B$17,Paramètres!$A$1:$I$89,3,0)*VLOOKUP('Données projet'!$B$17,Paramètres!$A$1:$I$89,5,0)</f>
        <v>48.476740270472391</v>
      </c>
      <c r="GB26" s="13">
        <f t="shared" si="49"/>
        <v>14.219665651067873</v>
      </c>
      <c r="GC26" s="20">
        <f t="shared" si="25"/>
        <v>109.19624031334928</v>
      </c>
      <c r="GD26" s="59">
        <f t="shared" si="26"/>
        <v>376.81209539202229</v>
      </c>
      <c r="GE26" s="59">
        <f ca="1">AVERAGE(OFFSET($GD$3,0,0,'Données projet'!$E$17+1,1))-AVERAGE(OFFSET($H$3,0,0,'Données projet'!$E$17+1,1))</f>
        <v>300.95722646933314</v>
      </c>
      <c r="GF26" s="59">
        <f t="shared" si="50"/>
        <v>269.52365224623759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>
        <f>EXP(-LN(2)/35)*GL25+(1-EXP(-LN(2)/35))/(LN(2)/35)*GH26*GI26*VLOOKUP('Données projet'!$B$17,Paramètres!$A$1:$I$89,3,0)*0.475*44/12</f>
        <v>0</v>
      </c>
      <c r="GM26" s="21">
        <f>EXP(-LN(2)/25)*GM25+(1-EXP(-LN(2)/25))/(LN(2)/25)*Calculateur!GH26*Calculateur!GJ26*VLOOKUP('Données projet'!$B$17,Paramètres!$A$1:$I$89,3,0)*0.475*44/12</f>
        <v>0</v>
      </c>
      <c r="GN26" s="21">
        <f>EXP(-LN(2)/2)*GN25+(1-EXP(-LN(2)/2))/(LN(2)/2)*GH26*GK26*VLOOKUP('Données projet'!$B$17,Paramètres!$A$1:$I$89,3,0)*0.475*44/12</f>
        <v>0</v>
      </c>
      <c r="GO26" s="21">
        <f t="shared" si="27"/>
        <v>0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65.31947562751688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1.4000000000000001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5.1333333333333337</v>
      </c>
      <c r="H27" s="67">
        <f t="shared" si="1"/>
        <v>236.13333333333335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65.400672261294602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8.1999999999999993</v>
      </c>
      <c r="N27" s="13">
        <f>IF('Données projet'!$A$36&gt;35,N26+M27-V26,IF(A27&lt;'Données projet'!$A$36,$K$205^A27,IF(A27='Données projet'!$A$36,'Données projet'!$B$36,N26+M27-V26)))</f>
        <v>99.800000000000011</v>
      </c>
      <c r="O27" s="13">
        <f>N27*VLOOKUP('Données projet'!$B$9,Paramètres!$A$1:$I$89,3,0)*VLOOKUP('Données projet'!$B$9,Paramètres!$A$1:$I$89,5,0)</f>
        <v>90.299040000000005</v>
      </c>
      <c r="P27" s="13">
        <f t="shared" si="33"/>
        <v>24.637332311507059</v>
      </c>
      <c r="Q27" s="20">
        <f t="shared" si="2"/>
        <v>200.18084844254145</v>
      </c>
      <c r="R27" s="59">
        <f t="shared" si="0"/>
        <v>469.316646733955</v>
      </c>
      <c r="S27" s="59">
        <f ca="1">AVERAGE(OFFSET($R$3,0,0,'Données projet'!$E$9+1,1))-AVERAGE(OFFSET($H$3,0,0,'Données projet'!$E$9+1,1))</f>
        <v>479.46542424895119</v>
      </c>
      <c r="T27" s="59">
        <f t="shared" si="34"/>
        <v>337.96395820277337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0.57515017926841594</v>
      </c>
      <c r="AB27" s="21">
        <f>EXP(-LN(2)/2)*AB26+(1-EXP(-LN(2)/2))/(LN(2)/2)*V27*Y27*VLOOKUP('Données projet'!$B$9,Paramètres!$A$1:$I$89,3,0)*0.475*44/12</f>
        <v>0.32013868212560831</v>
      </c>
      <c r="AC27" s="22">
        <f t="shared" si="3"/>
        <v>0.89528886139402419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65.400672261294602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8.1999999999999993</v>
      </c>
      <c r="AI27" s="13">
        <f>IF('Données projet'!$A$62&gt;35,AI26+AH27-AQ26,IF(A27&lt;'Données projet'!$A$62,$AF$205^A27,IF(A27='Données projet'!$A$62,'Données projet'!$B$62,AI26+AH27-AQ26)))</f>
        <v>99.800000000000011</v>
      </c>
      <c r="AJ27" s="13">
        <f>AI27*VLOOKUP('Données projet'!$B$10,Paramètres!$A$1:$I$89,3,0)*VLOOKUP('Données projet'!$B$10,Paramètres!$A$1:$I$89,5,0)</f>
        <v>96.526560000000018</v>
      </c>
      <c r="AK27" s="13">
        <f t="shared" si="35"/>
        <v>26.132803512664371</v>
      </c>
      <c r="AL27" s="20">
        <f t="shared" si="4"/>
        <v>213.63172478455712</v>
      </c>
      <c r="AM27" s="59">
        <f t="shared" si="5"/>
        <v>482.76752307597064</v>
      </c>
      <c r="AN27" s="59">
        <f ca="1">AVERAGE(OFFSET($AM$3,0,0,'Données projet'!$E$10+1,1))-AVERAGE(OFFSET($H$3,0,0,'Données projet'!$E$10+1,1))</f>
        <v>508.94560627895089</v>
      </c>
      <c r="AO27" s="59">
        <f t="shared" si="36"/>
        <v>357.86868650263034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0.61481570887313441</v>
      </c>
      <c r="AW27" s="21">
        <f>EXP(-LN(2)/2)*AW26+(1-EXP(-LN(2)/2))/(LN(2)/2)*AQ27*AT27*VLOOKUP('Données projet'!$B$10,Paramètres!$A$1:$I$89,3,0)*0.475*44/12</f>
        <v>0.34221721192737442</v>
      </c>
      <c r="AX27" s="21">
        <f t="shared" si="6"/>
        <v>0.95703292080050884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65.400672261294602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10.4</v>
      </c>
      <c r="BD27" s="12">
        <f>IF('Données projet'!$A$88&gt;35,BD26+BC27-BL26,IF(A27&lt;'Données projet'!$A$88,$BA$205^A27,IF(A27='Données projet'!$A$88,'Données projet'!$B$88,BD26+BC27-BL26)))</f>
        <v>131.60000000000002</v>
      </c>
      <c r="BE27" s="13">
        <f>BD27*VLOOKUP('Données projet'!$B$11,Paramètres!$A$1:$I$89,3,0)*VLOOKUP('Données projet'!$B$11,Paramètres!$A$1:$I$89,5,0)</f>
        <v>102.64800000000002</v>
      </c>
      <c r="BF27" s="13">
        <f t="shared" si="37"/>
        <v>27.591884256813071</v>
      </c>
      <c r="BG27" s="20">
        <f t="shared" si="7"/>
        <v>226.83446508061613</v>
      </c>
      <c r="BH27" s="59">
        <f t="shared" si="8"/>
        <v>495.97026337202965</v>
      </c>
      <c r="BI27" s="59">
        <f ca="1">AVERAGE(OFFSET($BH$3,0,0,'Données projet'!$E$11+1,1))-AVERAGE(OFFSET($H$3,0,0,'Données projet'!$E$11+1,1))</f>
        <v>383.03154033422328</v>
      </c>
      <c r="BJ27" s="59">
        <f t="shared" si="38"/>
        <v>373.27897156169877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2.2311860402654071</v>
      </c>
      <c r="BR27" s="21">
        <f>EXP(-LN(2)/2)*BR26+(1-EXP(-LN(2)/2))/(LN(2)/2)*BL27*BO27*VLOOKUP('Données projet'!$B$11,Paramètres!$A$1:$I$89,3,0)*0.475*44/12</f>
        <v>1.2419173013493425</v>
      </c>
      <c r="BS27" s="22">
        <f t="shared" si="9"/>
        <v>3.4731033416147499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65.400672261294602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8.1999999999999993</v>
      </c>
      <c r="BY27" s="12">
        <f>IF('Données projet'!$A$114&gt;35,BY26+BX27-CG26,IF(A27&lt;'Données projet'!$A$114,$BV$205^A27,IF(A27='Données projet'!$A$114,'Données projet'!$B$114,BY26+BX27-CG26)))</f>
        <v>99.800000000000011</v>
      </c>
      <c r="BZ27" s="13">
        <f>BY27*VLOOKUP('Données projet'!$B$12,Paramètres!$A$1:$I$89,3,0)*VLOOKUP('Données projet'!$B$12,Paramètres!$A$1:$I$89,5,0)</f>
        <v>84.071520000000021</v>
      </c>
      <c r="CA27" s="13">
        <f t="shared" si="39"/>
        <v>23.129797599684554</v>
      </c>
      <c r="CB27" s="20">
        <f t="shared" si="10"/>
        <v>186.70896148611726</v>
      </c>
      <c r="CC27" s="59">
        <f t="shared" si="11"/>
        <v>455.84475977753084</v>
      </c>
      <c r="CD27" s="59">
        <f ca="1">AVERAGE(OFFSET($CC$3,0,0,'Données projet'!$E$12+1,1))-AVERAGE(OFFSET($H$3,0,0,'Données projet'!$E$12+1,1))</f>
        <v>449.94334483948603</v>
      </c>
      <c r="CE27" s="59">
        <f t="shared" si="40"/>
        <v>318.02929110264176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0.53548464966369758</v>
      </c>
      <c r="CM27" s="21">
        <f>EXP(-LN(2)/2)*CM26+(1-EXP(-LN(2)/2))/(LN(2)/2)*CG27*CJ27*VLOOKUP('Données projet'!$B$12,Paramètres!$A$1:$I$89,3,0)*0.475*44/12</f>
        <v>0.29806015232384225</v>
      </c>
      <c r="CN27" s="22">
        <f t="shared" si="12"/>
        <v>0.83354480198753977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65.400672261294602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9.1</v>
      </c>
      <c r="CT27" s="12">
        <f>IF('Données projet'!$A$140&gt;35,CT26+CS27-DB26,IF(A27&lt;'Données projet'!$A$140,$CQ$205^A27,IF(A27='Données projet'!$A$140,'Données projet'!$B$140,CT26+CS27-DB26)))</f>
        <v>68.400000000000006</v>
      </c>
      <c r="CU27" s="17">
        <f>CT27*VLOOKUP('Données projet'!$B$13,Paramètres!$A$1:$I$89,3,0)*VLOOKUP('Données projet'!$B$13,Paramètres!$A$1:$I$89,5,0)</f>
        <v>58.687200000000011</v>
      </c>
      <c r="CV27" s="13">
        <f t="shared" si="41"/>
        <v>16.835925833077539</v>
      </c>
      <c r="CW27" s="20">
        <f t="shared" si="13"/>
        <v>131.53611082594341</v>
      </c>
      <c r="CX27" s="59">
        <f t="shared" si="14"/>
        <v>400.67190911735696</v>
      </c>
      <c r="CY27" s="59">
        <f ca="1">AVERAGE(OFFSET($CX$3,0,0,'Données projet'!$E$13+1,1))-AVERAGE(OFFSET($H$3,0,0,'Données projet'!$E$13+1,1))</f>
        <v>565.32667500225568</v>
      </c>
      <c r="CZ27" s="59">
        <f t="shared" si="42"/>
        <v>275.06957234480944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65.400672261294602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27.5</v>
      </c>
      <c r="DO27" s="12">
        <f>IF('Données projet'!$A$166&gt;35,DO26+DN27-DW26,IF(A27&lt;'Données projet'!$A$166,$DL$205^A27,IF(A27='Données projet'!$A$166,'Données projet'!$B$166,DO26+DN27-DW26)))</f>
        <v>233.99999999999997</v>
      </c>
      <c r="DP27" s="17">
        <f>DO27*VLOOKUP('Données projet'!$B$14,Paramètres!$A$1:$I$89,3,0)*VLOOKUP('Données projet'!$B$14,Paramètres!$A$1:$I$89,5,0)</f>
        <v>130.80599999999998</v>
      </c>
      <c r="DQ27" s="13">
        <f t="shared" si="43"/>
        <v>34.182535218254536</v>
      </c>
      <c r="DR27" s="20">
        <f t="shared" si="16"/>
        <v>287.35503217179325</v>
      </c>
      <c r="DS27" s="59">
        <f t="shared" si="17"/>
        <v>556.49083046320675</v>
      </c>
      <c r="DT27" s="59">
        <f ca="1">AVERAGE(OFFSET($DS$3,0,0,'Données projet'!$E$14+1,1))-AVERAGE(OFFSET($H$3,0,0,'Données projet'!$E$14+1,1))</f>
        <v>532.64469322244281</v>
      </c>
      <c r="DU27" s="59">
        <f t="shared" si="44"/>
        <v>525.88014011096413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18.907235778249078</v>
      </c>
      <c r="EC27" s="21">
        <f>EXP(-LN(2)/2)*EC26+(1-EXP(-LN(2)/2))/(LN(2)/2)*DW27*DZ27*VLOOKUP('Données projet'!$B$14,Paramètres!$A$1:$I$89,3,0)*0.475*44/12</f>
        <v>8.2279321061248307</v>
      </c>
      <c r="ED27" s="22">
        <f t="shared" si="18"/>
        <v>27.135167884373907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65.400672261294602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6.3</v>
      </c>
      <c r="EJ27" s="12">
        <f>IF('Données projet'!$A$192&gt;35,EJ26+EI27-ER26,IF(A27&lt;'Données projet'!$A$192,$EG$205^A27,IF(A27='Données projet'!$A$192,'Données projet'!$B$192,EJ26+EI27-ER26)))</f>
        <v>67.199999999999989</v>
      </c>
      <c r="EK27" s="17">
        <f>EJ27*VLOOKUP('Données projet'!$B$15,Paramètres!$A$1:$I$89,3,0)*VLOOKUP('Données projet'!$B$15,Paramètres!$A$1:$I$89,5,0)</f>
        <v>60.802559999999993</v>
      </c>
      <c r="EL27" s="13">
        <f t="shared" si="45"/>
        <v>17.371024177726472</v>
      </c>
      <c r="EM27" s="20">
        <f t="shared" si="19"/>
        <v>136.15232577620694</v>
      </c>
      <c r="EN27" s="59">
        <f t="shared" si="20"/>
        <v>405.28812406762052</v>
      </c>
      <c r="EO27" s="59">
        <f ca="1">AVERAGE(OFFSET($EN$3,0,0,'Données projet'!$E$15+1,1))-AVERAGE(OFFSET($H$3,0,0,'Données projet'!$E$15+1,1))</f>
        <v>398.27843768730202</v>
      </c>
      <c r="EP27" s="59">
        <f t="shared" si="46"/>
        <v>252.3617347568813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0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0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65.400672261294602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6.3</v>
      </c>
      <c r="FE27" s="12">
        <f>IF('Données projet'!$A$218&gt;35,FE26+FD27-FM26,IF(A27&lt;'Données projet'!$A$218,$FB$205^A27,IF(A27='Données projet'!$A$218,'Données projet'!$B$218,FE26+FD27-FM26)))</f>
        <v>67.199999999999989</v>
      </c>
      <c r="FF27" s="17">
        <f>FE27*VLOOKUP('Données projet'!$B$16,Paramètres!$A$1:$I$89,3,0)*VLOOKUP('Données projet'!$B$16,Paramètres!$A$1:$I$89,5,0)</f>
        <v>64.995839999999987</v>
      </c>
      <c r="FG27" s="13">
        <f t="shared" si="47"/>
        <v>18.425434860828894</v>
      </c>
      <c r="FH27" s="20">
        <f t="shared" si="22"/>
        <v>145.29205371594364</v>
      </c>
      <c r="FI27" s="59">
        <f t="shared" si="23"/>
        <v>414.42785200735716</v>
      </c>
      <c r="FJ27" s="59">
        <f ca="1">AVERAGE(OFFSET($FI$3,0,0,'Données projet'!$E$16+1,1))-AVERAGE(OFFSET($H$3,0,0,'Données projet'!$E$16+1,1))</f>
        <v>422.28024471365825</v>
      </c>
      <c r="FK27" s="59">
        <f t="shared" si="48"/>
        <v>266.49730479813206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0</v>
      </c>
      <c r="FR27" s="21">
        <f>EXP(-LN(2)/25)*FR26+(1-EXP(-LN(2)/25))/(LN(2)/25)*Calculateur!FM27*Calculateur!FO27*VLOOKUP('Données projet'!$B$16,Paramètres!$A$1:$I$89,3,0)*0.475*44/12</f>
        <v>0</v>
      </c>
      <c r="FS27" s="21">
        <f>EXP(-LN(2)/2)*FS26+(1-EXP(-LN(2)/2))/(LN(2)/2)*FM27*FP27*VLOOKUP('Données projet'!$B$16,Paramètres!$A$1:$I$89,3,0)*0.475*44/12</f>
        <v>0</v>
      </c>
      <c r="FT27" s="22">
        <f t="shared" si="24"/>
        <v>0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65.400672261294602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3.56</v>
      </c>
      <c r="FZ27" s="12">
        <f>IF('Données projet'!$A$244&gt;35,FZ26+FY27-GH26,IF(A27&lt;'Données projet'!$A$244,$FW$205^A27,IF(A27='Données projet'!$A$244,'Données projet'!$B$244,FZ26+FY27-GH26)))</f>
        <v>74.372846955020648</v>
      </c>
      <c r="GA27" s="17">
        <f>FZ27*VLOOKUP('Données projet'!$B$17,Paramètres!$A$1:$I$89,3,0)*VLOOKUP('Données projet'!$B$17,Paramètres!$A$1:$I$89,5,0)</f>
        <v>58.010820624916107</v>
      </c>
      <c r="GB27" s="13">
        <f t="shared" si="49"/>
        <v>16.664359469831368</v>
      </c>
      <c r="GC27" s="20">
        <f t="shared" si="25"/>
        <v>130.05927199835185</v>
      </c>
      <c r="GD27" s="59">
        <f t="shared" si="26"/>
        <v>399.1950702897654</v>
      </c>
      <c r="GE27" s="59">
        <f ca="1">AVERAGE(OFFSET($GD$3,0,0,'Données projet'!$E$17+1,1))-AVERAGE(OFFSET($H$3,0,0,'Données projet'!$E$17+1,1))</f>
        <v>300.95722646933314</v>
      </c>
      <c r="GF27" s="59">
        <f t="shared" si="50"/>
        <v>269.52365224623759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>
        <f>EXP(-LN(2)/35)*GL26+(1-EXP(-LN(2)/35))/(LN(2)/35)*GH27*GI27*VLOOKUP('Données projet'!$B$17,Paramètres!$A$1:$I$89,3,0)*0.475*44/12</f>
        <v>0</v>
      </c>
      <c r="GM27" s="21">
        <f>EXP(-LN(2)/25)*GM26+(1-EXP(-LN(2)/25))/(LN(2)/25)*Calculateur!GH27*Calculateur!GJ27*VLOOKUP('Données projet'!$B$17,Paramètres!$A$1:$I$89,3,0)*0.475*44/12</f>
        <v>0</v>
      </c>
      <c r="GN27" s="21">
        <f>EXP(-LN(2)/2)*GN26+(1-EXP(-LN(2)/2))/(LN(2)/2)*GH27*GK27*VLOOKUP('Données projet'!$B$17,Paramètres!$A$1:$I$89,3,0)*0.475*44/12</f>
        <v>0</v>
      </c>
      <c r="GO27" s="21">
        <f t="shared" si="27"/>
        <v>0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65.400672261294602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1.4000000000000001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5.1333333333333337</v>
      </c>
      <c r="H28" s="67">
        <f t="shared" si="1"/>
        <v>236.13333333333335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65.480460315004763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8.1999999999999993</v>
      </c>
      <c r="N28" s="13">
        <f>IF('Données projet'!$A$36&gt;35,N27+M28-V27,IF(A28&lt;'Données projet'!$A$36,$K$205^A28,IF(A28='Données projet'!$A$36,'Données projet'!$B$36,N27+M28-V27)))</f>
        <v>108.00000000000001</v>
      </c>
      <c r="O28" s="13">
        <f>N28*VLOOKUP('Données projet'!$B$9,Paramètres!$A$1:$I$89,3,0)*VLOOKUP('Données projet'!$B$9,Paramètres!$A$1:$I$89,5,0)</f>
        <v>97.718400000000003</v>
      </c>
      <c r="P28" s="13">
        <f t="shared" si="33"/>
        <v>26.417709819192194</v>
      </c>
      <c r="Q28" s="20">
        <f t="shared" si="2"/>
        <v>216.20372460175975</v>
      </c>
      <c r="R28" s="59">
        <f t="shared" si="0"/>
        <v>486.85430131233278</v>
      </c>
      <c r="S28" s="59">
        <f ca="1">AVERAGE(OFFSET($R$3,0,0,'Données projet'!$E$9+1,1))-AVERAGE(OFFSET($H$3,0,0,'Données projet'!$E$9+1,1))</f>
        <v>479.46542424895119</v>
      </c>
      <c r="T28" s="59">
        <f t="shared" si="34"/>
        <v>337.96395820277337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0.55942266737048774</v>
      </c>
      <c r="AB28" s="21">
        <f>EXP(-LN(2)/2)*AB27+(1-EXP(-LN(2)/2))/(LN(2)/2)*V28*Y28*VLOOKUP('Données projet'!$B$9,Paramètres!$A$1:$I$89,3,0)*0.475*44/12</f>
        <v>0.22637223305114224</v>
      </c>
      <c r="AC28" s="22">
        <f t="shared" si="3"/>
        <v>0.78579490042163003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65.480460315004763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8.1999999999999993</v>
      </c>
      <c r="AI28" s="13">
        <f>IF('Données projet'!$A$62&gt;35,AI27+AH28-AQ27,IF(A28&lt;'Données projet'!$A$62,$AF$205^A28,IF(A28='Données projet'!$A$62,'Données projet'!$B$62,AI27+AH28-AQ27)))</f>
        <v>108.00000000000001</v>
      </c>
      <c r="AJ28" s="13">
        <f>AI28*VLOOKUP('Données projet'!$B$10,Paramètres!$A$1:$I$89,3,0)*VLOOKUP('Données projet'!$B$10,Paramètres!$A$1:$I$89,5,0)</f>
        <v>104.45760000000001</v>
      </c>
      <c r="AK28" s="13">
        <f t="shared" si="35"/>
        <v>28.021248860498272</v>
      </c>
      <c r="AL28" s="20">
        <f t="shared" si="4"/>
        <v>230.73399509870117</v>
      </c>
      <c r="AM28" s="59">
        <f t="shared" si="5"/>
        <v>501.38457180927423</v>
      </c>
      <c r="AN28" s="59">
        <f ca="1">AVERAGE(OFFSET($AM$3,0,0,'Données projet'!$E$10+1,1))-AVERAGE(OFFSET($H$3,0,0,'Données projet'!$E$10+1,1))</f>
        <v>508.94560627895089</v>
      </c>
      <c r="AO28" s="59">
        <f t="shared" si="36"/>
        <v>357.86868650263034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0.59800354098224562</v>
      </c>
      <c r="AW28" s="21">
        <f>EXP(-LN(2)/2)*AW27+(1-EXP(-LN(2)/2))/(LN(2)/2)*AQ28*AT28*VLOOKUP('Données projet'!$B$10,Paramètres!$A$1:$I$89,3,0)*0.475*44/12</f>
        <v>0.24198411119260033</v>
      </c>
      <c r="AX28" s="21">
        <f t="shared" si="6"/>
        <v>0.83998765217484594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65.480460315004763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10.4</v>
      </c>
      <c r="BD28" s="12">
        <f>IF('Données projet'!$A$88&gt;35,BD27+BC28-BL27,IF(A28&lt;'Données projet'!$A$88,$BA$205^A28,IF(A28='Données projet'!$A$88,'Données projet'!$B$88,BD27+BC28-BL27)))</f>
        <v>142.00000000000003</v>
      </c>
      <c r="BE28" s="13">
        <f>BD28*VLOOKUP('Données projet'!$B$11,Paramètres!$A$1:$I$89,3,0)*VLOOKUP('Données projet'!$B$11,Paramètres!$A$1:$I$89,5,0)</f>
        <v>110.76000000000002</v>
      </c>
      <c r="BF28" s="13">
        <f t="shared" si="37"/>
        <v>29.509974682362952</v>
      </c>
      <c r="BG28" s="20">
        <f t="shared" si="7"/>
        <v>244.30353923844885</v>
      </c>
      <c r="BH28" s="59">
        <f t="shared" si="8"/>
        <v>514.95411594902191</v>
      </c>
      <c r="BI28" s="59">
        <f ca="1">AVERAGE(OFFSET($BH$3,0,0,'Données projet'!$E$11+1,1))-AVERAGE(OFFSET($H$3,0,0,'Données projet'!$E$11+1,1))</f>
        <v>383.03154033422328</v>
      </c>
      <c r="BJ28" s="59">
        <f t="shared" si="38"/>
        <v>373.27897156169877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2.1701741406613753</v>
      </c>
      <c r="BR28" s="21">
        <f>EXP(-LN(2)/2)*BR27+(1-EXP(-LN(2)/2))/(LN(2)/2)*BL28*BO28*VLOOKUP('Données projet'!$B$11,Paramètres!$A$1:$I$89,3,0)*0.475*44/12</f>
        <v>0.87816814545701716</v>
      </c>
      <c r="BS28" s="22">
        <f t="shared" si="9"/>
        <v>3.0483422861183924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65.480460315004763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8.1999999999999993</v>
      </c>
      <c r="BY28" s="12">
        <f>IF('Données projet'!$A$114&gt;35,BY27+BX28-CG27,IF(A28&lt;'Données projet'!$A$114,$BV$205^A28,IF(A28='Données projet'!$A$114,'Données projet'!$B$114,BY27+BX28-CG27)))</f>
        <v>108.00000000000001</v>
      </c>
      <c r="BZ28" s="13">
        <f>BY28*VLOOKUP('Données projet'!$B$12,Paramètres!$A$1:$I$89,3,0)*VLOOKUP('Données projet'!$B$12,Paramètres!$A$1:$I$89,5,0)</f>
        <v>90.97920000000002</v>
      </c>
      <c r="CA28" s="13">
        <f t="shared" si="39"/>
        <v>24.801235516871511</v>
      </c>
      <c r="CB28" s="20">
        <f t="shared" si="10"/>
        <v>201.65092519188457</v>
      </c>
      <c r="CC28" s="59">
        <f t="shared" si="11"/>
        <v>472.30150190245763</v>
      </c>
      <c r="CD28" s="59">
        <f ca="1">AVERAGE(OFFSET($CC$3,0,0,'Données projet'!$E$12+1,1))-AVERAGE(OFFSET($H$3,0,0,'Données projet'!$E$12+1,1))</f>
        <v>449.94334483948603</v>
      </c>
      <c r="CE28" s="59">
        <f t="shared" si="40"/>
        <v>318.02929110264176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0.52084179375872985</v>
      </c>
      <c r="CM28" s="21">
        <f>EXP(-LN(2)/2)*CM27+(1-EXP(-LN(2)/2))/(LN(2)/2)*CG28*CJ28*VLOOKUP('Données projet'!$B$12,Paramètres!$A$1:$I$89,3,0)*0.475*44/12</f>
        <v>0.21076035490968417</v>
      </c>
      <c r="CN28" s="22">
        <f t="shared" si="12"/>
        <v>0.731602148668414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65.480460315004763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9.1</v>
      </c>
      <c r="CT28" s="12">
        <f>IF('Données projet'!$A$140&gt;35,CT27+CS28-DB27,IF(A28&lt;'Données projet'!$A$140,$CQ$205^A28,IF(A28='Données projet'!$A$140,'Données projet'!$B$140,CT27+CS28-DB27)))</f>
        <v>77.5</v>
      </c>
      <c r="CU28" s="17">
        <f>CT28*VLOOKUP('Données projet'!$B$13,Paramètres!$A$1:$I$89,3,0)*VLOOKUP('Données projet'!$B$13,Paramètres!$A$1:$I$89,5,0)</f>
        <v>66.495000000000005</v>
      </c>
      <c r="CV28" s="13">
        <f t="shared" si="41"/>
        <v>18.800457457131827</v>
      </c>
      <c r="CW28" s="20">
        <f t="shared" si="13"/>
        <v>148.55625507117125</v>
      </c>
      <c r="CX28" s="59">
        <f t="shared" si="14"/>
        <v>419.20683178174431</v>
      </c>
      <c r="CY28" s="59">
        <f ca="1">AVERAGE(OFFSET($CX$3,0,0,'Données projet'!$E$13+1,1))-AVERAGE(OFFSET($H$3,0,0,'Données projet'!$E$13+1,1))</f>
        <v>565.32667500225568</v>
      </c>
      <c r="CZ28" s="59">
        <f t="shared" si="42"/>
        <v>275.06957234480944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65.480460315004763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27.5</v>
      </c>
      <c r="DO28" s="12">
        <f>IF('Données projet'!$A$166&gt;35,DO27+DN28-DW27,IF(A28&lt;'Données projet'!$A$166,$DL$205^A28,IF(A28='Données projet'!$A$166,'Données projet'!$B$166,DO27+DN28-DW27)))</f>
        <v>261.5</v>
      </c>
      <c r="DP28" s="17">
        <f>DO28*VLOOKUP('Données projet'!$B$14,Paramètres!$A$1:$I$89,3,0)*VLOOKUP('Données projet'!$B$14,Paramètres!$A$1:$I$89,5,0)</f>
        <v>146.17849999999999</v>
      </c>
      <c r="DQ28" s="13">
        <f t="shared" si="43"/>
        <v>37.708835970826762</v>
      </c>
      <c r="DR28" s="20">
        <f t="shared" si="16"/>
        <v>320.27044348252321</v>
      </c>
      <c r="DS28" s="59">
        <f t="shared" si="17"/>
        <v>590.92102019309618</v>
      </c>
      <c r="DT28" s="59">
        <f ca="1">AVERAGE(OFFSET($DS$3,0,0,'Données projet'!$E$14+1,1))-AVERAGE(OFFSET($H$3,0,0,'Données projet'!$E$14+1,1))</f>
        <v>532.64469322244281</v>
      </c>
      <c r="DU28" s="59">
        <f t="shared" si="44"/>
        <v>525.88014011096413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18.390216421604539</v>
      </c>
      <c r="EC28" s="21">
        <f>EXP(-LN(2)/2)*EC27+(1-EXP(-LN(2)/2))/(LN(2)/2)*DW28*DZ28*VLOOKUP('Données projet'!$B$14,Paramètres!$A$1:$I$89,3,0)*0.475*44/12</f>
        <v>5.8180265873833799</v>
      </c>
      <c r="ED28" s="22">
        <f t="shared" si="18"/>
        <v>24.208243008987917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65.480460315004763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6.3</v>
      </c>
      <c r="EJ28" s="12">
        <f>IF('Données projet'!$A$192&gt;35,EJ27+EI28-ER27,IF(A28&lt;'Données projet'!$A$192,$EG$205^A28,IF(A28='Données projet'!$A$192,'Données projet'!$B$192,EJ27+EI28-ER27)))</f>
        <v>73.499999999999986</v>
      </c>
      <c r="EK28" s="17">
        <f>EJ28*VLOOKUP('Données projet'!$B$15,Paramètres!$A$1:$I$89,3,0)*VLOOKUP('Données projet'!$B$15,Paramètres!$A$1:$I$89,5,0)</f>
        <v>66.502799999999979</v>
      </c>
      <c r="EL28" s="13">
        <f t="shared" si="45"/>
        <v>18.802406075407909</v>
      </c>
      <c r="EM28" s="20">
        <f t="shared" si="19"/>
        <v>148.57323391466869</v>
      </c>
      <c r="EN28" s="59">
        <f t="shared" si="20"/>
        <v>419.22381062524175</v>
      </c>
      <c r="EO28" s="59">
        <f ca="1">AVERAGE(OFFSET($EN$3,0,0,'Données projet'!$E$15+1,1))-AVERAGE(OFFSET($H$3,0,0,'Données projet'!$E$15+1,1))</f>
        <v>398.27843768730202</v>
      </c>
      <c r="EP28" s="59">
        <f t="shared" si="46"/>
        <v>252.3617347568813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0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0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65.480460315004763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6.3</v>
      </c>
      <c r="FE28" s="12">
        <f>IF('Données projet'!$A$218&gt;35,FE27+FD28-FM27,IF(A28&lt;'Données projet'!$A$218,$FB$205^A28,IF(A28='Données projet'!$A$218,'Données projet'!$B$218,FE27+FD28-FM27)))</f>
        <v>73.499999999999986</v>
      </c>
      <c r="FF28" s="17">
        <f>FE28*VLOOKUP('Données projet'!$B$16,Paramètres!$A$1:$I$89,3,0)*VLOOKUP('Données projet'!$B$16,Paramètres!$A$1:$I$89,5,0)</f>
        <v>71.089199999999991</v>
      </c>
      <c r="FG28" s="13">
        <f t="shared" si="47"/>
        <v>19.943700775772243</v>
      </c>
      <c r="FH28" s="20">
        <f t="shared" si="22"/>
        <v>158.54896885113661</v>
      </c>
      <c r="FI28" s="59">
        <f t="shared" si="23"/>
        <v>429.19954556170967</v>
      </c>
      <c r="FJ28" s="59">
        <f ca="1">AVERAGE(OFFSET($FI$3,0,0,'Données projet'!$E$16+1,1))-AVERAGE(OFFSET($H$3,0,0,'Données projet'!$E$16+1,1))</f>
        <v>422.28024471365825</v>
      </c>
      <c r="FK28" s="59">
        <f t="shared" si="48"/>
        <v>266.49730479813206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>
        <f>EXP(-LN(2)/35)*FQ27+(1-EXP(-LN(2)/35))/(LN(2)/35)*FM28*FN28*VLOOKUP('Données projet'!$B$16,Paramètres!$A$1:$I$89,3,0)*0.475*44/12</f>
        <v>0</v>
      </c>
      <c r="FR28" s="21">
        <f>EXP(-LN(2)/25)*FR27+(1-EXP(-LN(2)/25))/(LN(2)/25)*Calculateur!FM28*Calculateur!FO28*VLOOKUP('Données projet'!$B$16,Paramètres!$A$1:$I$89,3,0)*0.475*44/12</f>
        <v>0</v>
      </c>
      <c r="FS28" s="21">
        <f>EXP(-LN(2)/2)*FS27+(1-EXP(-LN(2)/2))/(LN(2)/2)*FM28*FP28*VLOOKUP('Données projet'!$B$16,Paramètres!$A$1:$I$89,3,0)*0.475*44/12</f>
        <v>0</v>
      </c>
      <c r="FT28" s="22">
        <f t="shared" si="24"/>
        <v>0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65.480460315004763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>
        <f>VLOOKUP(A28,'Données projet'!$A$243:$I$263,2,0)</f>
        <v>89</v>
      </c>
      <c r="FX28" s="12">
        <f>VLOOKUP(A28,'Données projet'!$A$243:$I$263,9,0)</f>
        <v>3.56</v>
      </c>
      <c r="FY28" s="12">
        <f t="array" ref="FY28">INDEX(FX:FX,MIN(IF(ISNUMBER(FX28:FX224),ROW(FX28:FX224),"")))</f>
        <v>3.56</v>
      </c>
      <c r="FZ28" s="12">
        <f>IF('Données projet'!$A$244&gt;35,FZ27+FY28-GH27,IF(A28&lt;'Données projet'!$A$244,$FW$205^A28,IF(A28='Données projet'!$A$244,'Données projet'!$B$244,FZ27+FY28-GH27)))</f>
        <v>89</v>
      </c>
      <c r="GA28" s="17">
        <f>FZ28*VLOOKUP('Données projet'!$B$17,Paramètres!$A$1:$I$89,3,0)*VLOOKUP('Données projet'!$B$17,Paramètres!$A$1:$I$89,5,0)</f>
        <v>69.42</v>
      </c>
      <c r="GB28" s="13">
        <f t="shared" si="49"/>
        <v>19.529353456978352</v>
      </c>
      <c r="GC28" s="20">
        <f t="shared" si="25"/>
        <v>154.92012393757065</v>
      </c>
      <c r="GD28" s="59">
        <f t="shared" si="26"/>
        <v>425.57070064814366</v>
      </c>
      <c r="GE28" s="59">
        <f ca="1">AVERAGE(OFFSET($GD$3,0,0,'Données projet'!$E$17+1,1))-AVERAGE(OFFSET($H$3,0,0,'Données projet'!$E$17+1,1))</f>
        <v>300.95722646933314</v>
      </c>
      <c r="GF28" s="59">
        <f t="shared" si="50"/>
        <v>269.52365224623759</v>
      </c>
      <c r="GG28" s="15">
        <f>IF(ISNA(VLOOKUP(A28,'Données projet'!$A$243:$I$263,3,0)),0,VLOOKUP(A28,'Données projet'!$A$243:$I$263,3,0))</f>
        <v>1</v>
      </c>
      <c r="GH28" s="15">
        <f>IF(ISNA(VLOOKUP(A28,'Données projet'!$A$243:$I$263,4,0)),0,VLOOKUP(A28,'Données projet'!$A$243:$I$263,4,0))</f>
        <v>28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0.1075</v>
      </c>
      <c r="GK28" s="16">
        <f>IF(ISNA(VLOOKUP(A28,'Données projet'!$A$243:$I$263,7,0)),0%,VLOOKUP(A28,'Données projet'!$A$243:$I$263,7,0))</f>
        <v>0.25</v>
      </c>
      <c r="GL28" s="21">
        <f>EXP(-LN(2)/35)*GL27+(1-EXP(-LN(2)/35))/(LN(2)/35)*GH28*GI28*VLOOKUP('Données projet'!$B$17,Paramètres!$A$1:$I$89,3,0)*0.475*44/12</f>
        <v>0</v>
      </c>
      <c r="GM28" s="21">
        <f>EXP(-LN(2)/25)*GM27+(1-EXP(-LN(2)/25))/(LN(2)/25)*Calculateur!GH28*Calculateur!GJ28*VLOOKUP('Données projet'!$B$17,Paramètres!$A$1:$I$89,3,0)*0.475*44/12</f>
        <v>2.5852041863768558</v>
      </c>
      <c r="GN28" s="21">
        <f>EXP(-LN(2)/2)*GN27+(1-EXP(-LN(2)/2))/(LN(2)/2)*GH28*GK28*VLOOKUP('Données projet'!$B$17,Paramètres!$A$1:$I$89,3,0)*0.475*44/12</f>
        <v>5.1516569537454204</v>
      </c>
      <c r="GO28" s="21">
        <f t="shared" si="27"/>
        <v>7.7368611401222758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65.480460315004763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1.4000000000000001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5.1333333333333337</v>
      </c>
      <c r="H29" s="67">
        <f t="shared" si="1"/>
        <v>236.13333333333335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65.558864224362395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8.1999999999999993</v>
      </c>
      <c r="N29" s="13">
        <f>IF('Données projet'!$A$36&gt;35,N28+M29-V28,IF(A29&lt;'Données projet'!$A$36,$K$205^A29,IF(A29='Données projet'!$A$36,'Données projet'!$B$36,N28+M29-V28)))</f>
        <v>116.20000000000002</v>
      </c>
      <c r="O29" s="13">
        <f>N29*VLOOKUP('Données projet'!$B$9,Paramètres!$A$1:$I$89,3,0)*VLOOKUP('Données projet'!$B$9,Paramètres!$A$1:$I$89,5,0)</f>
        <v>105.13776</v>
      </c>
      <c r="P29" s="13">
        <f t="shared" si="33"/>
        <v>28.182406176030653</v>
      </c>
      <c r="Q29" s="20">
        <f t="shared" si="2"/>
        <v>232.19928942325339</v>
      </c>
      <c r="R29" s="59">
        <f t="shared" si="0"/>
        <v>504.3595693570266</v>
      </c>
      <c r="S29" s="59">
        <f ca="1">AVERAGE(OFFSET($R$3,0,0,'Données projet'!$E$9+1,1))-AVERAGE(OFFSET($H$3,0,0,'Données projet'!$E$9+1,1))</f>
        <v>479.46542424895119</v>
      </c>
      <c r="T29" s="59">
        <f t="shared" si="34"/>
        <v>337.96395820277337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0.54412522511248229</v>
      </c>
      <c r="AB29" s="21">
        <f>EXP(-LN(2)/2)*AB28+(1-EXP(-LN(2)/2))/(LN(2)/2)*V29*Y29*VLOOKUP('Données projet'!$B$9,Paramètres!$A$1:$I$89,3,0)*0.475*44/12</f>
        <v>0.16006934106280418</v>
      </c>
      <c r="AC29" s="22">
        <f t="shared" si="3"/>
        <v>0.70419456617528642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65.558864224362395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8.1999999999999993</v>
      </c>
      <c r="AI29" s="13">
        <f>IF('Données projet'!$A$62&gt;35,AI28+AH29-AQ28,IF(A29&lt;'Données projet'!$A$62,$AF$205^A29,IF(A29='Données projet'!$A$62,'Données projet'!$B$62,AI28+AH29-AQ28)))</f>
        <v>116.20000000000002</v>
      </c>
      <c r="AJ29" s="13">
        <f>AI29*VLOOKUP('Données projet'!$B$10,Paramètres!$A$1:$I$89,3,0)*VLOOKUP('Données projet'!$B$10,Paramètres!$A$1:$I$89,5,0)</f>
        <v>112.38864000000002</v>
      </c>
      <c r="AK29" s="13">
        <f t="shared" si="35"/>
        <v>29.893061221093621</v>
      </c>
      <c r="AL29" s="20">
        <f t="shared" si="4"/>
        <v>247.80729629340476</v>
      </c>
      <c r="AM29" s="59">
        <f t="shared" si="5"/>
        <v>519.96757622717791</v>
      </c>
      <c r="AN29" s="59">
        <f ca="1">AVERAGE(OFFSET($AM$3,0,0,'Données projet'!$E$10+1,1))-AVERAGE(OFFSET($H$3,0,0,'Données projet'!$E$10+1,1))</f>
        <v>508.94560627895089</v>
      </c>
      <c r="AO29" s="59">
        <f t="shared" si="36"/>
        <v>357.86868650263034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0.5816511027064466</v>
      </c>
      <c r="AW29" s="21">
        <f>EXP(-LN(2)/2)*AW28+(1-EXP(-LN(2)/2))/(LN(2)/2)*AQ29*AT29*VLOOKUP('Données projet'!$B$10,Paramètres!$A$1:$I$89,3,0)*0.475*44/12</f>
        <v>0.17110860596368724</v>
      </c>
      <c r="AX29" s="21">
        <f t="shared" si="6"/>
        <v>0.75275970867013386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65.558864224362395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10.4</v>
      </c>
      <c r="BD29" s="12">
        <f>IF('Données projet'!$A$88&gt;35,BD28+BC29-BL28,IF(A29&lt;'Données projet'!$A$88,$BA$205^A29,IF(A29='Données projet'!$A$88,'Données projet'!$B$88,BD28+BC29-BL28)))</f>
        <v>152.40000000000003</v>
      </c>
      <c r="BE29" s="13">
        <f>BD29*VLOOKUP('Données projet'!$B$11,Paramètres!$A$1:$I$89,3,0)*VLOOKUP('Données projet'!$B$11,Paramètres!$A$1:$I$89,5,0)</f>
        <v>118.87200000000003</v>
      </c>
      <c r="BF29" s="13">
        <f t="shared" si="37"/>
        <v>31.411767382096244</v>
      </c>
      <c r="BG29" s="20">
        <f t="shared" si="7"/>
        <v>261.74422819048431</v>
      </c>
      <c r="BH29" s="59">
        <f t="shared" si="8"/>
        <v>533.90450812425752</v>
      </c>
      <c r="BI29" s="59">
        <f ca="1">AVERAGE(OFFSET($BH$3,0,0,'Données projet'!$E$11+1,1))-AVERAGE(OFFSET($H$3,0,0,'Données projet'!$E$11+1,1))</f>
        <v>383.03154033422328</v>
      </c>
      <c r="BJ29" s="59">
        <f t="shared" si="38"/>
        <v>373.27897156169877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2.1108306146604918</v>
      </c>
      <c r="BR29" s="21">
        <f>EXP(-LN(2)/2)*BR28+(1-EXP(-LN(2)/2))/(LN(2)/2)*BL29*BO29*VLOOKUP('Données projet'!$B$11,Paramètres!$A$1:$I$89,3,0)*0.475*44/12</f>
        <v>0.62095865067467126</v>
      </c>
      <c r="BS29" s="22">
        <f t="shared" si="9"/>
        <v>2.7317892653351632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65.558864224362395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8.1999999999999993</v>
      </c>
      <c r="BY29" s="12">
        <f>IF('Données projet'!$A$114&gt;35,BY28+BX29-CG28,IF(A29&lt;'Données projet'!$A$114,$BV$205^A29,IF(A29='Données projet'!$A$114,'Données projet'!$B$114,BY28+BX29-CG28)))</f>
        <v>116.20000000000002</v>
      </c>
      <c r="BZ29" s="13">
        <f>BY29*VLOOKUP('Données projet'!$B$12,Paramètres!$A$1:$I$89,3,0)*VLOOKUP('Données projet'!$B$12,Paramètres!$A$1:$I$89,5,0)</f>
        <v>97.886880000000019</v>
      </c>
      <c r="CA29" s="13">
        <f t="shared" si="39"/>
        <v>26.457951797777866</v>
      </c>
      <c r="CB29" s="20">
        <f t="shared" si="10"/>
        <v>216.56724871446315</v>
      </c>
      <c r="CC29" s="59">
        <f t="shared" si="11"/>
        <v>488.72752864823633</v>
      </c>
      <c r="CD29" s="59">
        <f ca="1">AVERAGE(OFFSET($CC$3,0,0,'Données projet'!$E$12+1,1))-AVERAGE(OFFSET($H$3,0,0,'Données projet'!$E$12+1,1))</f>
        <v>449.94334483948603</v>
      </c>
      <c r="CE29" s="59">
        <f t="shared" si="40"/>
        <v>318.02929110264176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0.50659934751851787</v>
      </c>
      <c r="CM29" s="21">
        <f>EXP(-LN(2)/2)*CM28+(1-EXP(-LN(2)/2))/(LN(2)/2)*CG29*CJ29*VLOOKUP('Données projet'!$B$12,Paramètres!$A$1:$I$89,3,0)*0.475*44/12</f>
        <v>0.14903007616192115</v>
      </c>
      <c r="CN29" s="22">
        <f t="shared" si="12"/>
        <v>0.65562942368043897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65.558864224362395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9.1</v>
      </c>
      <c r="CT29" s="12">
        <f>IF('Données projet'!$A$140&gt;35,CT28+CS29-DB28,IF(A29&lt;'Données projet'!$A$140,$CQ$205^A29,IF(A29='Données projet'!$A$140,'Données projet'!$B$140,CT28+CS29-DB28)))</f>
        <v>86.6</v>
      </c>
      <c r="CU29" s="17">
        <f>CT29*VLOOKUP('Données projet'!$B$13,Paramètres!$A$1:$I$89,3,0)*VLOOKUP('Données projet'!$B$13,Paramètres!$A$1:$I$89,5,0)</f>
        <v>74.302800000000005</v>
      </c>
      <c r="CV29" s="13">
        <f t="shared" si="41"/>
        <v>20.73825650366803</v>
      </c>
      <c r="CW29" s="20">
        <f t="shared" si="13"/>
        <v>165.52984007722179</v>
      </c>
      <c r="CX29" s="59">
        <f t="shared" si="14"/>
        <v>437.69012001099497</v>
      </c>
      <c r="CY29" s="59">
        <f ca="1">AVERAGE(OFFSET($CX$3,0,0,'Données projet'!$E$13+1,1))-AVERAGE(OFFSET($H$3,0,0,'Données projet'!$E$13+1,1))</f>
        <v>565.32667500225568</v>
      </c>
      <c r="CZ29" s="59">
        <f t="shared" si="42"/>
        <v>275.06957234480944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65.558864224362395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27.5</v>
      </c>
      <c r="DO29" s="12">
        <f>IF('Données projet'!$A$166&gt;35,DO28+DN29-DW28,IF(A29&lt;'Données projet'!$A$166,$DL$205^A29,IF(A29='Données projet'!$A$166,'Données projet'!$B$166,DO28+DN29-DW28)))</f>
        <v>289</v>
      </c>
      <c r="DP29" s="17">
        <f>DO29*VLOOKUP('Données projet'!$B$14,Paramètres!$A$1:$I$89,3,0)*VLOOKUP('Données projet'!$B$14,Paramètres!$A$1:$I$89,5,0)</f>
        <v>161.55099999999999</v>
      </c>
      <c r="DQ29" s="13">
        <f t="shared" si="43"/>
        <v>41.192151127280063</v>
      </c>
      <c r="DR29" s="20">
        <f t="shared" si="16"/>
        <v>353.11098821334605</v>
      </c>
      <c r="DS29" s="59">
        <f t="shared" si="17"/>
        <v>625.27126814711926</v>
      </c>
      <c r="DT29" s="59">
        <f ca="1">AVERAGE(OFFSET($DS$3,0,0,'Données projet'!$E$14+1,1))-AVERAGE(OFFSET($H$3,0,0,'Données projet'!$E$14+1,1))</f>
        <v>532.64469322244281</v>
      </c>
      <c r="DU29" s="59">
        <f t="shared" si="44"/>
        <v>525.88014011096413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17.887334986456313</v>
      </c>
      <c r="EC29" s="21">
        <f>EXP(-LN(2)/2)*EC28+(1-EXP(-LN(2)/2))/(LN(2)/2)*DW29*DZ29*VLOOKUP('Données projet'!$B$14,Paramètres!$A$1:$I$89,3,0)*0.475*44/12</f>
        <v>4.1139660530624154</v>
      </c>
      <c r="ED29" s="22">
        <f t="shared" si="18"/>
        <v>22.001301039518729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65.558864224362395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6.3</v>
      </c>
      <c r="EJ29" s="12">
        <f>IF('Données projet'!$A$192&gt;35,EJ28+EI29-ER28,IF(A29&lt;'Données projet'!$A$192,$EG$205^A29,IF(A29='Données projet'!$A$192,'Données projet'!$B$192,EJ28+EI29-ER28)))</f>
        <v>79.799999999999983</v>
      </c>
      <c r="EK29" s="17">
        <f>EJ29*VLOOKUP('Données projet'!$B$15,Paramètres!$A$1:$I$89,3,0)*VLOOKUP('Données projet'!$B$15,Paramètres!$A$1:$I$89,5,0)</f>
        <v>72.203039999999973</v>
      </c>
      <c r="EL29" s="13">
        <f t="shared" si="45"/>
        <v>20.219559499787128</v>
      </c>
      <c r="EM29" s="20">
        <f t="shared" si="19"/>
        <v>160.96936079546251</v>
      </c>
      <c r="EN29" s="59">
        <f t="shared" si="20"/>
        <v>433.12964072923569</v>
      </c>
      <c r="EO29" s="59">
        <f ca="1">AVERAGE(OFFSET($EN$3,0,0,'Données projet'!$E$15+1,1))-AVERAGE(OFFSET($H$3,0,0,'Données projet'!$E$15+1,1))</f>
        <v>398.27843768730202</v>
      </c>
      <c r="EP29" s="59">
        <f t="shared" si="46"/>
        <v>252.3617347568813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0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0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65.558864224362395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6.3</v>
      </c>
      <c r="FE29" s="12">
        <f>IF('Données projet'!$A$218&gt;35,FE28+FD29-FM28,IF(A29&lt;'Données projet'!$A$218,$FB$205^A29,IF(A29='Données projet'!$A$218,'Données projet'!$B$218,FE28+FD29-FM28)))</f>
        <v>79.799999999999983</v>
      </c>
      <c r="FF29" s="17">
        <f>FE29*VLOOKUP('Données projet'!$B$16,Paramètres!$A$1:$I$89,3,0)*VLOOKUP('Données projet'!$B$16,Paramètres!$A$1:$I$89,5,0)</f>
        <v>77.182559999999995</v>
      </c>
      <c r="FG29" s="13">
        <f t="shared" si="47"/>
        <v>21.446874557671695</v>
      </c>
      <c r="FH29" s="20">
        <f t="shared" si="22"/>
        <v>171.77959852127819</v>
      </c>
      <c r="FI29" s="59">
        <f t="shared" si="23"/>
        <v>443.93987845505137</v>
      </c>
      <c r="FJ29" s="59">
        <f ca="1">AVERAGE(OFFSET($FI$3,0,0,'Données projet'!$E$16+1,1))-AVERAGE(OFFSET($H$3,0,0,'Données projet'!$E$16+1,1))</f>
        <v>422.28024471365825</v>
      </c>
      <c r="FK29" s="59">
        <f t="shared" si="48"/>
        <v>266.49730479813206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0</v>
      </c>
      <c r="FR29" s="21">
        <f>EXP(-LN(2)/25)*FR28+(1-EXP(-LN(2)/25))/(LN(2)/25)*Calculateur!FM29*Calculateur!FO29*VLOOKUP('Données projet'!$B$16,Paramètres!$A$1:$I$89,3,0)*0.475*44/12</f>
        <v>0</v>
      </c>
      <c r="FS29" s="21">
        <f>EXP(-LN(2)/2)*FS28+(1-EXP(-LN(2)/2))/(LN(2)/2)*FM29*FP29*VLOOKUP('Données projet'!$B$16,Paramètres!$A$1:$I$89,3,0)*0.475*44/12</f>
        <v>0</v>
      </c>
      <c r="FT29" s="22">
        <f t="shared" si="24"/>
        <v>0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65.558864224362395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14.2</v>
      </c>
      <c r="FZ29" s="12">
        <f>IF('Données projet'!$A$244&gt;35,FZ28+FY29-GH28,IF(A29&lt;'Données projet'!$A$244,$FW$205^A29,IF(A29='Données projet'!$A$244,'Données projet'!$B$244,FZ28+FY29-GH28)))</f>
        <v>75.2</v>
      </c>
      <c r="GA29" s="17">
        <f>FZ29*VLOOKUP('Données projet'!$B$17,Paramètres!$A$1:$I$89,3,0)*VLOOKUP('Données projet'!$B$17,Paramètres!$A$1:$I$89,5,0)</f>
        <v>58.656000000000006</v>
      </c>
      <c r="GB29" s="13">
        <f t="shared" si="49"/>
        <v>16.828016909929076</v>
      </c>
      <c r="GC29" s="20">
        <f t="shared" si="25"/>
        <v>131.46799611812648</v>
      </c>
      <c r="GD29" s="59">
        <f t="shared" si="26"/>
        <v>403.62827605189966</v>
      </c>
      <c r="GE29" s="59">
        <f ca="1">AVERAGE(OFFSET($GD$3,0,0,'Données projet'!$E$17+1,1))-AVERAGE(OFFSET($H$3,0,0,'Données projet'!$E$17+1,1))</f>
        <v>300.95722646933314</v>
      </c>
      <c r="GF29" s="59">
        <f t="shared" si="50"/>
        <v>269.52365224623759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>
        <f>EXP(-LN(2)/35)*GL28+(1-EXP(-LN(2)/35))/(LN(2)/35)*GH29*GI29*VLOOKUP('Données projet'!$B$17,Paramètres!$A$1:$I$89,3,0)*0.475*44/12</f>
        <v>0</v>
      </c>
      <c r="GM29" s="21">
        <f>EXP(-LN(2)/25)*GM28+(1-EXP(-LN(2)/25))/(LN(2)/25)*Calculateur!GH29*Calculateur!GJ29*VLOOKUP('Données projet'!$B$17,Paramètres!$A$1:$I$89,3,0)*0.475*44/12</f>
        <v>2.514511641950401</v>
      </c>
      <c r="GN29" s="21">
        <f>EXP(-LN(2)/2)*GN28+(1-EXP(-LN(2)/2))/(LN(2)/2)*GH29*GK29*VLOOKUP('Données projet'!$B$17,Paramètres!$A$1:$I$89,3,0)*0.475*44/12</f>
        <v>3.6427715663402194</v>
      </c>
      <c r="GO29" s="21">
        <f t="shared" si="27"/>
        <v>6.1572832082906199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65.558864224362395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1.4000000000000001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5.1333333333333337</v>
      </c>
      <c r="H30" s="67">
        <f t="shared" si="1"/>
        <v>236.13333333333335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65.635908001177569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8.1999999999999993</v>
      </c>
      <c r="N30" s="13">
        <f>IF('Données projet'!$A$36&gt;35,N29+M30-V29,IF(A30&lt;'Données projet'!$A$36,$K$205^A30,IF(A30='Données projet'!$A$36,'Données projet'!$B$36,N29+M30-V29)))</f>
        <v>124.40000000000002</v>
      </c>
      <c r="O30" s="13">
        <f>N30*VLOOKUP('Données projet'!$B$9,Paramètres!$A$1:$I$89,3,0)*VLOOKUP('Données projet'!$B$9,Paramètres!$A$1:$I$89,5,0)</f>
        <v>112.55712000000001</v>
      </c>
      <c r="P30" s="13">
        <f t="shared" si="33"/>
        <v>29.932653834140599</v>
      </c>
      <c r="Q30" s="20">
        <f t="shared" si="2"/>
        <v>248.16968942779488</v>
      </c>
      <c r="R30" s="59">
        <f t="shared" si="0"/>
        <v>521.83468543211256</v>
      </c>
      <c r="S30" s="59">
        <f ca="1">AVERAGE(OFFSET($R$3,0,0,'Données projet'!$E$9+1,1))-AVERAGE(OFFSET($H$3,0,0,'Données projet'!$E$9+1,1))</f>
        <v>479.46542424895119</v>
      </c>
      <c r="T30" s="59">
        <f t="shared" si="34"/>
        <v>337.96395820277337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0.52924609221747954</v>
      </c>
      <c r="AB30" s="21">
        <f>EXP(-LN(2)/2)*AB29+(1-EXP(-LN(2)/2))/(LN(2)/2)*V30*Y30*VLOOKUP('Données projet'!$B$9,Paramètres!$A$1:$I$89,3,0)*0.475*44/12</f>
        <v>0.11318611652557113</v>
      </c>
      <c r="AC30" s="22">
        <f t="shared" si="3"/>
        <v>0.64243220874305063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65.635908001177569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8.1999999999999993</v>
      </c>
      <c r="AI30" s="13">
        <f>IF('Données projet'!$A$62&gt;35,AI29+AH30-AQ29,IF(A30&lt;'Données projet'!$A$62,$AF$205^A30,IF(A30='Données projet'!$A$62,'Données projet'!$B$62,AI29+AH30-AQ29)))</f>
        <v>124.40000000000002</v>
      </c>
      <c r="AJ30" s="13">
        <f>AI30*VLOOKUP('Données projet'!$B$10,Paramètres!$A$1:$I$89,3,0)*VLOOKUP('Données projet'!$B$10,Paramètres!$A$1:$I$89,5,0)</f>
        <v>120.31968000000002</v>
      </c>
      <c r="AK30" s="13">
        <f t="shared" si="35"/>
        <v>31.74954785566829</v>
      </c>
      <c r="AL30" s="20">
        <f t="shared" si="4"/>
        <v>264.85390518195561</v>
      </c>
      <c r="AM30" s="59">
        <f t="shared" si="5"/>
        <v>538.5189011862733</v>
      </c>
      <c r="AN30" s="59">
        <f ca="1">AVERAGE(OFFSET($AM$3,0,0,'Données projet'!$E$10+1,1))-AVERAGE(OFFSET($H$3,0,0,'Données projet'!$E$10+1,1))</f>
        <v>508.94560627895089</v>
      </c>
      <c r="AO30" s="59">
        <f t="shared" si="36"/>
        <v>357.86868650263034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0.56574582271523666</v>
      </c>
      <c r="AW30" s="21">
        <f>EXP(-LN(2)/2)*AW29+(1-EXP(-LN(2)/2))/(LN(2)/2)*AQ30*AT30*VLOOKUP('Données projet'!$B$10,Paramètres!$A$1:$I$89,3,0)*0.475*44/12</f>
        <v>0.12099205559630018</v>
      </c>
      <c r="AX30" s="21">
        <f t="shared" si="6"/>
        <v>0.68673787831153688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65.635908001177569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10.4</v>
      </c>
      <c r="BD30" s="12">
        <f>IF('Données projet'!$A$88&gt;35,BD29+BC30-BL29,IF(A30&lt;'Données projet'!$A$88,$BA$205^A30,IF(A30='Données projet'!$A$88,'Données projet'!$B$88,BD29+BC30-BL29)))</f>
        <v>162.80000000000004</v>
      </c>
      <c r="BE30" s="13">
        <f>BD30*VLOOKUP('Données projet'!$B$11,Paramètres!$A$1:$I$89,3,0)*VLOOKUP('Données projet'!$B$11,Paramètres!$A$1:$I$89,5,0)</f>
        <v>126.98400000000004</v>
      </c>
      <c r="BF30" s="13">
        <f t="shared" si="37"/>
        <v>33.298501064557207</v>
      </c>
      <c r="BG30" s="20">
        <f t="shared" si="7"/>
        <v>279.15868935410384</v>
      </c>
      <c r="BH30" s="59">
        <f t="shared" si="8"/>
        <v>552.82368535842159</v>
      </c>
      <c r="BI30" s="59">
        <f ca="1">AVERAGE(OFFSET($BH$3,0,0,'Données projet'!$E$11+1,1))-AVERAGE(OFFSET($H$3,0,0,'Données projet'!$E$11+1,1))</f>
        <v>383.03154033422328</v>
      </c>
      <c r="BJ30" s="59">
        <f t="shared" si="38"/>
        <v>373.27897156169877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2.053109840498843</v>
      </c>
      <c r="BR30" s="21">
        <f>EXP(-LN(2)/2)*BR29+(1-EXP(-LN(2)/2))/(LN(2)/2)*BL30*BO30*VLOOKUP('Données projet'!$B$11,Paramètres!$A$1:$I$89,3,0)*0.475*44/12</f>
        <v>0.43908407272850858</v>
      </c>
      <c r="BS30" s="22">
        <f t="shared" si="9"/>
        <v>2.4921939132273518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65.635908001177569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8.1999999999999993</v>
      </c>
      <c r="BY30" s="12">
        <f>IF('Données projet'!$A$114&gt;35,BY29+BX30-CG29,IF(A30&lt;'Données projet'!$A$114,$BV$205^A30,IF(A30='Données projet'!$A$114,'Données projet'!$B$114,BY29+BX30-CG29)))</f>
        <v>124.40000000000002</v>
      </c>
      <c r="BZ30" s="13">
        <f>BY30*VLOOKUP('Données projet'!$B$12,Paramètres!$A$1:$I$89,3,0)*VLOOKUP('Données projet'!$B$12,Paramètres!$A$1:$I$89,5,0)</f>
        <v>104.79456000000003</v>
      </c>
      <c r="CA30" s="13">
        <f t="shared" si="39"/>
        <v>28.101103481959861</v>
      </c>
      <c r="CB30" s="20">
        <f t="shared" si="10"/>
        <v>231.45994723108015</v>
      </c>
      <c r="CC30" s="59">
        <f t="shared" si="11"/>
        <v>505.12494323539789</v>
      </c>
      <c r="CD30" s="59">
        <f ca="1">AVERAGE(OFFSET($CC$3,0,0,'Données projet'!$E$12+1,1))-AVERAGE(OFFSET($H$3,0,0,'Données projet'!$E$12+1,1))</f>
        <v>449.94334483948603</v>
      </c>
      <c r="CE30" s="59">
        <f t="shared" si="40"/>
        <v>318.02929110264176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0.49274636171972214</v>
      </c>
      <c r="CM30" s="21">
        <f>EXP(-LN(2)/2)*CM29+(1-EXP(-LN(2)/2))/(LN(2)/2)*CG30*CJ30*VLOOKUP('Données projet'!$B$12,Paramètres!$A$1:$I$89,3,0)*0.475*44/12</f>
        <v>0.1053801774548421</v>
      </c>
      <c r="CN30" s="22">
        <f t="shared" si="12"/>
        <v>0.59812653917456426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65.635908001177569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9.1</v>
      </c>
      <c r="CT30" s="12">
        <f>IF('Données projet'!$A$140&gt;35,CT29+CS30-DB29,IF(A30&lt;'Données projet'!$A$140,$CQ$205^A30,IF(A30='Données projet'!$A$140,'Données projet'!$B$140,CT29+CS30-DB29)))</f>
        <v>95.699999999999989</v>
      </c>
      <c r="CU30" s="17">
        <f>CT30*VLOOKUP('Données projet'!$B$13,Paramètres!$A$1:$I$89,3,0)*VLOOKUP('Données projet'!$B$13,Paramètres!$A$1:$I$89,5,0)</f>
        <v>82.110600000000005</v>
      </c>
      <c r="CV30" s="13">
        <f t="shared" si="41"/>
        <v>22.652452094615242</v>
      </c>
      <c r="CW30" s="20">
        <f t="shared" si="13"/>
        <v>182.46231573145488</v>
      </c>
      <c r="CX30" s="59">
        <f t="shared" si="14"/>
        <v>456.12731173577265</v>
      </c>
      <c r="CY30" s="59">
        <f ca="1">AVERAGE(OFFSET($CX$3,0,0,'Données projet'!$E$13+1,1))-AVERAGE(OFFSET($H$3,0,0,'Données projet'!$E$13+1,1))</f>
        <v>565.32667500225568</v>
      </c>
      <c r="CZ30" s="59">
        <f t="shared" si="42"/>
        <v>275.06957234480944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65.635908001177569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27.5</v>
      </c>
      <c r="DO30" s="12">
        <f>IF('Données projet'!$A$166&gt;35,DO29+DN30-DW29,IF(A30&lt;'Données projet'!$A$166,$DL$205^A30,IF(A30='Données projet'!$A$166,'Données projet'!$B$166,DO29+DN30-DW29)))</f>
        <v>316.5</v>
      </c>
      <c r="DP30" s="17">
        <f>DO30*VLOOKUP('Données projet'!$B$14,Paramètres!$A$1:$I$89,3,0)*VLOOKUP('Données projet'!$B$14,Paramètres!$A$1:$I$89,5,0)</f>
        <v>176.92350000000002</v>
      </c>
      <c r="DQ30" s="13">
        <f t="shared" si="43"/>
        <v>44.637036366733298</v>
      </c>
      <c r="DR30" s="20">
        <f t="shared" si="16"/>
        <v>385.88460083872718</v>
      </c>
      <c r="DS30" s="59">
        <f t="shared" si="17"/>
        <v>659.54959684304492</v>
      </c>
      <c r="DT30" s="59">
        <f ca="1">AVERAGE(OFFSET($DS$3,0,0,'Données projet'!$E$14+1,1))-AVERAGE(OFFSET($H$3,0,0,'Données projet'!$E$14+1,1))</f>
        <v>532.64469322244281</v>
      </c>
      <c r="DU30" s="59">
        <f t="shared" si="44"/>
        <v>525.88014011096413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17.398204870597599</v>
      </c>
      <c r="EC30" s="21">
        <f>EXP(-LN(2)/2)*EC29+(1-EXP(-LN(2)/2))/(LN(2)/2)*DW30*DZ30*VLOOKUP('Données projet'!$B$14,Paramètres!$A$1:$I$89,3,0)*0.475*44/12</f>
        <v>2.9090132936916899</v>
      </c>
      <c r="ED30" s="22">
        <f t="shared" si="18"/>
        <v>20.307218164289289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65.635908001177569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6.3</v>
      </c>
      <c r="EJ30" s="12">
        <f>IF('Données projet'!$A$192&gt;35,EJ29+EI30-ER29,IF(A30&lt;'Données projet'!$A$192,$EG$205^A30,IF(A30='Données projet'!$A$192,'Données projet'!$B$192,EJ29+EI30-ER29)))</f>
        <v>86.09999999999998</v>
      </c>
      <c r="EK30" s="17">
        <f>EJ30*VLOOKUP('Données projet'!$B$15,Paramètres!$A$1:$I$89,3,0)*VLOOKUP('Données projet'!$B$15,Paramètres!$A$1:$I$89,5,0)</f>
        <v>77.903279999999981</v>
      </c>
      <c r="EL30" s="13">
        <f t="shared" si="45"/>
        <v>21.623735462576285</v>
      </c>
      <c r="EM30" s="20">
        <f t="shared" si="19"/>
        <v>173.342885263987</v>
      </c>
      <c r="EN30" s="59">
        <f t="shared" si="20"/>
        <v>447.00788126830474</v>
      </c>
      <c r="EO30" s="59">
        <f ca="1">AVERAGE(OFFSET($EN$3,0,0,'Données projet'!$E$15+1,1))-AVERAGE(OFFSET($H$3,0,0,'Données projet'!$E$15+1,1))</f>
        <v>398.27843768730202</v>
      </c>
      <c r="EP30" s="59">
        <f t="shared" si="46"/>
        <v>252.3617347568813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0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0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65.635908001177569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6.3</v>
      </c>
      <c r="FE30" s="12">
        <f>IF('Données projet'!$A$218&gt;35,FE29+FD30-FM29,IF(A30&lt;'Données projet'!$A$218,$FB$205^A30,IF(A30='Données projet'!$A$218,'Données projet'!$B$218,FE29+FD30-FM29)))</f>
        <v>86.09999999999998</v>
      </c>
      <c r="FF30" s="17">
        <f>FE30*VLOOKUP('Données projet'!$B$16,Paramètres!$A$1:$I$89,3,0)*VLOOKUP('Données projet'!$B$16,Paramètres!$A$1:$I$89,5,0)</f>
        <v>83.275919999999985</v>
      </c>
      <c r="FG30" s="13">
        <f t="shared" si="47"/>
        <v>22.936283153895268</v>
      </c>
      <c r="FH30" s="20">
        <f t="shared" si="22"/>
        <v>184.98625382636752</v>
      </c>
      <c r="FI30" s="59">
        <f t="shared" si="23"/>
        <v>458.65124983068529</v>
      </c>
      <c r="FJ30" s="59">
        <f ca="1">AVERAGE(OFFSET($FI$3,0,0,'Données projet'!$E$16+1,1))-AVERAGE(OFFSET($H$3,0,0,'Données projet'!$E$16+1,1))</f>
        <v>422.28024471365825</v>
      </c>
      <c r="FK30" s="59">
        <f t="shared" si="48"/>
        <v>266.49730479813206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0</v>
      </c>
      <c r="FR30" s="21">
        <f>EXP(-LN(2)/25)*FR29+(1-EXP(-LN(2)/25))/(LN(2)/25)*Calculateur!FM30*Calculateur!FO30*VLOOKUP('Données projet'!$B$16,Paramètres!$A$1:$I$89,3,0)*0.475*44/12</f>
        <v>0</v>
      </c>
      <c r="FS30" s="21">
        <f>EXP(-LN(2)/2)*FS29+(1-EXP(-LN(2)/2))/(LN(2)/2)*FM30*FP30*VLOOKUP('Données projet'!$B$16,Paramètres!$A$1:$I$89,3,0)*0.475*44/12</f>
        <v>0</v>
      </c>
      <c r="FT30" s="22">
        <f t="shared" si="24"/>
        <v>0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65.635908001177569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14.2</v>
      </c>
      <c r="FZ30" s="12">
        <f>IF('Données projet'!$A$244&gt;35,FZ29+FY30-GH29,IF(A30&lt;'Données projet'!$A$244,$FW$205^A30,IF(A30='Données projet'!$A$244,'Données projet'!$B$244,FZ29+FY30-GH29)))</f>
        <v>89.4</v>
      </c>
      <c r="GA30" s="17">
        <f>FZ30*VLOOKUP('Données projet'!$B$17,Paramètres!$A$1:$I$89,3,0)*VLOOKUP('Données projet'!$B$17,Paramètres!$A$1:$I$89,5,0)</f>
        <v>69.732000000000014</v>
      </c>
      <c r="GB30" s="13">
        <f t="shared" si="49"/>
        <v>19.606888874982506</v>
      </c>
      <c r="GC30" s="20">
        <f t="shared" si="25"/>
        <v>155.59856479059454</v>
      </c>
      <c r="GD30" s="59">
        <f t="shared" si="26"/>
        <v>429.26356079491228</v>
      </c>
      <c r="GE30" s="59">
        <f ca="1">AVERAGE(OFFSET($GD$3,0,0,'Données projet'!$E$17+1,1))-AVERAGE(OFFSET($H$3,0,0,'Données projet'!$E$17+1,1))</f>
        <v>300.95722646933314</v>
      </c>
      <c r="GF30" s="59">
        <f t="shared" si="50"/>
        <v>269.52365224623759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>
        <f>EXP(-LN(2)/35)*GL29+(1-EXP(-LN(2)/35))/(LN(2)/35)*GH30*GI30*VLOOKUP('Données projet'!$B$17,Paramètres!$A$1:$I$89,3,0)*0.475*44/12</f>
        <v>0</v>
      </c>
      <c r="GM30" s="21">
        <f>EXP(-LN(2)/25)*GM29+(1-EXP(-LN(2)/25))/(LN(2)/25)*Calculateur!GH30*Calculateur!GJ30*VLOOKUP('Données projet'!$B$17,Paramètres!$A$1:$I$89,3,0)*0.475*44/12</f>
        <v>2.4457521888688469</v>
      </c>
      <c r="GN30" s="21">
        <f>EXP(-LN(2)/2)*GN29+(1-EXP(-LN(2)/2))/(LN(2)/2)*GH30*GK30*VLOOKUP('Données projet'!$B$17,Paramètres!$A$1:$I$89,3,0)*0.475*44/12</f>
        <v>2.5758284768727107</v>
      </c>
      <c r="GO30" s="21">
        <f t="shared" si="27"/>
        <v>5.021580665741558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65.635908001177569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1.4000000000000001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5.1333333333333337</v>
      </c>
      <c r="H31" s="67">
        <f t="shared" si="1"/>
        <v>236.13333333333335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65.711615240709094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8.1999999999999993</v>
      </c>
      <c r="N31" s="13">
        <f>IF('Données projet'!$A$36&gt;35,N30+M31-V30,IF(A31&lt;'Données projet'!$A$36,$K$205^A31,IF(A31='Données projet'!$A$36,'Données projet'!$B$36,N30+M31-V30)))</f>
        <v>132.60000000000002</v>
      </c>
      <c r="O31" s="13">
        <f>N31*VLOOKUP('Données projet'!$B$9,Paramètres!$A$1:$I$89,3,0)*VLOOKUP('Données projet'!$B$9,Paramètres!$A$1:$I$89,5,0)</f>
        <v>119.97648000000001</v>
      </c>
      <c r="P31" s="13">
        <f t="shared" si="33"/>
        <v>31.669513577784763</v>
      </c>
      <c r="Q31" s="20">
        <f t="shared" si="2"/>
        <v>264.1167721479751</v>
      </c>
      <c r="R31" s="59">
        <f t="shared" si="0"/>
        <v>539.28158358613064</v>
      </c>
      <c r="S31" s="59">
        <f ca="1">AVERAGE(OFFSET($R$3,0,0,'Données projet'!$E$9+1,1))-AVERAGE(OFFSET($H$3,0,0,'Données projet'!$E$9+1,1))</f>
        <v>479.46542424895119</v>
      </c>
      <c r="T31" s="59">
        <f t="shared" si="34"/>
        <v>337.96395820277337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0.51477382999395016</v>
      </c>
      <c r="AB31" s="21">
        <f>EXP(-LN(2)/2)*AB30+(1-EXP(-LN(2)/2))/(LN(2)/2)*V31*Y31*VLOOKUP('Données projet'!$B$9,Paramètres!$A$1:$I$89,3,0)*0.475*44/12</f>
        <v>8.0034670531402105E-2</v>
      </c>
      <c r="AC31" s="22">
        <f t="shared" si="3"/>
        <v>0.59480850052535228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65.711615240709094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8.1999999999999993</v>
      </c>
      <c r="AI31" s="13">
        <f>IF('Données projet'!$A$62&gt;35,AI30+AH31-AQ30,IF(A31&lt;'Données projet'!$A$62,$AF$205^A31,IF(A31='Données projet'!$A$62,'Données projet'!$B$62,AI30+AH31-AQ30)))</f>
        <v>132.60000000000002</v>
      </c>
      <c r="AJ31" s="13">
        <f>AI31*VLOOKUP('Données projet'!$B$10,Paramètres!$A$1:$I$89,3,0)*VLOOKUP('Données projet'!$B$10,Paramètres!$A$1:$I$89,5,0)</f>
        <v>128.25072000000003</v>
      </c>
      <c r="AK31" s="13">
        <f t="shared" si="35"/>
        <v>33.591833937449593</v>
      </c>
      <c r="AL31" s="20">
        <f t="shared" si="4"/>
        <v>281.87578144105805</v>
      </c>
      <c r="AM31" s="59">
        <f t="shared" si="5"/>
        <v>557.04059287921359</v>
      </c>
      <c r="AN31" s="59">
        <f ca="1">AVERAGE(OFFSET($AM$3,0,0,'Données projet'!$E$10+1,1))-AVERAGE(OFFSET($H$3,0,0,'Données projet'!$E$10+1,1))</f>
        <v>508.94560627895089</v>
      </c>
      <c r="AO31" s="59">
        <f t="shared" si="36"/>
        <v>357.86868650263034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0.55027547344180872</v>
      </c>
      <c r="AW31" s="21">
        <f>EXP(-LN(2)/2)*AW30+(1-EXP(-LN(2)/2))/(LN(2)/2)*AQ31*AT31*VLOOKUP('Données projet'!$B$10,Paramètres!$A$1:$I$89,3,0)*0.475*44/12</f>
        <v>8.5554302981843633E-2</v>
      </c>
      <c r="AX31" s="21">
        <f t="shared" si="6"/>
        <v>0.63582977642365235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65.711615240709094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10.4</v>
      </c>
      <c r="BD31" s="12">
        <f>IF('Données projet'!$A$88&gt;35,BD30+BC31-BL30,IF(A31&lt;'Données projet'!$A$88,$BA$205^A31,IF(A31='Données projet'!$A$88,'Données projet'!$B$88,BD30+BC31-BL30)))</f>
        <v>173.20000000000005</v>
      </c>
      <c r="BE31" s="13">
        <f>BD31*VLOOKUP('Données projet'!$B$11,Paramètres!$A$1:$I$89,3,0)*VLOOKUP('Données projet'!$B$11,Paramètres!$A$1:$I$89,5,0)</f>
        <v>135.09600000000003</v>
      </c>
      <c r="BF31" s="13">
        <f t="shared" si="37"/>
        <v>35.171247228284784</v>
      </c>
      <c r="BG31" s="20">
        <f t="shared" si="7"/>
        <v>296.54878892259609</v>
      </c>
      <c r="BH31" s="59">
        <f t="shared" si="8"/>
        <v>571.71360036075157</v>
      </c>
      <c r="BI31" s="59">
        <f ca="1">AVERAGE(OFFSET($BH$3,0,0,'Données projet'!$E$11+1,1))-AVERAGE(OFFSET($H$3,0,0,'Données projet'!$E$11+1,1))</f>
        <v>383.03154033422328</v>
      </c>
      <c r="BJ31" s="59">
        <f t="shared" si="38"/>
        <v>373.27897156169877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1.9969674439420482</v>
      </c>
      <c r="BR31" s="21">
        <f>EXP(-LN(2)/2)*BR30+(1-EXP(-LN(2)/2))/(LN(2)/2)*BL31*BO31*VLOOKUP('Données projet'!$B$11,Paramètres!$A$1:$I$89,3,0)*0.475*44/12</f>
        <v>0.31047932533733563</v>
      </c>
      <c r="BS31" s="22">
        <f t="shared" si="9"/>
        <v>2.3074467692793839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65.711615240709094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8.1999999999999993</v>
      </c>
      <c r="BY31" s="12">
        <f>IF('Données projet'!$A$114&gt;35,BY30+BX31-CG30,IF(A31&lt;'Données projet'!$A$114,$BV$205^A31,IF(A31='Données projet'!$A$114,'Données projet'!$B$114,BY30+BX31-CG30)))</f>
        <v>132.60000000000002</v>
      </c>
      <c r="BZ31" s="13">
        <f>BY31*VLOOKUP('Données projet'!$B$12,Paramètres!$A$1:$I$89,3,0)*VLOOKUP('Données projet'!$B$12,Paramètres!$A$1:$I$89,5,0)</f>
        <v>111.70224000000003</v>
      </c>
      <c r="CA31" s="13">
        <f t="shared" si="39"/>
        <v>29.731686445309627</v>
      </c>
      <c r="CB31" s="20">
        <f t="shared" si="10"/>
        <v>246.33075522558093</v>
      </c>
      <c r="CC31" s="59">
        <f t="shared" si="11"/>
        <v>521.49556666373644</v>
      </c>
      <c r="CD31" s="59">
        <f ca="1">AVERAGE(OFFSET($CC$3,0,0,'Données projet'!$E$12+1,1))-AVERAGE(OFFSET($H$3,0,0,'Données projet'!$E$12+1,1))</f>
        <v>449.94334483948603</v>
      </c>
      <c r="CE31" s="59">
        <f t="shared" si="40"/>
        <v>318.02929110264176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0.47927218654609138</v>
      </c>
      <c r="CM31" s="21">
        <f>EXP(-LN(2)/2)*CM30+(1-EXP(-LN(2)/2))/(LN(2)/2)*CG31*CJ31*VLOOKUP('Données projet'!$B$12,Paramètres!$A$1:$I$89,3,0)*0.475*44/12</f>
        <v>7.4515038080960591E-2</v>
      </c>
      <c r="CN31" s="22">
        <f t="shared" si="12"/>
        <v>0.55378722462705199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65.711615240709094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9.1</v>
      </c>
      <c r="CT31" s="12">
        <f>IF('Données projet'!$A$140&gt;35,CT30+CS31-DB30,IF(A31&lt;'Données projet'!$A$140,$CQ$205^A31,IF(A31='Données projet'!$A$140,'Données projet'!$B$140,CT30+CS31-DB30)))</f>
        <v>104.79999999999998</v>
      </c>
      <c r="CU31" s="17">
        <f>CT31*VLOOKUP('Données projet'!$B$13,Paramètres!$A$1:$I$89,3,0)*VLOOKUP('Données projet'!$B$13,Paramètres!$A$1:$I$89,5,0)</f>
        <v>89.918399999999991</v>
      </c>
      <c r="CV31" s="13">
        <f t="shared" si="41"/>
        <v>24.545544000010828</v>
      </c>
      <c r="CW31" s="20">
        <f t="shared" si="13"/>
        <v>199.35803580001888</v>
      </c>
      <c r="CX31" s="59">
        <f t="shared" si="14"/>
        <v>474.52284723817445</v>
      </c>
      <c r="CY31" s="59">
        <f ca="1">AVERAGE(OFFSET($CX$3,0,0,'Données projet'!$E$13+1,1))-AVERAGE(OFFSET($H$3,0,0,'Données projet'!$E$13+1,1))</f>
        <v>565.32667500225568</v>
      </c>
      <c r="CZ31" s="59">
        <f t="shared" si="42"/>
        <v>275.06957234480944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65.711615240709094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27.5</v>
      </c>
      <c r="DO31" s="12">
        <f>IF('Données projet'!$A$166&gt;35,DO30+DN31-DW30,IF(A31&lt;'Données projet'!$A$166,$DL$205^A31,IF(A31='Données projet'!$A$166,'Données projet'!$B$166,DO30+DN31-DW30)))</f>
        <v>344</v>
      </c>
      <c r="DP31" s="17">
        <f>DO31*VLOOKUP('Données projet'!$B$14,Paramètres!$A$1:$I$89,3,0)*VLOOKUP('Données projet'!$B$14,Paramètres!$A$1:$I$89,5,0)</f>
        <v>192.29599999999999</v>
      </c>
      <c r="DQ31" s="13">
        <f t="shared" si="43"/>
        <v>48.047210442610933</v>
      </c>
      <c r="DR31" s="20">
        <f t="shared" si="16"/>
        <v>418.59775818754741</v>
      </c>
      <c r="DS31" s="59">
        <f t="shared" si="17"/>
        <v>693.76256962570301</v>
      </c>
      <c r="DT31" s="59">
        <f ca="1">AVERAGE(OFFSET($DS$3,0,0,'Données projet'!$E$14+1,1))-AVERAGE(OFFSET($H$3,0,0,'Données projet'!$E$14+1,1))</f>
        <v>532.64469322244281</v>
      </c>
      <c r="DU31" s="59">
        <f t="shared" si="44"/>
        <v>525.88014011096413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16.922450043479277</v>
      </c>
      <c r="EC31" s="21">
        <f>EXP(-LN(2)/2)*EC30+(1-EXP(-LN(2)/2))/(LN(2)/2)*DW31*DZ31*VLOOKUP('Données projet'!$B$14,Paramètres!$A$1:$I$89,3,0)*0.475*44/12</f>
        <v>2.0569830265312077</v>
      </c>
      <c r="ED31" s="22">
        <f t="shared" si="18"/>
        <v>18.979433070010483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65.711615240709094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6.3</v>
      </c>
      <c r="EJ31" s="12">
        <f>IF('Données projet'!$A$192&gt;35,EJ30+EI31-ER30,IF(A31&lt;'Données projet'!$A$192,$EG$205^A31,IF(A31='Données projet'!$A$192,'Données projet'!$B$192,EJ30+EI31-ER30)))</f>
        <v>92.399999999999977</v>
      </c>
      <c r="EK31" s="17">
        <f>EJ31*VLOOKUP('Données projet'!$B$15,Paramètres!$A$1:$I$89,3,0)*VLOOKUP('Données projet'!$B$15,Paramètres!$A$1:$I$89,5,0)</f>
        <v>83.603519999999975</v>
      </c>
      <c r="EL31" s="13">
        <f t="shared" si="45"/>
        <v>23.015991519299678</v>
      </c>
      <c r="EM31" s="20">
        <f t="shared" si="19"/>
        <v>185.69564922944687</v>
      </c>
      <c r="EN31" s="59">
        <f t="shared" si="20"/>
        <v>460.86046066760241</v>
      </c>
      <c r="EO31" s="59">
        <f ca="1">AVERAGE(OFFSET($EN$3,0,0,'Données projet'!$E$15+1,1))-AVERAGE(OFFSET($H$3,0,0,'Données projet'!$E$15+1,1))</f>
        <v>398.27843768730202</v>
      </c>
      <c r="EP31" s="59">
        <f t="shared" si="46"/>
        <v>252.3617347568813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0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0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65.711615240709094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6.3</v>
      </c>
      <c r="FE31" s="12">
        <f>IF('Données projet'!$A$218&gt;35,FE30+FD31-FM30,IF(A31&lt;'Données projet'!$A$218,$FB$205^A31,IF(A31='Données projet'!$A$218,'Données projet'!$B$218,FE30+FD31-FM30)))</f>
        <v>92.399999999999977</v>
      </c>
      <c r="FF31" s="17">
        <f>FE31*VLOOKUP('Données projet'!$B$16,Paramètres!$A$1:$I$89,3,0)*VLOOKUP('Données projet'!$B$16,Paramètres!$A$1:$I$89,5,0)</f>
        <v>89.369279999999975</v>
      </c>
      <c r="FG31" s="13">
        <f t="shared" si="47"/>
        <v>24.413048312949282</v>
      </c>
      <c r="FH31" s="20">
        <f t="shared" si="22"/>
        <v>198.17088847838662</v>
      </c>
      <c r="FI31" s="59">
        <f t="shared" si="23"/>
        <v>473.33569991654213</v>
      </c>
      <c r="FJ31" s="59">
        <f ca="1">AVERAGE(OFFSET($FI$3,0,0,'Données projet'!$E$16+1,1))-AVERAGE(OFFSET($H$3,0,0,'Données projet'!$E$16+1,1))</f>
        <v>422.28024471365825</v>
      </c>
      <c r="FK31" s="59">
        <f t="shared" si="48"/>
        <v>266.49730479813206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0</v>
      </c>
      <c r="FR31" s="21">
        <f>EXP(-LN(2)/25)*FR30+(1-EXP(-LN(2)/25))/(LN(2)/25)*Calculateur!FM31*Calculateur!FO31*VLOOKUP('Données projet'!$B$16,Paramètres!$A$1:$I$89,3,0)*0.475*44/12</f>
        <v>0</v>
      </c>
      <c r="FS31" s="21">
        <f>EXP(-LN(2)/2)*FS30+(1-EXP(-LN(2)/2))/(LN(2)/2)*FM31*FP31*VLOOKUP('Données projet'!$B$16,Paramètres!$A$1:$I$89,3,0)*0.475*44/12</f>
        <v>0</v>
      </c>
      <c r="FT31" s="22">
        <f t="shared" si="24"/>
        <v>0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65.711615240709094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14.2</v>
      </c>
      <c r="FZ31" s="12">
        <f>IF('Données projet'!$A$244&gt;35,FZ30+FY31-GH30,IF(A31&lt;'Données projet'!$A$244,$FW$205^A31,IF(A31='Données projet'!$A$244,'Données projet'!$B$244,FZ30+FY31-GH30)))</f>
        <v>103.60000000000001</v>
      </c>
      <c r="GA31" s="17">
        <f>FZ31*VLOOKUP('Données projet'!$B$17,Paramètres!$A$1:$I$89,3,0)*VLOOKUP('Données projet'!$B$17,Paramètres!$A$1:$I$89,5,0)</f>
        <v>80.808000000000007</v>
      </c>
      <c r="GB31" s="13">
        <f t="shared" si="49"/>
        <v>22.334628633536209</v>
      </c>
      <c r="GC31" s="20">
        <f t="shared" si="25"/>
        <v>179.64007820340893</v>
      </c>
      <c r="GD31" s="59">
        <f t="shared" si="26"/>
        <v>454.8048896415645</v>
      </c>
      <c r="GE31" s="59">
        <f ca="1">AVERAGE(OFFSET($GD$3,0,0,'Données projet'!$E$17+1,1))-AVERAGE(OFFSET($H$3,0,0,'Données projet'!$E$17+1,1))</f>
        <v>300.95722646933314</v>
      </c>
      <c r="GF31" s="59">
        <f t="shared" si="50"/>
        <v>269.52365224623759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>
        <f>EXP(-LN(2)/35)*GL30+(1-EXP(-LN(2)/35))/(LN(2)/35)*GH31*GI31*VLOOKUP('Données projet'!$B$17,Paramètres!$A$1:$I$89,3,0)*0.475*44/12</f>
        <v>0</v>
      </c>
      <c r="GM31" s="21">
        <f>EXP(-LN(2)/25)*GM30+(1-EXP(-LN(2)/25))/(LN(2)/25)*Calculateur!GH31*Calculateur!GJ31*VLOOKUP('Données projet'!$B$17,Paramètres!$A$1:$I$89,3,0)*0.475*44/12</f>
        <v>2.3788729666477106</v>
      </c>
      <c r="GN31" s="21">
        <f>EXP(-LN(2)/2)*GN30+(1-EXP(-LN(2)/2))/(LN(2)/2)*GH31*GK31*VLOOKUP('Données projet'!$B$17,Paramètres!$A$1:$I$89,3,0)*0.475*44/12</f>
        <v>1.8213857831701099</v>
      </c>
      <c r="GO31" s="21">
        <f t="shared" si="27"/>
        <v>4.2002587498178201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65.711615240709094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1.4000000000000001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5.1333333333333337</v>
      </c>
      <c r="H32" s="67">
        <f t="shared" si="1"/>
        <v>236.13333333333335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65.786009128890754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8.1999999999999993</v>
      </c>
      <c r="N32" s="13">
        <f>IF('Données projet'!$A$36&gt;35,N31+M32-V31,IF(A32&lt;'Données projet'!$A$36,$K$205^A32,IF(A32='Données projet'!$A$36,'Données projet'!$B$36,N31+M32-V31)))</f>
        <v>140.80000000000001</v>
      </c>
      <c r="O32" s="13">
        <f>N32*VLOOKUP('Données projet'!$B$9,Paramètres!$A$1:$I$89,3,0)*VLOOKUP('Données projet'!$B$9,Paramètres!$A$1:$I$89,5,0)</f>
        <v>127.39584000000001</v>
      </c>
      <c r="P32" s="13">
        <f t="shared" si="33"/>
        <v>33.393907578695213</v>
      </c>
      <c r="Q32" s="20">
        <f t="shared" si="2"/>
        <v>280.04214369956082</v>
      </c>
      <c r="R32" s="59">
        <f t="shared" si="0"/>
        <v>556.701954949938</v>
      </c>
      <c r="S32" s="59">
        <f ca="1">AVERAGE(OFFSET($R$3,0,0,'Données projet'!$E$9+1,1))-AVERAGE(OFFSET($H$3,0,0,'Données projet'!$E$9+1,1))</f>
        <v>479.46542424895119</v>
      </c>
      <c r="T32" s="59">
        <f t="shared" si="34"/>
        <v>337.96395820277337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0.50069731254198635</v>
      </c>
      <c r="AB32" s="21">
        <f>EXP(-LN(2)/2)*AB31+(1-EXP(-LN(2)/2))/(LN(2)/2)*V32*Y32*VLOOKUP('Données projet'!$B$9,Paramètres!$A$1:$I$89,3,0)*0.475*44/12</f>
        <v>5.6593058262785573E-2</v>
      </c>
      <c r="AC32" s="22">
        <f t="shared" si="3"/>
        <v>0.55729037080477195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65.786009128890754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8.1999999999999993</v>
      </c>
      <c r="AI32" s="13">
        <f>IF('Données projet'!$A$62&gt;35,AI31+AH32-AQ31,IF(A32&lt;'Données projet'!$A$62,$AF$205^A32,IF(A32='Données projet'!$A$62,'Données projet'!$B$62,AI31+AH32-AQ31)))</f>
        <v>140.80000000000001</v>
      </c>
      <c r="AJ32" s="13">
        <f>AI32*VLOOKUP('Données projet'!$B$10,Paramètres!$A$1:$I$89,3,0)*VLOOKUP('Données projet'!$B$10,Paramètres!$A$1:$I$89,5,0)</f>
        <v>136.18176000000003</v>
      </c>
      <c r="AK32" s="13">
        <f t="shared" si="35"/>
        <v>35.420897613437006</v>
      </c>
      <c r="AL32" s="20">
        <f t="shared" si="4"/>
        <v>298.87462867673611</v>
      </c>
      <c r="AM32" s="59">
        <f t="shared" si="5"/>
        <v>575.53443992711334</v>
      </c>
      <c r="AN32" s="59">
        <f ca="1">AVERAGE(OFFSET($AM$3,0,0,'Données projet'!$E$10+1,1))-AVERAGE(OFFSET($H$3,0,0,'Données projet'!$E$10+1,1))</f>
        <v>508.94560627895089</v>
      </c>
      <c r="AO32" s="59">
        <f t="shared" si="36"/>
        <v>357.86868650263034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0.53522816168281295</v>
      </c>
      <c r="AW32" s="21">
        <f>EXP(-LN(2)/2)*AW31+(1-EXP(-LN(2)/2))/(LN(2)/2)*AQ32*AT32*VLOOKUP('Données projet'!$B$10,Paramètres!$A$1:$I$89,3,0)*0.475*44/12</f>
        <v>6.0496027798150102E-2</v>
      </c>
      <c r="AX32" s="21">
        <f t="shared" si="6"/>
        <v>0.59572418948096306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65.786009128890754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10.4</v>
      </c>
      <c r="BD32" s="12">
        <f>IF('Données projet'!$A$88&gt;35,BD31+BC32-BL31,IF(A32&lt;'Données projet'!$A$88,$BA$205^A32,IF(A32='Données projet'!$A$88,'Données projet'!$B$88,BD31+BC32-BL31)))</f>
        <v>183.60000000000005</v>
      </c>
      <c r="BE32" s="13">
        <f>BD32*VLOOKUP('Données projet'!$B$11,Paramètres!$A$1:$I$89,3,0)*VLOOKUP('Données projet'!$B$11,Paramètres!$A$1:$I$89,5,0)</f>
        <v>143.20800000000006</v>
      </c>
      <c r="BF32" s="13">
        <f t="shared" si="37"/>
        <v>37.030941422835831</v>
      </c>
      <c r="BG32" s="20">
        <f t="shared" si="7"/>
        <v>313.91615631143918</v>
      </c>
      <c r="BH32" s="59">
        <f t="shared" si="8"/>
        <v>590.57596756181647</v>
      </c>
      <c r="BI32" s="59">
        <f ca="1">AVERAGE(OFFSET($BH$3,0,0,'Données projet'!$E$11+1,1))-AVERAGE(OFFSET($H$3,0,0,'Données projet'!$E$11+1,1))</f>
        <v>383.03154033422328</v>
      </c>
      <c r="BJ32" s="59">
        <f t="shared" si="38"/>
        <v>373.27897156169877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1.9423602641714992</v>
      </c>
      <c r="BR32" s="21">
        <f>EXP(-LN(2)/2)*BR31+(1-EXP(-LN(2)/2))/(LN(2)/2)*BL32*BO32*VLOOKUP('Données projet'!$B$11,Paramètres!$A$1:$I$89,3,0)*0.475*44/12</f>
        <v>0.21954203636425429</v>
      </c>
      <c r="BS32" s="22">
        <f t="shared" si="9"/>
        <v>2.1619023005357536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65.786009128890754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8.1999999999999993</v>
      </c>
      <c r="BY32" s="12">
        <f>IF('Données projet'!$A$114&gt;35,BY31+BX32-CG31,IF(A32&lt;'Données projet'!$A$114,$BV$205^A32,IF(A32='Données projet'!$A$114,'Données projet'!$B$114,BY31+BX32-CG31)))</f>
        <v>140.80000000000001</v>
      </c>
      <c r="BZ32" s="13">
        <f>BY32*VLOOKUP('Données projet'!$B$12,Paramètres!$A$1:$I$89,3,0)*VLOOKUP('Données projet'!$B$12,Paramètres!$A$1:$I$89,5,0)</f>
        <v>118.60992000000002</v>
      </c>
      <c r="CA32" s="13">
        <f t="shared" si="39"/>
        <v>31.35056643275615</v>
      </c>
      <c r="CB32" s="20">
        <f t="shared" si="10"/>
        <v>261.18118053705035</v>
      </c>
      <c r="CC32" s="59">
        <f t="shared" si="11"/>
        <v>537.84099178742758</v>
      </c>
      <c r="CD32" s="59">
        <f ca="1">AVERAGE(OFFSET($CC$3,0,0,'Données projet'!$E$12+1,1))-AVERAGE(OFFSET($H$3,0,0,'Données projet'!$E$12+1,1))</f>
        <v>449.94334483948603</v>
      </c>
      <c r="CE32" s="59">
        <f t="shared" si="40"/>
        <v>318.02929110264176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0.46616646340115964</v>
      </c>
      <c r="CM32" s="21">
        <f>EXP(-LN(2)/2)*CM31+(1-EXP(-LN(2)/2))/(LN(2)/2)*CG32*CJ32*VLOOKUP('Données projet'!$B$12,Paramètres!$A$1:$I$89,3,0)*0.475*44/12</f>
        <v>5.2690088727421064E-2</v>
      </c>
      <c r="CN32" s="22">
        <f t="shared" si="12"/>
        <v>0.51885655212858073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65.786009128890754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9.1</v>
      </c>
      <c r="CT32" s="12">
        <f>IF('Données projet'!$A$140&gt;35,CT31+CS32-DB31,IF(A32&lt;'Données projet'!$A$140,$CQ$205^A32,IF(A32='Données projet'!$A$140,'Données projet'!$B$140,CT31+CS32-DB31)))</f>
        <v>113.89999999999998</v>
      </c>
      <c r="CU32" s="17">
        <f>CT32*VLOOKUP('Données projet'!$B$13,Paramètres!$A$1:$I$89,3,0)*VLOOKUP('Données projet'!$B$13,Paramètres!$A$1:$I$89,5,0)</f>
        <v>97.726199999999992</v>
      </c>
      <c r="CV32" s="13">
        <f t="shared" si="41"/>
        <v>26.419573051947541</v>
      </c>
      <c r="CW32" s="20">
        <f t="shared" si="13"/>
        <v>216.22055473214195</v>
      </c>
      <c r="CX32" s="59">
        <f t="shared" si="14"/>
        <v>492.88036598251915</v>
      </c>
      <c r="CY32" s="59">
        <f ca="1">AVERAGE(OFFSET($CX$3,0,0,'Données projet'!$E$13+1,1))-AVERAGE(OFFSET($H$3,0,0,'Données projet'!$E$13+1,1))</f>
        <v>565.32667500225568</v>
      </c>
      <c r="CZ32" s="59">
        <f t="shared" si="42"/>
        <v>275.06957234480944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65.786009128890754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27.5</v>
      </c>
      <c r="DO32" s="12">
        <f>IF('Données projet'!$A$166&gt;35,DO31+DN32-DW31,IF(A32&lt;'Données projet'!$A$166,$DL$205^A32,IF(A32='Données projet'!$A$166,'Données projet'!$B$166,DO31+DN32-DW31)))</f>
        <v>371.5</v>
      </c>
      <c r="DP32" s="17">
        <f>DO32*VLOOKUP('Données projet'!$B$14,Paramètres!$A$1:$I$89,3,0)*VLOOKUP('Données projet'!$B$14,Paramètres!$A$1:$I$89,5,0)</f>
        <v>207.66850000000002</v>
      </c>
      <c r="DQ32" s="13">
        <f t="shared" si="43"/>
        <v>51.4257637081664</v>
      </c>
      <c r="DR32" s="20">
        <f t="shared" si="16"/>
        <v>451.25584262505646</v>
      </c>
      <c r="DS32" s="59">
        <f t="shared" si="17"/>
        <v>727.91565387543369</v>
      </c>
      <c r="DT32" s="59">
        <f ca="1">AVERAGE(OFFSET($DS$3,0,0,'Données projet'!$E$14+1,1))-AVERAGE(OFFSET($H$3,0,0,'Données projet'!$E$14+1,1))</f>
        <v>532.64469322244281</v>
      </c>
      <c r="DU32" s="59">
        <f t="shared" si="44"/>
        <v>525.88014011096413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16.459704757127366</v>
      </c>
      <c r="EC32" s="21">
        <f>EXP(-LN(2)/2)*EC31+(1-EXP(-LN(2)/2))/(LN(2)/2)*DW32*DZ32*VLOOKUP('Données projet'!$B$14,Paramètres!$A$1:$I$89,3,0)*0.475*44/12</f>
        <v>1.454506646845845</v>
      </c>
      <c r="ED32" s="22">
        <f t="shared" si="18"/>
        <v>17.914211403973212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65.786009128890754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6.3</v>
      </c>
      <c r="EJ32" s="12">
        <f>IF('Données projet'!$A$192&gt;35,EJ31+EI32-ER31,IF(A32&lt;'Données projet'!$A$192,$EG$205^A32,IF(A32='Données projet'!$A$192,'Données projet'!$B$192,EJ31+EI32-ER31)))</f>
        <v>98.699999999999974</v>
      </c>
      <c r="EK32" s="17">
        <f>EJ32*VLOOKUP('Données projet'!$B$15,Paramètres!$A$1:$I$89,3,0)*VLOOKUP('Données projet'!$B$15,Paramètres!$A$1:$I$89,5,0)</f>
        <v>89.303759999999968</v>
      </c>
      <c r="EL32" s="13">
        <f t="shared" si="45"/>
        <v>24.397232850954325</v>
      </c>
      <c r="EM32" s="20">
        <f t="shared" si="19"/>
        <v>198.02922921541202</v>
      </c>
      <c r="EN32" s="59">
        <f t="shared" si="20"/>
        <v>474.68904046578928</v>
      </c>
      <c r="EO32" s="59">
        <f ca="1">AVERAGE(OFFSET($EN$3,0,0,'Données projet'!$E$15+1,1))-AVERAGE(OFFSET($H$3,0,0,'Données projet'!$E$15+1,1))</f>
        <v>398.27843768730202</v>
      </c>
      <c r="EP32" s="59">
        <f t="shared" si="46"/>
        <v>252.3617347568813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0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0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65.786009128890754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6.3</v>
      </c>
      <c r="FE32" s="12">
        <f>IF('Données projet'!$A$218&gt;35,FE31+FD32-FM31,IF(A32&lt;'Données projet'!$A$218,$FB$205^A32,IF(A32='Données projet'!$A$218,'Données projet'!$B$218,FE31+FD32-FM31)))</f>
        <v>98.699999999999974</v>
      </c>
      <c r="FF32" s="17">
        <f>FE32*VLOOKUP('Données projet'!$B$16,Paramètres!$A$1:$I$89,3,0)*VLOOKUP('Données projet'!$B$16,Paramètres!$A$1:$I$89,5,0)</f>
        <v>95.462639999999979</v>
      </c>
      <c r="FG32" s="13">
        <f t="shared" si="47"/>
        <v>25.878130159770908</v>
      </c>
      <c r="FH32" s="20">
        <f t="shared" si="22"/>
        <v>211.33517469493427</v>
      </c>
      <c r="FI32" s="59">
        <f t="shared" si="23"/>
        <v>487.9949859453115</v>
      </c>
      <c r="FJ32" s="59">
        <f ca="1">AVERAGE(OFFSET($FI$3,0,0,'Données projet'!$E$16+1,1))-AVERAGE(OFFSET($H$3,0,0,'Données projet'!$E$16+1,1))</f>
        <v>422.28024471365825</v>
      </c>
      <c r="FK32" s="59">
        <f t="shared" si="48"/>
        <v>266.49730479813206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0</v>
      </c>
      <c r="FR32" s="21">
        <f>EXP(-LN(2)/25)*FR31+(1-EXP(-LN(2)/25))/(LN(2)/25)*Calculateur!FM32*Calculateur!FO32*VLOOKUP('Données projet'!$B$16,Paramètres!$A$1:$I$89,3,0)*0.475*44/12</f>
        <v>0</v>
      </c>
      <c r="FS32" s="21">
        <f>EXP(-LN(2)/2)*FS31+(1-EXP(-LN(2)/2))/(LN(2)/2)*FM32*FP32*VLOOKUP('Données projet'!$B$16,Paramètres!$A$1:$I$89,3,0)*0.475*44/12</f>
        <v>0</v>
      </c>
      <c r="FT32" s="22">
        <f t="shared" si="24"/>
        <v>0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65.786009128890754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14.2</v>
      </c>
      <c r="FZ32" s="12">
        <f>IF('Données projet'!$A$244&gt;35,FZ31+FY32-GH31,IF(A32&lt;'Données projet'!$A$244,$FW$205^A32,IF(A32='Données projet'!$A$244,'Données projet'!$B$244,FZ31+FY32-GH31)))</f>
        <v>117.80000000000001</v>
      </c>
      <c r="GA32" s="17">
        <f>FZ32*VLOOKUP('Données projet'!$B$17,Paramètres!$A$1:$I$89,3,0)*VLOOKUP('Données projet'!$B$17,Paramètres!$A$1:$I$89,5,0)</f>
        <v>91.884000000000015</v>
      </c>
      <c r="GB32" s="13">
        <f t="shared" si="49"/>
        <v>25.019051117801563</v>
      </c>
      <c r="GC32" s="20">
        <f t="shared" si="25"/>
        <v>203.60614736350442</v>
      </c>
      <c r="GD32" s="59">
        <f t="shared" si="26"/>
        <v>480.26595861388165</v>
      </c>
      <c r="GE32" s="59">
        <f ca="1">AVERAGE(OFFSET($GD$3,0,0,'Données projet'!$E$17+1,1))-AVERAGE(OFFSET($H$3,0,0,'Données projet'!$E$17+1,1))</f>
        <v>300.95722646933314</v>
      </c>
      <c r="GF32" s="59">
        <f t="shared" si="50"/>
        <v>269.52365224623759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>
        <f>EXP(-LN(2)/35)*GL31+(1-EXP(-LN(2)/35))/(LN(2)/35)*GH32*GI32*VLOOKUP('Données projet'!$B$17,Paramètres!$A$1:$I$89,3,0)*0.475*44/12</f>
        <v>0</v>
      </c>
      <c r="GM32" s="21">
        <f>EXP(-LN(2)/25)*GM31+(1-EXP(-LN(2)/25))/(LN(2)/25)*Calculateur!GH32*Calculateur!GJ32*VLOOKUP('Données projet'!$B$17,Paramètres!$A$1:$I$89,3,0)*0.475*44/12</f>
        <v>2.3138225602752365</v>
      </c>
      <c r="GN32" s="21">
        <f>EXP(-LN(2)/2)*GN31+(1-EXP(-LN(2)/2))/(LN(2)/2)*GH32*GK32*VLOOKUP('Données projet'!$B$17,Paramètres!$A$1:$I$89,3,0)*0.475*44/12</f>
        <v>1.2879142384363556</v>
      </c>
      <c r="GO32" s="21">
        <f t="shared" si="27"/>
        <v>3.6017367987115918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65.786009128890754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1.4000000000000001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5.1333333333333337</v>
      </c>
      <c r="H33" s="67">
        <f t="shared" si="1"/>
        <v>236.13333333333335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65.859112449432303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149</v>
      </c>
      <c r="L33" s="12">
        <f>VLOOKUP(A33,'Données projet'!$A$35:$I$55,9,0)</f>
        <v>8.1999999999999993</v>
      </c>
      <c r="M33" s="12">
        <f t="array" ref="M33">INDEX(L:L,MIN(IF(ISNUMBER(L33:L229),ROW(L33:L229),"")))</f>
        <v>8.1999999999999993</v>
      </c>
      <c r="N33" s="13">
        <f>IF('Données projet'!$A$36&gt;35,N32+M33-V32,IF(A33&lt;'Données projet'!$A$36,$K$205^A33,IF(A33='Données projet'!$A$36,'Données projet'!$B$36,N32+M33-V32)))</f>
        <v>149</v>
      </c>
      <c r="O33" s="13">
        <f>N33*VLOOKUP('Données projet'!$B$9,Paramètres!$A$1:$I$89,3,0)*VLOOKUP('Données projet'!$B$9,Paramètres!$A$1:$I$89,5,0)</f>
        <v>134.81519999999998</v>
      </c>
      <c r="P33" s="13">
        <f t="shared" si="33"/>
        <v>35.106644529103392</v>
      </c>
      <c r="Q33" s="20">
        <f t="shared" si="2"/>
        <v>295.94721255485501</v>
      </c>
      <c r="R33" s="59">
        <f t="shared" si="0"/>
        <v>574.0972915361067</v>
      </c>
      <c r="S33" s="59">
        <f ca="1">AVERAGE(OFFSET($R$3,0,0,'Données projet'!$E$9+1,1))-AVERAGE(OFFSET($H$3,0,0,'Données projet'!$E$9+1,1))</f>
        <v>479.46542424895119</v>
      </c>
      <c r="T33" s="59">
        <f t="shared" si="34"/>
        <v>337.96395820277337</v>
      </c>
      <c r="U33" s="15">
        <f>IF(ISNA(VLOOKUP(A33,'Données projet'!$A$35:$I$55,3,0)),0,VLOOKUP(A33,'Données projet'!$A$35:$I$55,3,0))</f>
        <v>2</v>
      </c>
      <c r="V33" s="15">
        <f>IF(ISNA(VLOOKUP(A33,'Données projet'!$A$35:$I$55,4,0)),0,VLOOKUP(A33,'Données projet'!$A$35:$I$55,4,0))</f>
        <v>56</v>
      </c>
      <c r="W33" s="16">
        <f>IF(ISNA(VLOOKUP(A33,'Données projet'!$A$35:$I$55,5,0)),0%,VLOOKUP(A33,'Données projet'!$A$35:$I$55,5,0)*VLOOKUP('Données projet'!$B$9,Paramètres!$A$1:$I$89,7,0))</f>
        <v>4.3000000000000003E-2</v>
      </c>
      <c r="X33" s="16">
        <f>IF(ISNA(VLOOKUP(A33,'Données projet'!$A$35:$I$55,6,0)),0%,VLOOKUP(A33,'Données projet'!$A$35:$I$55,6,0)*VLOOKUP('Données projet'!$B$9,Paramètres!$A$1:$I$89,7,0))</f>
        <v>0.19350000000000001</v>
      </c>
      <c r="Y33" s="16">
        <f>IF(ISNA(VLOOKUP(A33,'Données projet'!$A$35:$I$55,7,0)),0%,VLOOKUP(A33,'Données projet'!$A$35:$I$55,7,0))</f>
        <v>0.45</v>
      </c>
      <c r="Z33" s="21">
        <f>EXP(-LN(2)/35)*Z32+(1-EXP(-LN(2)/35))/(LN(2)/35)*V33*W33*VLOOKUP('Données projet'!$B$9,Paramètres!$A$1:$I$89,3,0)*0.475*44/12</f>
        <v>2.4085528753586032</v>
      </c>
      <c r="AA33" s="21">
        <f>EXP(-LN(2)/25)*AA32+(1-EXP(-LN(2)/25))/(LN(2)/25)*Calculateur!V33*Calculateur!X33*VLOOKUP('Données projet'!$B$9,Paramètres!$A$1:$I$89,3,0)*0.475*44/12</f>
        <v>11.282818400509749</v>
      </c>
      <c r="AB33" s="21">
        <f>EXP(-LN(2)/2)*AB32+(1-EXP(-LN(2)/2))/(LN(2)/2)*V33*Y33*VLOOKUP('Données projet'!$B$9,Paramètres!$A$1:$I$89,3,0)*0.475*44/12</f>
        <v>21.553336774106572</v>
      </c>
      <c r="AC33" s="22">
        <f t="shared" si="3"/>
        <v>35.244708049974925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65.859112449432303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149</v>
      </c>
      <c r="AG33" s="12">
        <f>VLOOKUP(A33,'Données projet'!$A$61:$I$81,9,0)</f>
        <v>8.1999999999999993</v>
      </c>
      <c r="AH33" s="12">
        <f t="array" ref="AH33">INDEX(AG:AG,MIN(IF(ISNUMBER(AG33:AG229),ROW(AG33:AG229),"")))</f>
        <v>8.1999999999999993</v>
      </c>
      <c r="AI33" s="13">
        <f>IF('Données projet'!$A$62&gt;35,AI32+AH33-AQ32,IF(A33&lt;'Données projet'!$A$62,$AF$205^A33,IF(A33='Données projet'!$A$62,'Données projet'!$B$62,AI32+AH33-AQ32)))</f>
        <v>149</v>
      </c>
      <c r="AJ33" s="13">
        <f>AI33*VLOOKUP('Données projet'!$B$10,Paramètres!$A$1:$I$89,3,0)*VLOOKUP('Données projet'!$B$10,Paramètres!$A$1:$I$89,5,0)</f>
        <v>144.11279999999999</v>
      </c>
      <c r="AK33" s="13">
        <f t="shared" si="35"/>
        <v>37.237596662992502</v>
      </c>
      <c r="AL33" s="20">
        <f t="shared" si="4"/>
        <v>315.85194085471193</v>
      </c>
      <c r="AM33" s="59">
        <f t="shared" si="5"/>
        <v>594.00201983596367</v>
      </c>
      <c r="AN33" s="59">
        <f ca="1">AVERAGE(OFFSET($AM$3,0,0,'Données projet'!$E$10+1,1))-AVERAGE(OFFSET($H$3,0,0,'Données projet'!$E$10+1,1))</f>
        <v>508.94560627895089</v>
      </c>
      <c r="AO33" s="59">
        <f t="shared" si="36"/>
        <v>357.86868650263034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56</v>
      </c>
      <c r="AR33" s="16">
        <f>IF(ISNA(VLOOKUP(A33,'Données projet'!$A$61:$I$81,5,0)),0%,VLOOKUP(A33,'Données projet'!$A$61:$I$81,5,0)*VLOOKUP('Données projet'!$B$10,Paramètres!$A$1:$I$89,7,0))</f>
        <v>4.3000000000000003E-2</v>
      </c>
      <c r="AS33" s="16">
        <f>IF(ISNA(VLOOKUP(A33,'Données projet'!$A$61:$I$81,6,0)),0%,VLOOKUP(A33,'Données projet'!$A$61:$I$81,6,0)*VLOOKUP('Données projet'!$B$10,Paramètres!$A$1:$I$89,7,0))</f>
        <v>0.19350000000000001</v>
      </c>
      <c r="AT33" s="16">
        <f>IF(ISNA(VLOOKUP(A33,'Données projet'!$A$61:$I$81,7,0)),0%,VLOOKUP(A33,'Données projet'!$A$61:$I$81,7,0))</f>
        <v>0.45</v>
      </c>
      <c r="AU33" s="21">
        <f>EXP(-LN(2)/35)*AU32+(1-EXP(-LN(2)/35))/(LN(2)/35)*AQ33*AR33*VLOOKUP('Données projet'!$B$10,Paramètres!$A$1:$I$89,3,0)*0.475*44/12</f>
        <v>2.5746599702109205</v>
      </c>
      <c r="AV33" s="21">
        <f>EXP(-LN(2)/25)*AV32+(1-EXP(-LN(2)/25))/(LN(2)/25)*Calculateur!AQ33*Calculateur!AS33*VLOOKUP('Données projet'!$B$10,Paramètres!$A$1:$I$89,3,0)*0.475*44/12</f>
        <v>12.060943807441456</v>
      </c>
      <c r="AW33" s="21">
        <f>EXP(-LN(2)/2)*AW32+(1-EXP(-LN(2)/2))/(LN(2)/2)*AQ33*AT33*VLOOKUP('Données projet'!$B$10,Paramètres!$A$1:$I$89,3,0)*0.475*44/12</f>
        <v>23.039773793010479</v>
      </c>
      <c r="AX33" s="21">
        <f t="shared" si="6"/>
        <v>37.675377570662853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65.859112449432303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194</v>
      </c>
      <c r="BB33" s="12">
        <f>VLOOKUP(A33,'Données projet'!$A$87:$I$107,9,0)</f>
        <v>10.4</v>
      </c>
      <c r="BC33" s="12">
        <f t="array" ref="BC33">INDEX(BB:BB,MIN(IF(ISNUMBER(BB33:BB229),ROW(BB33:BB229),"")))</f>
        <v>10.4</v>
      </c>
      <c r="BD33" s="12">
        <f>IF('Données projet'!$A$88&gt;35,BD32+BC33-BL32,IF(A33&lt;'Données projet'!$A$88,$BA$205^A33,IF(A33='Données projet'!$A$88,'Données projet'!$B$88,BD32+BC33-BL32)))</f>
        <v>194.00000000000006</v>
      </c>
      <c r="BE33" s="13">
        <f>BD33*VLOOKUP('Données projet'!$B$11,Paramètres!$A$1:$I$89,3,0)*VLOOKUP('Données projet'!$B$11,Paramètres!$A$1:$I$89,5,0)</f>
        <v>151.32000000000005</v>
      </c>
      <c r="BF33" s="13">
        <f t="shared" si="37"/>
        <v>38.878407223223149</v>
      </c>
      <c r="BG33" s="20">
        <f t="shared" si="7"/>
        <v>331.26222591378041</v>
      </c>
      <c r="BH33" s="59">
        <f t="shared" si="8"/>
        <v>609.41230489503209</v>
      </c>
      <c r="BI33" s="59">
        <f ca="1">AVERAGE(OFFSET($BH$3,0,0,'Données projet'!$E$11+1,1))-AVERAGE(OFFSET($H$3,0,0,'Données projet'!$E$11+1,1))</f>
        <v>383.03154033422328</v>
      </c>
      <c r="BJ33" s="59">
        <f t="shared" si="38"/>
        <v>373.27897156169877</v>
      </c>
      <c r="BK33" s="15">
        <f>IF(ISNA(VLOOKUP(A33,'Données projet'!$A$87:$I$107,3,0)),0,VLOOKUP(A33,'Données projet'!$A$87:$I$107,3,0))</f>
        <v>2</v>
      </c>
      <c r="BL33" s="15">
        <f>IF(ISNA(VLOOKUP(A33,'Données projet'!$A$87:$I$107,4,0)),0,VLOOKUP(A33,'Données projet'!$A$87:$I$107,4,0))</f>
        <v>39</v>
      </c>
      <c r="BM33" s="16">
        <f>IF(ISNA(VLOOKUP(A33,'Données projet'!$A$87:$I$107,5,0)),0%,VLOOKUP(A33,'Données projet'!$A$87:$I$107,5,0)*VLOOKUP('Données projet'!$B$11,Paramètres!$A$1:$I$89,7,0))</f>
        <v>4.3000000000000003E-2</v>
      </c>
      <c r="BN33" s="16">
        <f>IF(ISNA(VLOOKUP(A33,'Données projet'!$A$87:$I$107,6,0)),0%,VLOOKUP(A33,'Données projet'!$A$87:$I$107,6,0)*VLOOKUP('Données projet'!$B$11,Paramètres!$A$1:$I$89,7,0))</f>
        <v>0.19350000000000001</v>
      </c>
      <c r="BO33" s="16">
        <f>IF(ISNA(VLOOKUP(A33,'Données projet'!$A$87:$I$107,7,0)),0%,VLOOKUP(A33,'Données projet'!$A$87:$I$107,7,0))</f>
        <v>0.45</v>
      </c>
      <c r="BP33" s="21">
        <f>EXP(-LN(2)/35)*BP32+(1-EXP(-LN(2)/35))/(LN(2)/35)*BL33*BM33*VLOOKUP('Données projet'!$B$11,Paramètres!$A$1:$I$89,3,0)*0.475*44/12</f>
        <v>1.4460215846518709</v>
      </c>
      <c r="BQ33" s="21">
        <f>EXP(-LN(2)/25)*BQ32+(1-EXP(-LN(2)/25))/(LN(2)/25)*Calculateur!BL33*Calculateur!BN33*VLOOKUP('Données projet'!$B$11,Paramètres!$A$1:$I$89,3,0)*0.475*44/12</f>
        <v>8.3707225307339872</v>
      </c>
      <c r="BR33" s="21">
        <f>EXP(-LN(2)/2)*BR32+(1-EXP(-LN(2)/2))/(LN(2)/2)*BL33*BO33*VLOOKUP('Données projet'!$B$11,Paramètres!$A$1:$I$89,3,0)*0.475*44/12</f>
        <v>13.071179596701828</v>
      </c>
      <c r="BS33" s="22">
        <f t="shared" si="9"/>
        <v>22.887923712087687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65.859112449432303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149</v>
      </c>
      <c r="BW33" s="12">
        <f>VLOOKUP(A33,'Données projet'!$A$113:$I$133,9,0)</f>
        <v>8.1999999999999993</v>
      </c>
      <c r="BX33" s="12">
        <f t="array" ref="BX33">INDEX(BW:BW,MIN(IF(ISNUMBER(BW33:BW229),ROW(BW33:BW229),"")))</f>
        <v>8.1999999999999993</v>
      </c>
      <c r="BY33" s="12">
        <f>IF('Données projet'!$A$114&gt;35,BY32+BX33-CG32,IF(A33&lt;'Données projet'!$A$114,$BV$205^A33,IF(A33='Données projet'!$A$114,'Données projet'!$B$114,BY32+BX33-CG32)))</f>
        <v>149</v>
      </c>
      <c r="BZ33" s="13">
        <f>BY33*VLOOKUP('Données projet'!$B$12,Paramètres!$A$1:$I$89,3,0)*VLOOKUP('Données projet'!$B$12,Paramètres!$A$1:$I$89,5,0)</f>
        <v>125.51760000000002</v>
      </c>
      <c r="CA33" s="13">
        <f t="shared" si="39"/>
        <v>32.95850265342969</v>
      </c>
      <c r="CB33" s="20">
        <f t="shared" si="10"/>
        <v>276.01254545472335</v>
      </c>
      <c r="CC33" s="59">
        <f t="shared" si="11"/>
        <v>554.16262443597509</v>
      </c>
      <c r="CD33" s="59">
        <f ca="1">AVERAGE(OFFSET($CC$3,0,0,'Données projet'!$E$12+1,1))-AVERAGE(OFFSET($H$3,0,0,'Données projet'!$E$12+1,1))</f>
        <v>449.94334483948603</v>
      </c>
      <c r="CE33" s="59">
        <f t="shared" si="40"/>
        <v>318.02929110264176</v>
      </c>
      <c r="CF33" s="15">
        <f>IF(ISNA(VLOOKUP(A33,'Données projet'!$A$113:$I$133,3,0)),0,VLOOKUP(A33,'Données projet'!$A$113:$I$133,3,0))</f>
        <v>2</v>
      </c>
      <c r="CG33" s="15">
        <f>IF(ISNA(VLOOKUP(A33,'Données projet'!$A$113:$I$133,4,0)),0,VLOOKUP(A33,'Données projet'!$A$113:$I$133,4,0))</f>
        <v>56</v>
      </c>
      <c r="CH33" s="16">
        <f>IF(ISNA(VLOOKUP(A33,'Données projet'!$A$113:$I$133,5,0)),0%,VLOOKUP(A33,'Données projet'!$A$113:$I$133,5,0)*VLOOKUP('Données projet'!$B$12,Paramètres!$A$1:$I$89,7,0))</f>
        <v>4.3000000000000003E-2</v>
      </c>
      <c r="CI33" s="16">
        <f>IF(ISNA(VLOOKUP(A33,'Données projet'!$A$113:$I$133,6,0)),0%,VLOOKUP(A33,'Données projet'!$A$113:$I$133,6,0)*VLOOKUP('Données projet'!$B$12,Paramètres!$A$1:$I$89,7,0))</f>
        <v>0.19350000000000001</v>
      </c>
      <c r="CJ33" s="16">
        <f>IF(ISNA(VLOOKUP(A33,'Données projet'!$A$113:$I$133,7,0)),0%,VLOOKUP(A33,'Données projet'!$A$113:$I$133,7,0))</f>
        <v>0.45</v>
      </c>
      <c r="CK33" s="21">
        <f>EXP(-LN(2)/35)*CK32+(1-EXP(-LN(2)/35))/(LN(2)/35)*CG33*CH33*VLOOKUP('Données projet'!$B$12,Paramètres!$A$1:$I$89,3,0)*0.475*44/12</f>
        <v>2.2424457805062863</v>
      </c>
      <c r="CL33" s="21">
        <f>EXP(-LN(2)/25)*CL32+(1-EXP(-LN(2)/25))/(LN(2)/25)*Calculateur!CG33*Calculateur!CI33*VLOOKUP('Données projet'!$B$12,Paramètres!$A$1:$I$89,3,0)*0.475*44/12</f>
        <v>10.504692993578042</v>
      </c>
      <c r="CM33" s="21">
        <f>EXP(-LN(2)/2)*CM32+(1-EXP(-LN(2)/2))/(LN(2)/2)*CG33*CJ33*VLOOKUP('Données projet'!$B$12,Paramètres!$A$1:$I$89,3,0)*0.475*44/12</f>
        <v>20.066899755202677</v>
      </c>
      <c r="CN33" s="22">
        <f t="shared" si="12"/>
        <v>32.814038529287004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65.859112449432303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123</v>
      </c>
      <c r="CR33" s="12">
        <f>VLOOKUP(A33,'Données projet'!$A$139:$I$159,9,0)</f>
        <v>9.1</v>
      </c>
      <c r="CS33" s="12">
        <f t="array" ref="CS33">INDEX(CR:CR,MIN(IF(ISNUMBER(CR33:CR229),ROW(CR33:CR229),"")))</f>
        <v>9.1</v>
      </c>
      <c r="CT33" s="12">
        <f>IF('Données projet'!$A$140&gt;35,CT32+CS33-DB32,IF(A33&lt;'Données projet'!$A$140,$CQ$205^A33,IF(A33='Données projet'!$A$140,'Données projet'!$B$140,CT32+CS33-DB32)))</f>
        <v>122.99999999999997</v>
      </c>
      <c r="CU33" s="17">
        <f>CT33*VLOOKUP('Données projet'!$B$13,Paramètres!$A$1:$I$89,3,0)*VLOOKUP('Données projet'!$B$13,Paramètres!$A$1:$I$89,5,0)</f>
        <v>105.53399999999999</v>
      </c>
      <c r="CV33" s="13">
        <f t="shared" si="41"/>
        <v>28.276235424052324</v>
      </c>
      <c r="CW33" s="20">
        <f t="shared" si="13"/>
        <v>233.05282669689109</v>
      </c>
      <c r="CX33" s="59">
        <f t="shared" si="14"/>
        <v>511.20290567814283</v>
      </c>
      <c r="CY33" s="59">
        <f ca="1">AVERAGE(OFFSET($CX$3,0,0,'Données projet'!$E$13+1,1))-AVERAGE(OFFSET($H$3,0,0,'Données projet'!$E$13+1,1))</f>
        <v>565.32667500225568</v>
      </c>
      <c r="CZ33" s="59">
        <f t="shared" si="42"/>
        <v>275.06957234480944</v>
      </c>
      <c r="DA33" s="15">
        <f>IF(ISNA(VLOOKUP(A33,'Données projet'!$A$139:$I$159,3,0)),0,VLOOKUP(A33,'Données projet'!$A$139:$I$159,3,0))</f>
        <v>1</v>
      </c>
      <c r="DB33" s="15">
        <f>IF(ISNA(VLOOKUP(A33,'Données projet'!$A$139:$I$159,4,0)),0,VLOOKUP(A33,'Données projet'!$A$139:$I$159,4,0))</f>
        <v>35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0.13250000000000001</v>
      </c>
      <c r="DE33" s="16">
        <f>IF(ISNA(VLOOKUP(A33,'Données projet'!$A$139:$I$159,7,0)),0%,VLOOKUP(A33,'Données projet'!$A$139:$I$159,7,0))</f>
        <v>0.25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4.3813198856328688</v>
      </c>
      <c r="DH33" s="21">
        <f>EXP(-LN(2)/2)*DH32+(1-EXP(-LN(2)/2))/(LN(2)/2)*DB33*DE33*VLOOKUP('Données projet'!$B$13,Paramètres!$A$1:$I$89,3,0)*0.475*44/12</f>
        <v>7.0835283113999523</v>
      </c>
      <c r="DI33" s="22">
        <f t="shared" si="15"/>
        <v>11.464848197032822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65.859112449432303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399</v>
      </c>
      <c r="DM33" s="12">
        <f>VLOOKUP(A33,'Données projet'!$A$165:$I$185,9,0)</f>
        <v>27.5</v>
      </c>
      <c r="DN33" s="12">
        <f t="array" ref="DN33">INDEX(DM:DM,MIN(IF(ISNUMBER(DM33:DM229),ROW(DM33:DM229),"")))</f>
        <v>27.5</v>
      </c>
      <c r="DO33" s="12">
        <f>IF('Données projet'!$A$166&gt;35,DO32+DN33-DW32,IF(A33&lt;'Données projet'!$A$166,$DL$205^A33,IF(A33='Données projet'!$A$166,'Données projet'!$B$166,DO32+DN33-DW32)))</f>
        <v>399</v>
      </c>
      <c r="DP33" s="17">
        <f>DO33*VLOOKUP('Données projet'!$B$14,Paramètres!$A$1:$I$89,3,0)*VLOOKUP('Données projet'!$B$14,Paramètres!$A$1:$I$89,5,0)</f>
        <v>223.041</v>
      </c>
      <c r="DQ33" s="13">
        <f t="shared" si="43"/>
        <v>54.775303040983225</v>
      </c>
      <c r="DR33" s="20">
        <f t="shared" si="16"/>
        <v>483.86339446304572</v>
      </c>
      <c r="DS33" s="59">
        <f t="shared" si="17"/>
        <v>762.01347344429746</v>
      </c>
      <c r="DT33" s="59">
        <f ca="1">AVERAGE(OFFSET($DS$3,0,0,'Données projet'!$E$14+1,1))-AVERAGE(OFFSET($H$3,0,0,'Données projet'!$E$14+1,1))</f>
        <v>532.64469322244281</v>
      </c>
      <c r="DU33" s="59">
        <f t="shared" si="44"/>
        <v>525.88014011096413</v>
      </c>
      <c r="DV33" s="15">
        <f>IF(ISNA(VLOOKUP(A33,'Données projet'!$A$165:$I$185,3,0)),0,VLOOKUP(A33,'Données projet'!$A$165:$I$185,3,0))</f>
        <v>2</v>
      </c>
      <c r="DW33" s="15">
        <f>IF(ISNA(VLOOKUP(A33,'Données projet'!$A$165:$I$185,4,0)),0,VLOOKUP(A33,'Données projet'!$A$165:$I$185,4,0))</f>
        <v>140</v>
      </c>
      <c r="DX33" s="16">
        <f>IF(ISNA(VLOOKUP(A33,'Données projet'!$A$165:$I$185,5,0)),0%,VLOOKUP(A33,'Données projet'!$A$165:$I$185,5,0)*VLOOKUP('Données projet'!$B$14,Paramètres!$A$1:$I$89,7,0))</f>
        <v>0.11000000000000001</v>
      </c>
      <c r="DY33" s="16">
        <f>IF(ISNA(VLOOKUP(A33,'Données projet'!$A$165:$I$185,6,0)),0%,VLOOKUP(A33,'Données projet'!$A$165:$I$185,6,0)*VLOOKUP('Données projet'!$B$14,Paramètres!$A$1:$I$89,7,0))</f>
        <v>0.22000000000000003</v>
      </c>
      <c r="DZ33" s="16">
        <f>IF(ISNA(VLOOKUP(A33,'Données projet'!$A$165:$I$185,7,0)),0%,VLOOKUP(A33,'Données projet'!$A$165:$I$185,7,0))</f>
        <v>0.4</v>
      </c>
      <c r="EA33" s="21">
        <f>EXP(-LN(2)/35)*EA32+(1-EXP(-LN(2)/35))/(LN(2)/35)*DW33*DX33*VLOOKUP('Données projet'!$B$14,Paramètres!$A$1:$I$89,3,0)*0.475*44/12</f>
        <v>11.419862771096829</v>
      </c>
      <c r="EB33" s="21">
        <f>EXP(-LN(2)/25)*EB32+(1-EXP(-LN(2)/25))/(LN(2)/25)*Calculateur!DW33*Calculateur!DY33*VLOOKUP('Données projet'!$B$14,Paramètres!$A$1:$I$89,3,0)*0.475*44/12</f>
        <v>38.759410105081791</v>
      </c>
      <c r="EC33" s="21">
        <f>EXP(-LN(2)/2)*EC32+(1-EXP(-LN(2)/2))/(LN(2)/2)*DW33*DZ33*VLOOKUP('Données projet'!$B$14,Paramètres!$A$1:$I$89,3,0)*0.475*44/12</f>
        <v>36.471891355034096</v>
      </c>
      <c r="ED33" s="22">
        <f t="shared" si="18"/>
        <v>86.651164231212718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65.859112449432303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105</v>
      </c>
      <c r="EH33" s="12">
        <f>VLOOKUP(A33,'Données projet'!$A$191:$I$211,9,0)</f>
        <v>6.3</v>
      </c>
      <c r="EI33" s="12">
        <f t="array" ref="EI33">INDEX(EH:EH,MIN(IF(ISNUMBER(EH33:EH229),ROW(EH33:EH229),"")))</f>
        <v>6.3</v>
      </c>
      <c r="EJ33" s="12">
        <f>IF('Données projet'!$A$192&gt;35,EJ32+EI33-ER32,IF(A33&lt;'Données projet'!$A$192,$EG$205^A33,IF(A33='Données projet'!$A$192,'Données projet'!$B$192,EJ32+EI33-ER32)))</f>
        <v>104.99999999999997</v>
      </c>
      <c r="EK33" s="17">
        <f>EJ33*VLOOKUP('Données projet'!$B$15,Paramètres!$A$1:$I$89,3,0)*VLOOKUP('Données projet'!$B$15,Paramètres!$A$1:$I$89,5,0)</f>
        <v>95.003999999999962</v>
      </c>
      <c r="EL33" s="13">
        <f t="shared" si="45"/>
        <v>25.768242550600764</v>
      </c>
      <c r="EM33" s="20">
        <f t="shared" si="19"/>
        <v>210.34498910896289</v>
      </c>
      <c r="EN33" s="59">
        <f t="shared" si="20"/>
        <v>488.49506809021466</v>
      </c>
      <c r="EO33" s="59">
        <f ca="1">AVERAGE(OFFSET($EN$3,0,0,'Données projet'!$E$15+1,1))-AVERAGE(OFFSET($H$3,0,0,'Données projet'!$E$15+1,1))</f>
        <v>398.27843768730202</v>
      </c>
      <c r="EP33" s="59">
        <f t="shared" si="46"/>
        <v>252.3617347568813</v>
      </c>
      <c r="EQ33" s="15">
        <f>IF(ISNA(VLOOKUP(A33,'Données projet'!$A$191:$I$211,3,0)),0,VLOOKUP(A33,'Données projet'!$A$191:$I$211,3,0))</f>
        <v>1</v>
      </c>
      <c r="ER33" s="15">
        <f>IF(ISNA(VLOOKUP(A33,'Données projet'!$A$191:$I$211,4,0)),0,VLOOKUP(A33,'Données projet'!$A$191:$I$211,4,0))</f>
        <v>29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0.1075</v>
      </c>
      <c r="EU33" s="16">
        <f>IF(ISNA(VLOOKUP(A33,'Données projet'!$A$191:$I$211,7,0)),0%,VLOOKUP(A33,'Données projet'!$A$191:$I$211,7,0))</f>
        <v>0.25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3.1059381724899082</v>
      </c>
      <c r="EX33" s="21">
        <f>EXP(-LN(2)/2)*EX32+(1-EXP(-LN(2)/2))/(LN(2)/2)*ER33*EU33*VLOOKUP('Données projet'!$B$15,Paramètres!$A$1:$I$89,3,0)*0.475*44/12</f>
        <v>6.1893478544284255</v>
      </c>
      <c r="EY33" s="22">
        <f t="shared" si="21"/>
        <v>9.2952860269183333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65.859112449432303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>
        <f>VLOOKUP(A33,'Données projet'!$A$217:$I$237,2,0)</f>
        <v>105</v>
      </c>
      <c r="FC33" s="12">
        <f>VLOOKUP(A33,'Données projet'!$A$217:$I$237,9,0)</f>
        <v>6.3</v>
      </c>
      <c r="FD33" s="12">
        <f t="array" ref="FD33">INDEX(FC:FC,MIN(IF(ISNUMBER(FC33:FC229),ROW(FC33:FC229),"")))</f>
        <v>6.3</v>
      </c>
      <c r="FE33" s="12">
        <f>IF('Données projet'!$A$218&gt;35,FE32+FD33-FM32,IF(A33&lt;'Données projet'!$A$218,$FB$205^A33,IF(A33='Données projet'!$A$218,'Données projet'!$B$218,FE32+FD33-FM32)))</f>
        <v>104.99999999999997</v>
      </c>
      <c r="FF33" s="17">
        <f>FE33*VLOOKUP('Données projet'!$B$16,Paramètres!$A$1:$I$89,3,0)*VLOOKUP('Données projet'!$B$16,Paramètres!$A$1:$I$89,5,0)</f>
        <v>101.55599999999997</v>
      </c>
      <c r="FG33" s="13">
        <f t="shared" si="47"/>
        <v>27.332359320696909</v>
      </c>
      <c r="FH33" s="20">
        <f t="shared" si="22"/>
        <v>224.48055915021371</v>
      </c>
      <c r="FI33" s="59">
        <f t="shared" si="23"/>
        <v>502.63063813146545</v>
      </c>
      <c r="FJ33" s="59">
        <f ca="1">AVERAGE(OFFSET($FI$3,0,0,'Données projet'!$E$16+1,1))-AVERAGE(OFFSET($H$3,0,0,'Données projet'!$E$16+1,1))</f>
        <v>422.28024471365825</v>
      </c>
      <c r="FK33" s="59">
        <f t="shared" si="48"/>
        <v>266.49730479813206</v>
      </c>
      <c r="FL33" s="15">
        <f>IF(ISNA(VLOOKUP(A33,'Données projet'!$A$217:$I$237,3,0)),0,VLOOKUP(A33,'Données projet'!$A$217:$I$237,3,0))</f>
        <v>1</v>
      </c>
      <c r="FM33" s="15">
        <f>IF(ISNA(VLOOKUP(A33,'Données projet'!$A$217:$I$237,4,0)),0,VLOOKUP(A33,'Données projet'!$A$217:$I$237,4,0))</f>
        <v>29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0.1075</v>
      </c>
      <c r="FP33" s="16">
        <f>IF(ISNA(VLOOKUP(A33,'Données projet'!$A$217:$I$237,7,0)),0%,VLOOKUP(A33,'Données projet'!$A$217:$I$237,7,0))</f>
        <v>0.25</v>
      </c>
      <c r="FQ33" s="21">
        <f>EXP(-LN(2)/35)*FQ32+(1-EXP(-LN(2)/35))/(LN(2)/35)*FM33*FN33*VLOOKUP('Données projet'!$B$16,Paramètres!$A$1:$I$89,3,0)*0.475*44/12</f>
        <v>0</v>
      </c>
      <c r="FR33" s="21">
        <f>EXP(-LN(2)/25)*FR32+(1-EXP(-LN(2)/25))/(LN(2)/25)*Calculateur!FM33*Calculateur!FO33*VLOOKUP('Données projet'!$B$16,Paramètres!$A$1:$I$89,3,0)*0.475*44/12</f>
        <v>3.3201408050754195</v>
      </c>
      <c r="FS33" s="21">
        <f>EXP(-LN(2)/2)*FS32+(1-EXP(-LN(2)/2))/(LN(2)/2)*FM33*FP33*VLOOKUP('Données projet'!$B$16,Paramètres!$A$1:$I$89,3,0)*0.475*44/12</f>
        <v>6.6161994305959029</v>
      </c>
      <c r="FT33" s="22">
        <f t="shared" si="24"/>
        <v>9.936340235671322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65.859112449432303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>
        <f>VLOOKUP(A33,'Données projet'!$A$243:$I$263,2,0)</f>
        <v>132</v>
      </c>
      <c r="FX33" s="12">
        <f>VLOOKUP(A33,'Données projet'!$A$243:$I$263,9,0)</f>
        <v>14.2</v>
      </c>
      <c r="FY33" s="12">
        <f t="array" ref="FY33">INDEX(FX:FX,MIN(IF(ISNUMBER(FX33:FX229),ROW(FX33:FX229),"")))</f>
        <v>14.2</v>
      </c>
      <c r="FZ33" s="12">
        <f>IF('Données projet'!$A$244&gt;35,FZ32+FY33-GH32,IF(A33&lt;'Données projet'!$A$244,$FW$205^A33,IF(A33='Données projet'!$A$244,'Données projet'!$B$244,FZ32+FY33-GH32)))</f>
        <v>132</v>
      </c>
      <c r="GA33" s="17">
        <f>FZ33*VLOOKUP('Données projet'!$B$17,Paramètres!$A$1:$I$89,3,0)*VLOOKUP('Données projet'!$B$17,Paramètres!$A$1:$I$89,5,0)</f>
        <v>102.96000000000001</v>
      </c>
      <c r="GB33" s="13">
        <f t="shared" si="49"/>
        <v>27.665975080374633</v>
      </c>
      <c r="GC33" s="20">
        <f t="shared" si="25"/>
        <v>227.50690659831915</v>
      </c>
      <c r="GD33" s="59">
        <f t="shared" si="26"/>
        <v>505.65698557957091</v>
      </c>
      <c r="GE33" s="59">
        <f ca="1">AVERAGE(OFFSET($GD$3,0,0,'Données projet'!$E$17+1,1))-AVERAGE(OFFSET($H$3,0,0,'Données projet'!$E$17+1,1))</f>
        <v>300.95722646933314</v>
      </c>
      <c r="GF33" s="59">
        <f t="shared" si="50"/>
        <v>269.52365224623759</v>
      </c>
      <c r="GG33" s="15">
        <f>IF(ISNA(VLOOKUP(A33,'Données projet'!$A$243:$I$263,3,0)),0,VLOOKUP(A33,'Données projet'!$A$243:$I$263,3,0))</f>
        <v>2</v>
      </c>
      <c r="GH33" s="15">
        <f>IF(ISNA(VLOOKUP(A33,'Données projet'!$A$243:$I$263,4,0)),0,VLOOKUP(A33,'Données projet'!$A$243:$I$263,4,0))</f>
        <v>24</v>
      </c>
      <c r="GI33" s="16">
        <f>IF(ISNA(VLOOKUP(A33,'Données projet'!$A$243:$I$263,5,0)),0%,VLOOKUP(A33,'Données projet'!$A$243:$I$263,5,0)*VLOOKUP('Données projet'!$B$17,Paramètres!$A$1:$I$89,7,0))</f>
        <v>4.3000000000000003E-2</v>
      </c>
      <c r="GJ33" s="16">
        <f>IF(ISNA(VLOOKUP(A33,'Données projet'!$A$243:$I$263,6,0)),0%,VLOOKUP(A33,'Données projet'!$A$243:$I$263,6,0)*VLOOKUP('Données projet'!$B$17,Paramètres!$A$1:$I$89,7,0))</f>
        <v>0.19350000000000001</v>
      </c>
      <c r="GK33" s="16">
        <f>IF(ISNA(VLOOKUP(A33,'Données projet'!$A$243:$I$263,7,0)),0%,VLOOKUP(A33,'Données projet'!$A$243:$I$263,7,0))</f>
        <v>0.45</v>
      </c>
      <c r="GL33" s="21">
        <f>EXP(-LN(2)/35)*GL32+(1-EXP(-LN(2)/35))/(LN(2)/35)*GH33*GI33*VLOOKUP('Données projet'!$B$17,Paramètres!$A$1:$I$89,3,0)*0.475*44/12</f>
        <v>0.88985943670884371</v>
      </c>
      <c r="GM33" s="21">
        <f>EXP(-LN(2)/25)*GM32+(1-EXP(-LN(2)/25))/(LN(2)/25)*Calculateur!GH33*Calculateur!GJ33*VLOOKUP('Données projet'!$B$17,Paramètres!$A$1:$I$89,3,0)*0.475*44/12</f>
        <v>6.2391517053815901</v>
      </c>
      <c r="GN33" s="21">
        <f>EXP(-LN(2)/2)*GN32+(1-EXP(-LN(2)/2))/(LN(2)/2)*GH33*GK33*VLOOKUP('Données projet'!$B$17,Paramètres!$A$1:$I$89,3,0)*0.475*44/12</f>
        <v>8.8589636202208446</v>
      </c>
      <c r="GO33" s="21">
        <f t="shared" si="27"/>
        <v>15.987974762311278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65.859112449432303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1.4000000000000001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5.1333333333333337</v>
      </c>
      <c r="H34" s="67">
        <f t="shared" si="1"/>
        <v>236.13333333333335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65.930947590796976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11</v>
      </c>
      <c r="N34" s="13">
        <f>IF('Données projet'!$A$36&gt;35,N33+M34-V33,IF(A34&lt;'Données projet'!$A$36,$K$205^A34,IF(A34='Données projet'!$A$36,'Données projet'!$B$36,N33+M34-V33)))</f>
        <v>104</v>
      </c>
      <c r="O34" s="13">
        <f>N34*VLOOKUP('Données projet'!$B$9,Paramètres!$A$1:$I$89,3,0)*VLOOKUP('Données projet'!$B$9,Paramètres!$A$1:$I$89,5,0)</f>
        <v>94.099199999999996</v>
      </c>
      <c r="P34" s="13">
        <f t="shared" si="33"/>
        <v>25.551276031514817</v>
      </c>
      <c r="Q34" s="20">
        <f t="shared" si="2"/>
        <v>208.39124575488827</v>
      </c>
      <c r="R34" s="59">
        <f t="shared" si="0"/>
        <v>486.80472025447716</v>
      </c>
      <c r="S34" s="59">
        <f ca="1">AVERAGE(OFFSET($R$3,0,0,'Données projet'!$E$9+1,1))-AVERAGE(OFFSET($H$3,0,0,'Données projet'!$E$9+1,1))</f>
        <v>479.46542424895119</v>
      </c>
      <c r="T34" s="59">
        <f t="shared" si="34"/>
        <v>337.96395820277337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2.3613226225450159</v>
      </c>
      <c r="AA34" s="21">
        <f>EXP(-LN(2)/25)*AA33+(1-EXP(-LN(2)/25))/(LN(2)/25)*Calculateur!V34*Calculateur!X34*VLOOKUP('Données projet'!$B$9,Paramètres!$A$1:$I$89,3,0)*0.475*44/12</f>
        <v>10.974289138010176</v>
      </c>
      <c r="AB34" s="21">
        <f>EXP(-LN(2)/2)*AB33+(1-EXP(-LN(2)/2))/(LN(2)/2)*V34*Y34*VLOOKUP('Données projet'!$B$9,Paramètres!$A$1:$I$89,3,0)*0.475*44/12</f>
        <v>15.240510590168146</v>
      </c>
      <c r="AC34" s="22">
        <f t="shared" si="3"/>
        <v>28.576122350723338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65.930947590796976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11</v>
      </c>
      <c r="AI34" s="13">
        <f>IF('Données projet'!$A$62&gt;35,AI33+AH34-AQ33,IF(A34&lt;'Données projet'!$A$62,$AF$205^A34,IF(A34='Données projet'!$A$62,'Données projet'!$B$62,AI33+AH34-AQ33)))</f>
        <v>104</v>
      </c>
      <c r="AJ34" s="13">
        <f>AI34*VLOOKUP('Données projet'!$B$10,Paramètres!$A$1:$I$89,3,0)*VLOOKUP('Données projet'!$B$10,Paramètres!$A$1:$I$89,5,0)</f>
        <v>100.58880000000001</v>
      </c>
      <c r="AK34" s="13">
        <f t="shared" si="35"/>
        <v>27.102223064855139</v>
      </c>
      <c r="AL34" s="20">
        <f t="shared" si="4"/>
        <v>222.3951985046227</v>
      </c>
      <c r="AM34" s="59">
        <f t="shared" si="5"/>
        <v>500.80867300421164</v>
      </c>
      <c r="AN34" s="59">
        <f ca="1">AVERAGE(OFFSET($AM$3,0,0,'Données projet'!$E$10+1,1))-AVERAGE(OFFSET($H$3,0,0,'Données projet'!$E$10+1,1))</f>
        <v>508.94560627895089</v>
      </c>
      <c r="AO34" s="59">
        <f t="shared" si="36"/>
        <v>357.86868650263034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2.5241724585826035</v>
      </c>
      <c r="AV34" s="21">
        <f>EXP(-LN(2)/25)*AV33+(1-EXP(-LN(2)/25))/(LN(2)/25)*Calculateur!AQ34*Calculateur!AS34*VLOOKUP('Données projet'!$B$10,Paramètres!$A$1:$I$89,3,0)*0.475*44/12</f>
        <v>11.731136664769499</v>
      </c>
      <c r="AW34" s="21">
        <f>EXP(-LN(2)/2)*AW33+(1-EXP(-LN(2)/2))/(LN(2)/2)*AQ34*AT34*VLOOKUP('Données projet'!$B$10,Paramètres!$A$1:$I$89,3,0)*0.475*44/12</f>
        <v>16.291580286041814</v>
      </c>
      <c r="AX34" s="21">
        <f t="shared" si="6"/>
        <v>30.546889409393916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65.930947590796976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11.5</v>
      </c>
      <c r="BD34" s="12">
        <f>IF('Données projet'!$A$88&gt;35,BD33+BC34-BL33,IF(A34&lt;'Données projet'!$A$88,$BA$205^A34,IF(A34='Données projet'!$A$88,'Données projet'!$B$88,BD33+BC34-BL33)))</f>
        <v>166.50000000000006</v>
      </c>
      <c r="BE34" s="13">
        <f>BD34*VLOOKUP('Données projet'!$B$11,Paramètres!$A$1:$I$89,3,0)*VLOOKUP('Données projet'!$B$11,Paramètres!$A$1:$I$89,5,0)</f>
        <v>129.87000000000006</v>
      </c>
      <c r="BF34" s="13">
        <f t="shared" si="37"/>
        <v>33.966318400312318</v>
      </c>
      <c r="BG34" s="20">
        <f t="shared" si="7"/>
        <v>285.34825454721073</v>
      </c>
      <c r="BH34" s="59">
        <f t="shared" si="8"/>
        <v>563.7617290467997</v>
      </c>
      <c r="BI34" s="59">
        <f ca="1">AVERAGE(OFFSET($BH$3,0,0,'Données projet'!$E$11+1,1))-AVERAGE(OFFSET($H$3,0,0,'Données projet'!$E$11+1,1))</f>
        <v>383.03154033422328</v>
      </c>
      <c r="BJ34" s="59">
        <f t="shared" si="38"/>
        <v>373.27897156169877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1.4176659833629255</v>
      </c>
      <c r="BQ34" s="21">
        <f>EXP(-LN(2)/25)*BQ33+(1-EXP(-LN(2)/25))/(LN(2)/25)*Calculateur!BL34*Calculateur!BN34*VLOOKUP('Données projet'!$B$11,Paramètres!$A$1:$I$89,3,0)*0.475*44/12</f>
        <v>8.1418246829338994</v>
      </c>
      <c r="BR34" s="21">
        <f>EXP(-LN(2)/2)*BR33+(1-EXP(-LN(2)/2))/(LN(2)/2)*BL34*BO34*VLOOKUP('Données projet'!$B$11,Paramètres!$A$1:$I$89,3,0)*0.475*44/12</f>
        <v>9.2427197309351055</v>
      </c>
      <c r="BS34" s="22">
        <f t="shared" si="9"/>
        <v>18.802210397231931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65.930947590796976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11</v>
      </c>
      <c r="BY34" s="12">
        <f>IF('Données projet'!$A$114&gt;35,BY33+BX34-CG33,IF(A34&lt;'Données projet'!$A$114,$BV$205^A34,IF(A34='Données projet'!$A$114,'Données projet'!$B$114,BY33+BX34-CG33)))</f>
        <v>104</v>
      </c>
      <c r="BZ34" s="13">
        <f>BY34*VLOOKUP('Données projet'!$B$12,Paramètres!$A$1:$I$89,3,0)*VLOOKUP('Données projet'!$B$12,Paramètres!$A$1:$I$89,5,0)</f>
        <v>87.609600000000015</v>
      </c>
      <c r="CA34" s="13">
        <f t="shared" si="39"/>
        <v>23.987817980868787</v>
      </c>
      <c r="CB34" s="20">
        <f t="shared" si="10"/>
        <v>194.36550298334649</v>
      </c>
      <c r="CC34" s="59">
        <f t="shared" si="11"/>
        <v>472.77897748293537</v>
      </c>
      <c r="CD34" s="59">
        <f ca="1">AVERAGE(OFFSET($CC$3,0,0,'Données projet'!$E$12+1,1))-AVERAGE(OFFSET($H$3,0,0,'Données projet'!$E$12+1,1))</f>
        <v>449.94334483948603</v>
      </c>
      <c r="CE34" s="59">
        <f t="shared" si="40"/>
        <v>318.02929110264176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2.1984727865074292</v>
      </c>
      <c r="CL34" s="21">
        <f>EXP(-LN(2)/25)*CL33+(1-EXP(-LN(2)/25))/(LN(2)/25)*Calculateur!CG34*Calculateur!CI34*VLOOKUP('Données projet'!$B$12,Paramètres!$A$1:$I$89,3,0)*0.475*44/12</f>
        <v>10.217441611250853</v>
      </c>
      <c r="CM34" s="21">
        <f>EXP(-LN(2)/2)*CM33+(1-EXP(-LN(2)/2))/(LN(2)/2)*CG34*CJ34*VLOOKUP('Données projet'!$B$12,Paramètres!$A$1:$I$89,3,0)*0.475*44/12</f>
        <v>14.189440894294485</v>
      </c>
      <c r="CN34" s="22">
        <f t="shared" si="12"/>
        <v>26.605355292052767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65.930947590796976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10.3</v>
      </c>
      <c r="CT34" s="12">
        <f>IF('Données projet'!$A$140&gt;35,CT33+CS34-DB33,IF(A34&lt;'Données projet'!$A$140,$CQ$205^A34,IF(A34='Données projet'!$A$140,'Données projet'!$B$140,CT33+CS34-DB33)))</f>
        <v>98.299999999999983</v>
      </c>
      <c r="CU34" s="17">
        <f>CT34*VLOOKUP('Données projet'!$B$13,Paramètres!$A$1:$I$89,3,0)*VLOOKUP('Données projet'!$B$13,Paramètres!$A$1:$I$89,5,0)</f>
        <v>84.341399999999993</v>
      </c>
      <c r="CV34" s="13">
        <f t="shared" si="41"/>
        <v>23.195392230481875</v>
      </c>
      <c r="CW34" s="20">
        <f t="shared" si="13"/>
        <v>187.29324646808922</v>
      </c>
      <c r="CX34" s="59">
        <f t="shared" si="14"/>
        <v>465.70672096767817</v>
      </c>
      <c r="CY34" s="59">
        <f ca="1">AVERAGE(OFFSET($CX$3,0,0,'Données projet'!$E$13+1,1))-AVERAGE(OFFSET($H$3,0,0,'Données projet'!$E$13+1,1))</f>
        <v>565.32667500225568</v>
      </c>
      <c r="CZ34" s="59">
        <f t="shared" si="42"/>
        <v>275.06957234480944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4.261512462956639</v>
      </c>
      <c r="DH34" s="21">
        <f>EXP(-LN(2)/2)*DH33+(1-EXP(-LN(2)/2))/(LN(2)/2)*DB34*DE34*VLOOKUP('Données projet'!$B$13,Paramètres!$A$1:$I$89,3,0)*0.475*44/12</f>
        <v>5.0088109037178006</v>
      </c>
      <c r="DI34" s="22">
        <f t="shared" si="15"/>
        <v>9.2703233666744396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65.930947590796976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26.8</v>
      </c>
      <c r="DO34" s="12">
        <f>IF('Données projet'!$A$166&gt;35,DO33+DN34-DW33,IF(A34&lt;'Données projet'!$A$166,$DL$205^A34,IF(A34='Données projet'!$A$166,'Données projet'!$B$166,DO33+DN34-DW33)))</f>
        <v>285.8</v>
      </c>
      <c r="DP34" s="17">
        <f>DO34*VLOOKUP('Données projet'!$B$14,Paramètres!$A$1:$I$89,3,0)*VLOOKUP('Données projet'!$B$14,Paramètres!$A$1:$I$89,5,0)</f>
        <v>159.76220000000001</v>
      </c>
      <c r="DQ34" s="13">
        <f t="shared" si="43"/>
        <v>40.788874310808829</v>
      </c>
      <c r="DR34" s="20">
        <f t="shared" si="16"/>
        <v>349.29312109132542</v>
      </c>
      <c r="DS34" s="59">
        <f t="shared" si="17"/>
        <v>627.70659559091428</v>
      </c>
      <c r="DT34" s="59">
        <f ca="1">AVERAGE(OFFSET($DS$3,0,0,'Données projet'!$E$14+1,1))-AVERAGE(OFFSET($H$3,0,0,'Données projet'!$E$14+1,1))</f>
        <v>532.64469322244281</v>
      </c>
      <c r="DU34" s="59">
        <f t="shared" si="44"/>
        <v>525.88014011096413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11.195926227584131</v>
      </c>
      <c r="EB34" s="21">
        <f>EXP(-LN(2)/25)*EB33+(1-EXP(-LN(2)/25))/(LN(2)/25)*Calculateur!DW34*Calculateur!DY34*VLOOKUP('Données projet'!$B$14,Paramètres!$A$1:$I$89,3,0)*0.475*44/12</f>
        <v>37.699531997489537</v>
      </c>
      <c r="EC34" s="21">
        <f>EXP(-LN(2)/2)*EC33+(1-EXP(-LN(2)/2))/(LN(2)/2)*DW34*DZ34*VLOOKUP('Données projet'!$B$14,Paramètres!$A$1:$I$89,3,0)*0.475*44/12</f>
        <v>25.789521699843629</v>
      </c>
      <c r="ED34" s="22">
        <f t="shared" si="18"/>
        <v>74.6849799249173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65.930947590796976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8.1999999999999993</v>
      </c>
      <c r="EJ34" s="12">
        <f>IF('Données projet'!$A$192&gt;35,EJ33+EI34-ER33,IF(A34&lt;'Données projet'!$A$192,$EG$205^A34,IF(A34='Données projet'!$A$192,'Données projet'!$B$192,EJ33+EI34-ER33)))</f>
        <v>84.199999999999974</v>
      </c>
      <c r="EK34" s="17">
        <f>EJ34*VLOOKUP('Données projet'!$B$15,Paramètres!$A$1:$I$89,3,0)*VLOOKUP('Données projet'!$B$15,Paramètres!$A$1:$I$89,5,0)</f>
        <v>76.184159999999977</v>
      </c>
      <c r="EL34" s="13">
        <f t="shared" si="45"/>
        <v>21.201554232857205</v>
      </c>
      <c r="EM34" s="20">
        <f t="shared" si="19"/>
        <v>169.61345228889294</v>
      </c>
      <c r="EN34" s="59">
        <f t="shared" si="20"/>
        <v>448.02692678848189</v>
      </c>
      <c r="EO34" s="59">
        <f ca="1">AVERAGE(OFFSET($EN$3,0,0,'Données projet'!$E$15+1,1))-AVERAGE(OFFSET($H$3,0,0,'Données projet'!$E$15+1,1))</f>
        <v>398.27843768730202</v>
      </c>
      <c r="EP34" s="59">
        <f t="shared" si="46"/>
        <v>252.3617347568813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0</v>
      </c>
      <c r="EW34" s="21">
        <f>EXP(-LN(2)/25)*EW33+(1-EXP(-LN(2)/25))/(LN(2)/25)*Calculateur!ER34*Calculateur!ET34*VLOOKUP('Données projet'!$B$15,Paramètres!$A$1:$I$89,3,0)*0.475*44/12</f>
        <v>3.0210061298289821</v>
      </c>
      <c r="EX34" s="21">
        <f>EXP(-LN(2)/2)*EX33+(1-EXP(-LN(2)/2))/(LN(2)/2)*ER34*EU34*VLOOKUP('Données projet'!$B$15,Paramètres!$A$1:$I$89,3,0)*0.475*44/12</f>
        <v>4.3765298389887484</v>
      </c>
      <c r="EY34" s="22">
        <f t="shared" si="21"/>
        <v>7.3975359688177305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65.930947590796976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8.1999999999999993</v>
      </c>
      <c r="FE34" s="12">
        <f>IF('Données projet'!$A$218&gt;35,FE33+FD34-FM33,IF(A34&lt;'Données projet'!$A$218,$FB$205^A34,IF(A34='Données projet'!$A$218,'Données projet'!$B$218,FE33+FD34-FM33)))</f>
        <v>84.199999999999974</v>
      </c>
      <c r="FF34" s="17">
        <f>FE34*VLOOKUP('Données projet'!$B$16,Paramètres!$A$1:$I$89,3,0)*VLOOKUP('Données projet'!$B$16,Paramètres!$A$1:$I$89,5,0)</f>
        <v>81.438239999999979</v>
      </c>
      <c r="FG34" s="13">
        <f t="shared" si="47"/>
        <v>22.488475778344675</v>
      </c>
      <c r="FH34" s="20">
        <f t="shared" si="22"/>
        <v>181.0056966472836</v>
      </c>
      <c r="FI34" s="59">
        <f t="shared" si="23"/>
        <v>459.41917114687249</v>
      </c>
      <c r="FJ34" s="59">
        <f ca="1">AVERAGE(OFFSET($FI$3,0,0,'Données projet'!$E$16+1,1))-AVERAGE(OFFSET($H$3,0,0,'Données projet'!$E$16+1,1))</f>
        <v>422.28024471365825</v>
      </c>
      <c r="FK34" s="59">
        <f t="shared" si="48"/>
        <v>266.49730479813206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0</v>
      </c>
      <c r="FR34" s="21">
        <f>EXP(-LN(2)/25)*FR33+(1-EXP(-LN(2)/25))/(LN(2)/25)*Calculateur!FM34*Calculateur!FO34*VLOOKUP('Données projet'!$B$16,Paramètres!$A$1:$I$89,3,0)*0.475*44/12</f>
        <v>3.2293513801620155</v>
      </c>
      <c r="FS34" s="21">
        <f>EXP(-LN(2)/2)*FS33+(1-EXP(-LN(2)/2))/(LN(2)/2)*FM34*FP34*VLOOKUP('Données projet'!$B$16,Paramètres!$A$1:$I$89,3,0)*0.475*44/12</f>
        <v>4.6783594830569379</v>
      </c>
      <c r="FT34" s="22">
        <f t="shared" si="24"/>
        <v>7.9077108632189539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65.930947590796976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13</v>
      </c>
      <c r="FZ34" s="12">
        <f>IF('Données projet'!$A$244&gt;35,FZ33+FY34-GH33,IF(A34&lt;'Données projet'!$A$244,$FW$205^A34,IF(A34='Données projet'!$A$244,'Données projet'!$B$244,FZ33+FY34-GH33)))</f>
        <v>121</v>
      </c>
      <c r="GA34" s="17">
        <f>FZ34*VLOOKUP('Données projet'!$B$17,Paramètres!$A$1:$I$89,3,0)*VLOOKUP('Données projet'!$B$17,Paramètres!$A$1:$I$89,5,0)</f>
        <v>94.38000000000001</v>
      </c>
      <c r="GB34" s="13">
        <f t="shared" si="49"/>
        <v>25.618636348883211</v>
      </c>
      <c r="GC34" s="20">
        <f t="shared" si="25"/>
        <v>208.99762497430493</v>
      </c>
      <c r="GD34" s="59">
        <f t="shared" si="26"/>
        <v>487.41109947389384</v>
      </c>
      <c r="GE34" s="59">
        <f ca="1">AVERAGE(OFFSET($GD$3,0,0,'Données projet'!$E$17+1,1))-AVERAGE(OFFSET($H$3,0,0,'Données projet'!$E$17+1,1))</f>
        <v>300.95722646933314</v>
      </c>
      <c r="GF34" s="59">
        <f t="shared" si="50"/>
        <v>269.52365224623759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>
        <f>EXP(-LN(2)/35)*GL33+(1-EXP(-LN(2)/35))/(LN(2)/35)*GH34*GI34*VLOOKUP('Données projet'!$B$17,Paramètres!$A$1:$I$89,3,0)*0.475*44/12</f>
        <v>0.87240983591564647</v>
      </c>
      <c r="GM34" s="21">
        <f>EXP(-LN(2)/25)*GM33+(1-EXP(-LN(2)/25))/(LN(2)/25)*Calculateur!GH34*Calculateur!GJ34*VLOOKUP('Données projet'!$B$17,Paramètres!$A$1:$I$89,3,0)*0.475*44/12</f>
        <v>6.0685417738952019</v>
      </c>
      <c r="GN34" s="21">
        <f>EXP(-LN(2)/2)*GN33+(1-EXP(-LN(2)/2))/(LN(2)/2)*GH34*GK34*VLOOKUP('Données projet'!$B$17,Paramètres!$A$1:$I$89,3,0)*0.475*44/12</f>
        <v>6.2642332501430857</v>
      </c>
      <c r="GO34" s="21">
        <f t="shared" si="27"/>
        <v>13.205184859953935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65.930947590796976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1.4000000000000001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5.1333333333333337</v>
      </c>
      <c r="H35" s="67">
        <f t="shared" si="1"/>
        <v>236.13333333333335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66.001536553058301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11</v>
      </c>
      <c r="N35" s="13">
        <f>IF('Données projet'!$A$36&gt;35,N34+M35-V34,IF(A35&lt;'Données projet'!$A$36,$K$205^A35,IF(A35='Données projet'!$A$36,'Données projet'!$B$36,N34+M35-V34)))</f>
        <v>115</v>
      </c>
      <c r="O35" s="13">
        <f>N35*VLOOKUP('Données projet'!$B$9,Paramètres!$A$1:$I$89,3,0)*VLOOKUP('Données projet'!$B$9,Paramètres!$A$1:$I$89,5,0)</f>
        <v>104.05199999999999</v>
      </c>
      <c r="P35" s="13">
        <f t="shared" si="33"/>
        <v>27.925087771564417</v>
      </c>
      <c r="Q35" s="20">
        <f t="shared" ref="Q35:Q66" si="53">(O35+P35)*0.475*44/12</f>
        <v>229.86009453547467</v>
      </c>
      <c r="R35" s="59">
        <f t="shared" si="0"/>
        <v>508.53239523002179</v>
      </c>
      <c r="S35" s="59">
        <f ca="1">AVERAGE(OFFSET($R$3,0,0,'Données projet'!$E$9+1,1))-AVERAGE(OFFSET($H$3,0,0,'Données projet'!$E$9+1,1))</f>
        <v>479.46542424895119</v>
      </c>
      <c r="T35" s="59">
        <f t="shared" si="34"/>
        <v>337.96395820277337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2.3150185261814937</v>
      </c>
      <c r="AA35" s="21">
        <f>EXP(-LN(2)/25)*AA34+(1-EXP(-LN(2)/25))/(LN(2)/25)*Calculateur!V35*Calculateur!X35*VLOOKUP('Données projet'!$B$9,Paramètres!$A$1:$I$89,3,0)*0.475*44/12</f>
        <v>10.674196624418505</v>
      </c>
      <c r="AB35" s="21">
        <f>EXP(-LN(2)/2)*AB34+(1-EXP(-LN(2)/2))/(LN(2)/2)*V35*Y35*VLOOKUP('Données projet'!$B$9,Paramètres!$A$1:$I$89,3,0)*0.475*44/12</f>
        <v>10.776668387053288</v>
      </c>
      <c r="AC35" s="22">
        <f t="shared" si="3"/>
        <v>23.765883537653288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66.001536553058301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11</v>
      </c>
      <c r="AI35" s="13">
        <f>IF('Données projet'!$A$62&gt;35,AI34+AH35-AQ34,IF(A35&lt;'Données projet'!$A$62,$AF$205^A35,IF(A35='Données projet'!$A$62,'Données projet'!$B$62,AI34+AH35-AQ34)))</f>
        <v>115</v>
      </c>
      <c r="AJ35" s="13">
        <f>AI35*VLOOKUP('Données projet'!$B$10,Paramètres!$A$1:$I$89,3,0)*VLOOKUP('Données projet'!$B$10,Paramètres!$A$1:$I$89,5,0)</f>
        <v>111.22799999999999</v>
      </c>
      <c r="AK35" s="13">
        <f t="shared" si="35"/>
        <v>29.620123744783829</v>
      </c>
      <c r="AL35" s="20">
        <f t="shared" si="4"/>
        <v>245.3104821888318</v>
      </c>
      <c r="AM35" s="59">
        <f t="shared" si="5"/>
        <v>523.98278288337895</v>
      </c>
      <c r="AN35" s="59">
        <f ca="1">AVERAGE(OFFSET($AM$3,0,0,'Données projet'!$E$10+1,1))-AVERAGE(OFFSET($H$3,0,0,'Données projet'!$E$10+1,1))</f>
        <v>508.94560627895089</v>
      </c>
      <c r="AO35" s="59">
        <f t="shared" si="36"/>
        <v>357.86868650263034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2.4746749762629761</v>
      </c>
      <c r="AV35" s="21">
        <f>EXP(-LN(2)/25)*AV34+(1-EXP(-LN(2)/25))/(LN(2)/25)*Calculateur!AQ35*Calculateur!AS35*VLOOKUP('Données projet'!$B$10,Paramètres!$A$1:$I$89,3,0)*0.475*44/12</f>
        <v>11.410348115757712</v>
      </c>
      <c r="AW35" s="21">
        <f>EXP(-LN(2)/2)*AW34+(1-EXP(-LN(2)/2))/(LN(2)/2)*AQ35*AT35*VLOOKUP('Données projet'!$B$10,Paramètres!$A$1:$I$89,3,0)*0.475*44/12</f>
        <v>11.519886896505241</v>
      </c>
      <c r="AX35" s="21">
        <f t="shared" si="6"/>
        <v>25.40490998852593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66.001536553058301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11.5</v>
      </c>
      <c r="BD35" s="12">
        <f>IF('Données projet'!$A$88&gt;35,BD34+BC35-BL34,IF(A35&lt;'Données projet'!$A$88,$BA$205^A35,IF(A35='Données projet'!$A$88,'Données projet'!$B$88,BD34+BC35-BL34)))</f>
        <v>178.00000000000006</v>
      </c>
      <c r="BE35" s="13">
        <f>BD35*VLOOKUP('Données projet'!$B$11,Paramètres!$A$1:$I$89,3,0)*VLOOKUP('Données projet'!$B$11,Paramètres!$A$1:$I$89,5,0)</f>
        <v>138.84000000000006</v>
      </c>
      <c r="BF35" s="13">
        <f t="shared" si="37"/>
        <v>36.031137240112955</v>
      </c>
      <c r="BG35" s="20">
        <f t="shared" si="7"/>
        <v>304.56723069319679</v>
      </c>
      <c r="BH35" s="59">
        <f t="shared" si="8"/>
        <v>583.23953138774391</v>
      </c>
      <c r="BI35" s="59">
        <f ca="1">AVERAGE(OFFSET($BH$3,0,0,'Données projet'!$E$11+1,1))-AVERAGE(OFFSET($H$3,0,0,'Données projet'!$E$11+1,1))</f>
        <v>383.03154033422328</v>
      </c>
      <c r="BJ35" s="59">
        <f t="shared" si="38"/>
        <v>373.27897156169877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1.3898664181200473</v>
      </c>
      <c r="BQ35" s="21">
        <f>EXP(-LN(2)/25)*BQ34+(1-EXP(-LN(2)/25))/(LN(2)/25)*Calculateur!BL35*Calculateur!BN35*VLOOKUP('Données projet'!$B$11,Paramètres!$A$1:$I$89,3,0)*0.475*44/12</f>
        <v>7.9191860588191201</v>
      </c>
      <c r="BR35" s="21">
        <f>EXP(-LN(2)/2)*BR34+(1-EXP(-LN(2)/2))/(LN(2)/2)*BL35*BO35*VLOOKUP('Données projet'!$B$11,Paramètres!$A$1:$I$89,3,0)*0.475*44/12</f>
        <v>6.5355897983509159</v>
      </c>
      <c r="BS35" s="22">
        <f t="shared" si="9"/>
        <v>15.844642275290083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66.001536553058301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11</v>
      </c>
      <c r="BY35" s="12">
        <f>IF('Données projet'!$A$114&gt;35,BY34+BX35-CG34,IF(A35&lt;'Données projet'!$A$114,$BV$205^A35,IF(A35='Données projet'!$A$114,'Données projet'!$B$114,BY34+BX35-CG34)))</f>
        <v>115</v>
      </c>
      <c r="BZ35" s="13">
        <f>BY35*VLOOKUP('Données projet'!$B$12,Paramètres!$A$1:$I$89,3,0)*VLOOKUP('Données projet'!$B$12,Paramètres!$A$1:$I$89,5,0)</f>
        <v>96.876000000000005</v>
      </c>
      <c r="CA35" s="13">
        <f t="shared" si="39"/>
        <v>26.21637845945024</v>
      </c>
      <c r="CB35" s="20">
        <f t="shared" si="10"/>
        <v>214.38589248354251</v>
      </c>
      <c r="CC35" s="59">
        <f t="shared" si="11"/>
        <v>493.0581931780896</v>
      </c>
      <c r="CD35" s="59">
        <f ca="1">AVERAGE(OFFSET($CC$3,0,0,'Données projet'!$E$12+1,1))-AVERAGE(OFFSET($H$3,0,0,'Données projet'!$E$12+1,1))</f>
        <v>449.94334483948603</v>
      </c>
      <c r="CE35" s="59">
        <f t="shared" si="40"/>
        <v>318.02929110264176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2.1553620761000118</v>
      </c>
      <c r="CL35" s="21">
        <f>EXP(-LN(2)/25)*CL34+(1-EXP(-LN(2)/25))/(LN(2)/25)*Calculateur!CG35*Calculateur!CI35*VLOOKUP('Données projet'!$B$12,Paramètres!$A$1:$I$89,3,0)*0.475*44/12</f>
        <v>9.9380451330792976</v>
      </c>
      <c r="CM35" s="21">
        <f>EXP(-LN(2)/2)*CM34+(1-EXP(-LN(2)/2))/(LN(2)/2)*CG35*CJ35*VLOOKUP('Données projet'!$B$12,Paramètres!$A$1:$I$89,3,0)*0.475*44/12</f>
        <v>10.03344987760134</v>
      </c>
      <c r="CN35" s="22">
        <f t="shared" si="12"/>
        <v>22.12685708678065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66.001536553058301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10.3</v>
      </c>
      <c r="CT35" s="12">
        <f>IF('Données projet'!$A$140&gt;35,CT34+CS35-DB34,IF(A35&lt;'Données projet'!$A$140,$CQ$205^A35,IF(A35='Données projet'!$A$140,'Données projet'!$B$140,CT34+CS35-DB34)))</f>
        <v>108.59999999999998</v>
      </c>
      <c r="CU35" s="17">
        <f>CT35*VLOOKUP('Données projet'!$B$13,Paramètres!$A$1:$I$89,3,0)*VLOOKUP('Données projet'!$B$13,Paramètres!$A$1:$I$89,5,0)</f>
        <v>93.178799999999995</v>
      </c>
      <c r="CV35" s="13">
        <f t="shared" si="41"/>
        <v>25.330319399438384</v>
      </c>
      <c r="CW35" s="20">
        <f t="shared" si="13"/>
        <v>206.40338295402182</v>
      </c>
      <c r="CX35" s="59">
        <f t="shared" si="14"/>
        <v>485.07568364856894</v>
      </c>
      <c r="CY35" s="59">
        <f ca="1">AVERAGE(OFFSET($CX$3,0,0,'Données projet'!$E$13+1,1))-AVERAGE(OFFSET($H$3,0,0,'Données projet'!$E$13+1,1))</f>
        <v>565.32667500225568</v>
      </c>
      <c r="CZ35" s="59">
        <f t="shared" si="42"/>
        <v>275.06957234480944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4.1449811805538888</v>
      </c>
      <c r="DH35" s="21">
        <f>EXP(-LN(2)/2)*DH34+(1-EXP(-LN(2)/2))/(LN(2)/2)*DB35*DE35*VLOOKUP('Données projet'!$B$13,Paramètres!$A$1:$I$89,3,0)*0.475*44/12</f>
        <v>3.5417641556999766</v>
      </c>
      <c r="DI35" s="22">
        <f t="shared" si="15"/>
        <v>7.6867453362538658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66.001536553058301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26.8</v>
      </c>
      <c r="DO35" s="12">
        <f>IF('Données projet'!$A$166&gt;35,DO34+DN35-DW34,IF(A35&lt;'Données projet'!$A$166,$DL$205^A35,IF(A35='Données projet'!$A$166,'Données projet'!$B$166,DO34+DN35-DW34)))</f>
        <v>312.60000000000002</v>
      </c>
      <c r="DP35" s="17">
        <f>DO35*VLOOKUP('Données projet'!$B$14,Paramètres!$A$1:$I$89,3,0)*VLOOKUP('Données projet'!$B$14,Paramètres!$A$1:$I$89,5,0)</f>
        <v>174.74340000000001</v>
      </c>
      <c r="DQ35" s="13">
        <f t="shared" si="43"/>
        <v>44.150679855848523</v>
      </c>
      <c r="DR35" s="20">
        <f t="shared" si="16"/>
        <v>381.24052241560281</v>
      </c>
      <c r="DS35" s="59">
        <f t="shared" si="17"/>
        <v>659.91282311014993</v>
      </c>
      <c r="DT35" s="59">
        <f ca="1">AVERAGE(OFFSET($DS$3,0,0,'Données projet'!$E$14+1,1))-AVERAGE(OFFSET($H$3,0,0,'Données projet'!$E$14+1,1))</f>
        <v>532.64469322244281</v>
      </c>
      <c r="DU35" s="59">
        <f t="shared" si="44"/>
        <v>525.88014011096413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10.976380943101914</v>
      </c>
      <c r="EB35" s="21">
        <f>EXP(-LN(2)/25)*EB34+(1-EXP(-LN(2)/25))/(LN(2)/25)*Calculateur!DW35*Calculateur!DY35*VLOOKUP('Données projet'!$B$14,Paramètres!$A$1:$I$89,3,0)*0.475*44/12</f>
        <v>36.668636312485958</v>
      </c>
      <c r="EC35" s="21">
        <f>EXP(-LN(2)/2)*EC34+(1-EXP(-LN(2)/2))/(LN(2)/2)*DW35*DZ35*VLOOKUP('Données projet'!$B$14,Paramètres!$A$1:$I$89,3,0)*0.475*44/12</f>
        <v>18.235945677517048</v>
      </c>
      <c r="ED35" s="22">
        <f t="shared" si="18"/>
        <v>65.880962933104925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66.001536553058301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8.1999999999999993</v>
      </c>
      <c r="EJ35" s="12">
        <f>IF('Données projet'!$A$192&gt;35,EJ34+EI35-ER34,IF(A35&lt;'Données projet'!$A$192,$EG$205^A35,IF(A35='Données projet'!$A$192,'Données projet'!$B$192,EJ34+EI35-ER34)))</f>
        <v>92.399999999999977</v>
      </c>
      <c r="EK35" s="17">
        <f>EJ35*VLOOKUP('Données projet'!$B$15,Paramètres!$A$1:$I$89,3,0)*VLOOKUP('Données projet'!$B$15,Paramètres!$A$1:$I$89,5,0)</f>
        <v>83.603519999999975</v>
      </c>
      <c r="EL35" s="13">
        <f t="shared" si="45"/>
        <v>23.015991519299678</v>
      </c>
      <c r="EM35" s="20">
        <f t="shared" si="19"/>
        <v>185.69564922944687</v>
      </c>
      <c r="EN35" s="59">
        <f t="shared" si="20"/>
        <v>464.36794992399399</v>
      </c>
      <c r="EO35" s="59">
        <f ca="1">AVERAGE(OFFSET($EN$3,0,0,'Données projet'!$E$15+1,1))-AVERAGE(OFFSET($H$3,0,0,'Données projet'!$E$15+1,1))</f>
        <v>398.27843768730202</v>
      </c>
      <c r="EP35" s="59">
        <f t="shared" si="46"/>
        <v>252.3617347568813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0</v>
      </c>
      <c r="EW35" s="21">
        <f>EXP(-LN(2)/25)*EW34+(1-EXP(-LN(2)/25))/(LN(2)/25)*Calculateur!ER35*Calculateur!ET35*VLOOKUP('Données projet'!$B$15,Paramètres!$A$1:$I$89,3,0)*0.475*44/12</f>
        <v>2.938396558341001</v>
      </c>
      <c r="EX35" s="21">
        <f>EXP(-LN(2)/2)*EX34+(1-EXP(-LN(2)/2))/(LN(2)/2)*ER35*EU35*VLOOKUP('Données projet'!$B$15,Paramètres!$A$1:$I$89,3,0)*0.475*44/12</f>
        <v>3.0946739272142132</v>
      </c>
      <c r="EY35" s="22">
        <f t="shared" si="21"/>
        <v>6.0330704855552142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66.001536553058301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8.1999999999999993</v>
      </c>
      <c r="FE35" s="12">
        <f>IF('Données projet'!$A$218&gt;35,FE34+FD35-FM34,IF(A35&lt;'Données projet'!$A$218,$FB$205^A35,IF(A35='Données projet'!$A$218,'Données projet'!$B$218,FE34+FD35-FM34)))</f>
        <v>92.399999999999977</v>
      </c>
      <c r="FF35" s="17">
        <f>FE35*VLOOKUP('Données projet'!$B$16,Paramètres!$A$1:$I$89,3,0)*VLOOKUP('Données projet'!$B$16,Paramètres!$A$1:$I$89,5,0)</f>
        <v>89.369279999999975</v>
      </c>
      <c r="FG35" s="13">
        <f t="shared" si="47"/>
        <v>24.413048312949282</v>
      </c>
      <c r="FH35" s="20">
        <f t="shared" si="22"/>
        <v>198.17088847838662</v>
      </c>
      <c r="FI35" s="59">
        <f t="shared" si="23"/>
        <v>476.84318917293376</v>
      </c>
      <c r="FJ35" s="59">
        <f ca="1">AVERAGE(OFFSET($FI$3,0,0,'Données projet'!$E$16+1,1))-AVERAGE(OFFSET($H$3,0,0,'Données projet'!$E$16+1,1))</f>
        <v>422.28024471365825</v>
      </c>
      <c r="FK35" s="59">
        <f t="shared" si="48"/>
        <v>266.49730479813206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0</v>
      </c>
      <c r="FR35" s="21">
        <f>EXP(-LN(2)/25)*FR34+(1-EXP(-LN(2)/25))/(LN(2)/25)*Calculateur!FM35*Calculateur!FO35*VLOOKUP('Données projet'!$B$16,Paramètres!$A$1:$I$89,3,0)*0.475*44/12</f>
        <v>3.1410445968472769</v>
      </c>
      <c r="FS35" s="21">
        <f>EXP(-LN(2)/2)*FS34+(1-EXP(-LN(2)/2))/(LN(2)/2)*FM35*FP35*VLOOKUP('Données projet'!$B$16,Paramètres!$A$1:$I$89,3,0)*0.475*44/12</f>
        <v>3.3080997152979519</v>
      </c>
      <c r="FT35" s="22">
        <f t="shared" si="24"/>
        <v>6.4491443121452292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66.001536553058301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13</v>
      </c>
      <c r="FZ35" s="12">
        <f>IF('Données projet'!$A$244&gt;35,FZ34+FY35-GH34,IF(A35&lt;'Données projet'!$A$244,$FW$205^A35,IF(A35='Données projet'!$A$244,'Données projet'!$B$244,FZ34+FY35-GH34)))</f>
        <v>134</v>
      </c>
      <c r="GA35" s="17">
        <f>FZ35*VLOOKUP('Données projet'!$B$17,Paramètres!$A$1:$I$89,3,0)*VLOOKUP('Données projet'!$B$17,Paramètres!$A$1:$I$89,5,0)</f>
        <v>104.52000000000001</v>
      </c>
      <c r="GB35" s="13">
        <f t="shared" si="49"/>
        <v>28.036039012748962</v>
      </c>
      <c r="GC35" s="20">
        <f t="shared" si="25"/>
        <v>230.86843461387113</v>
      </c>
      <c r="GD35" s="59">
        <f t="shared" si="26"/>
        <v>509.54073530841822</v>
      </c>
      <c r="GE35" s="59">
        <f ca="1">AVERAGE(OFFSET($GD$3,0,0,'Données projet'!$E$17+1,1))-AVERAGE(OFFSET($H$3,0,0,'Données projet'!$E$17+1,1))</f>
        <v>300.95722646933314</v>
      </c>
      <c r="GF35" s="59">
        <f t="shared" si="50"/>
        <v>269.52365224623759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>
        <f>EXP(-LN(2)/35)*GL34+(1-EXP(-LN(2)/35))/(LN(2)/35)*GH35*GI35*VLOOKUP('Données projet'!$B$17,Paramètres!$A$1:$I$89,3,0)*0.475*44/12</f>
        <v>0.8553024111507983</v>
      </c>
      <c r="GM35" s="21">
        <f>EXP(-LN(2)/25)*GM34+(1-EXP(-LN(2)/25))/(LN(2)/25)*Calculateur!GH35*Calculateur!GJ35*VLOOKUP('Données projet'!$B$17,Paramètres!$A$1:$I$89,3,0)*0.475*44/12</f>
        <v>5.9025971799572954</v>
      </c>
      <c r="GN35" s="21">
        <f>EXP(-LN(2)/2)*GN34+(1-EXP(-LN(2)/2))/(LN(2)/2)*GH35*GK35*VLOOKUP('Données projet'!$B$17,Paramètres!$A$1:$I$89,3,0)*0.475*44/12</f>
        <v>4.4294818101104223</v>
      </c>
      <c r="GO35" s="21">
        <f t="shared" si="27"/>
        <v>11.187381401218516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66.001536553058301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1.4000000000000001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5.1333333333333337</v>
      </c>
      <c r="H36" s="67">
        <f t="shared" si="1"/>
        <v>236.13333333333335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66.070900954637665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11</v>
      </c>
      <c r="N36" s="13">
        <f>IF('Données projet'!$A$36&gt;35,N35+M36-V35,IF(A36&lt;'Données projet'!$A$36,$K$205^A36,IF(A36='Données projet'!$A$36,'Données projet'!$B$36,N35+M36-V35)))</f>
        <v>126</v>
      </c>
      <c r="O36" s="13">
        <f>N36*VLOOKUP('Données projet'!$B$9,Paramètres!$A$1:$I$89,3,0)*VLOOKUP('Données projet'!$B$9,Paramètres!$A$1:$I$89,5,0)</f>
        <v>114.0048</v>
      </c>
      <c r="P36" s="13">
        <f t="shared" si="33"/>
        <v>30.272573949217303</v>
      </c>
      <c r="Q36" s="20">
        <f t="shared" si="53"/>
        <v>251.28309296155342</v>
      </c>
      <c r="R36" s="59">
        <f t="shared" si="0"/>
        <v>530.20972979522492</v>
      </c>
      <c r="S36" s="59">
        <f ca="1">AVERAGE(OFFSET($R$3,0,0,'Données projet'!$E$9+1,1))-AVERAGE(OFFSET($H$3,0,0,'Données projet'!$E$9+1,1))</f>
        <v>479.46542424895119</v>
      </c>
      <c r="T36" s="59">
        <f t="shared" si="34"/>
        <v>337.96395820277337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2.2696224249049499</v>
      </c>
      <c r="AA36" s="21">
        <f>EXP(-LN(2)/25)*AA35+(1-EXP(-LN(2)/25))/(LN(2)/25)*Calculateur!V36*Calculateur!X36*VLOOKUP('Données projet'!$B$9,Paramètres!$A$1:$I$89,3,0)*0.475*44/12</f>
        <v>10.382310156392176</v>
      </c>
      <c r="AB36" s="21">
        <f>EXP(-LN(2)/2)*AB35+(1-EXP(-LN(2)/2))/(LN(2)/2)*V36*Y36*VLOOKUP('Données projet'!$B$9,Paramètres!$A$1:$I$89,3,0)*0.475*44/12</f>
        <v>7.6202552950840738</v>
      </c>
      <c r="AC36" s="22">
        <f t="shared" si="3"/>
        <v>20.272187876381199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66.070900954637665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11</v>
      </c>
      <c r="AI36" s="13">
        <f>IF('Données projet'!$A$62&gt;35,AI35+AH36-AQ35,IF(A36&lt;'Données projet'!$A$62,$AF$205^A36,IF(A36='Données projet'!$A$62,'Données projet'!$B$62,AI35+AH36-AQ35)))</f>
        <v>126</v>
      </c>
      <c r="AJ36" s="13">
        <f>AI36*VLOOKUP('Données projet'!$B$10,Paramètres!$A$1:$I$89,3,0)*VLOOKUP('Données projet'!$B$10,Paramètres!$A$1:$I$89,5,0)</f>
        <v>121.86720000000001</v>
      </c>
      <c r="AK36" s="13">
        <f t="shared" si="35"/>
        <v>32.110100916567376</v>
      </c>
      <c r="AL36" s="20">
        <f t="shared" si="4"/>
        <v>268.17713242968824</v>
      </c>
      <c r="AM36" s="59">
        <f t="shared" si="5"/>
        <v>547.10376926335971</v>
      </c>
      <c r="AN36" s="59">
        <f ca="1">AVERAGE(OFFSET($AM$3,0,0,'Données projet'!$E$10+1,1))-AVERAGE(OFFSET($H$3,0,0,'Données projet'!$E$10+1,1))</f>
        <v>508.94560627895089</v>
      </c>
      <c r="AO36" s="59">
        <f t="shared" si="36"/>
        <v>357.86868650263034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2.4261481093811534</v>
      </c>
      <c r="AV36" s="21">
        <f>EXP(-LN(2)/25)*AV35+(1-EXP(-LN(2)/25))/(LN(2)/25)*Calculateur!AQ36*Calculateur!AS36*VLOOKUP('Données projet'!$B$10,Paramètres!$A$1:$I$89,3,0)*0.475*44/12</f>
        <v>11.098331546488188</v>
      </c>
      <c r="AW36" s="21">
        <f>EXP(-LN(2)/2)*AW35+(1-EXP(-LN(2)/2))/(LN(2)/2)*AQ36*AT36*VLOOKUP('Données projet'!$B$10,Paramètres!$A$1:$I$89,3,0)*0.475*44/12</f>
        <v>8.1457901430209088</v>
      </c>
      <c r="AX36" s="21">
        <f t="shared" si="6"/>
        <v>21.670269798890253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66.070900954637665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11.5</v>
      </c>
      <c r="BD36" s="12">
        <f>IF('Données projet'!$A$88&gt;35,BD35+BC36-BL35,IF(A36&lt;'Données projet'!$A$88,$BA$205^A36,IF(A36='Données projet'!$A$88,'Données projet'!$B$88,BD35+BC36-BL35)))</f>
        <v>189.50000000000006</v>
      </c>
      <c r="BE36" s="13">
        <f>BD36*VLOOKUP('Données projet'!$B$11,Paramètres!$A$1:$I$89,3,0)*VLOOKUP('Données projet'!$B$11,Paramètres!$A$1:$I$89,5,0)</f>
        <v>147.81000000000006</v>
      </c>
      <c r="BF36" s="13">
        <f t="shared" si="37"/>
        <v>38.080475053580983</v>
      </c>
      <c r="BG36" s="20">
        <f t="shared" si="7"/>
        <v>323.75924405165364</v>
      </c>
      <c r="BH36" s="59">
        <f t="shared" si="8"/>
        <v>602.6858808853251</v>
      </c>
      <c r="BI36" s="59">
        <f ca="1">AVERAGE(OFFSET($BH$3,0,0,'Données projet'!$E$11+1,1))-AVERAGE(OFFSET($H$3,0,0,'Données projet'!$E$11+1,1))</f>
        <v>383.03154033422328</v>
      </c>
      <c r="BJ36" s="59">
        <f t="shared" si="38"/>
        <v>373.27897156169877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1.3626119853955214</v>
      </c>
      <c r="BQ36" s="21">
        <f>EXP(-LN(2)/25)*BQ35+(1-EXP(-LN(2)/25))/(LN(2)/25)*Calculateur!BL36*Calculateur!BN36*VLOOKUP('Données projet'!$B$11,Paramètres!$A$1:$I$89,3,0)*0.475*44/12</f>
        <v>7.7026354995888155</v>
      </c>
      <c r="BR36" s="21">
        <f>EXP(-LN(2)/2)*BR35+(1-EXP(-LN(2)/2))/(LN(2)/2)*BL36*BO36*VLOOKUP('Données projet'!$B$11,Paramètres!$A$1:$I$89,3,0)*0.475*44/12</f>
        <v>4.6213598654675536</v>
      </c>
      <c r="BS36" s="22">
        <f t="shared" si="9"/>
        <v>13.68660735045189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66.070900954637665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11</v>
      </c>
      <c r="BY36" s="12">
        <f>IF('Données projet'!$A$114&gt;35,BY35+BX36-CG35,IF(A36&lt;'Données projet'!$A$114,$BV$205^A36,IF(A36='Données projet'!$A$114,'Données projet'!$B$114,BY35+BX36-CG35)))</f>
        <v>126</v>
      </c>
      <c r="BZ36" s="13">
        <f>BY36*VLOOKUP('Données projet'!$B$12,Paramètres!$A$1:$I$89,3,0)*VLOOKUP('Données projet'!$B$12,Paramètres!$A$1:$I$89,5,0)</f>
        <v>106.14240000000001</v>
      </c>
      <c r="CA36" s="13">
        <f t="shared" si="39"/>
        <v>28.420224211524975</v>
      </c>
      <c r="CB36" s="20">
        <f t="shared" si="10"/>
        <v>234.36323716840602</v>
      </c>
      <c r="CC36" s="59">
        <f t="shared" si="11"/>
        <v>513.28987400207745</v>
      </c>
      <c r="CD36" s="59">
        <f ca="1">AVERAGE(OFFSET($CC$3,0,0,'Données projet'!$E$12+1,1))-AVERAGE(OFFSET($H$3,0,0,'Données projet'!$E$12+1,1))</f>
        <v>449.94334483948603</v>
      </c>
      <c r="CE36" s="59">
        <f t="shared" si="40"/>
        <v>318.02929110264176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2.1130967404287468</v>
      </c>
      <c r="CL36" s="21">
        <f>EXP(-LN(2)/25)*CL35+(1-EXP(-LN(2)/25))/(LN(2)/25)*Calculateur!CG36*Calculateur!CI36*VLOOKUP('Données projet'!$B$12,Paramètres!$A$1:$I$89,3,0)*0.475*44/12</f>
        <v>9.6662887662961641</v>
      </c>
      <c r="CM36" s="21">
        <f>EXP(-LN(2)/2)*CM35+(1-EXP(-LN(2)/2))/(LN(2)/2)*CG36*CJ36*VLOOKUP('Données projet'!$B$12,Paramètres!$A$1:$I$89,3,0)*0.475*44/12</f>
        <v>7.0947204471472434</v>
      </c>
      <c r="CN36" s="22">
        <f t="shared" si="12"/>
        <v>18.874105953872153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66.070900954637665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10.3</v>
      </c>
      <c r="CT36" s="12">
        <f>IF('Données projet'!$A$140&gt;35,CT35+CS36-DB35,IF(A36&lt;'Données projet'!$A$140,$CQ$205^A36,IF(A36='Données projet'!$A$140,'Données projet'!$B$140,CT35+CS36-DB35)))</f>
        <v>118.89999999999998</v>
      </c>
      <c r="CU36" s="17">
        <f>CT36*VLOOKUP('Données projet'!$B$13,Paramètres!$A$1:$I$89,3,0)*VLOOKUP('Données projet'!$B$13,Paramètres!$A$1:$I$89,5,0)</f>
        <v>102.0162</v>
      </c>
      <c r="CV36" s="13">
        <f t="shared" si="41"/>
        <v>27.441769944974819</v>
      </c>
      <c r="CW36" s="20">
        <f t="shared" si="13"/>
        <v>225.47263098749781</v>
      </c>
      <c r="CX36" s="59">
        <f t="shared" si="14"/>
        <v>504.39926782116925</v>
      </c>
      <c r="CY36" s="59">
        <f ca="1">AVERAGE(OFFSET($CX$3,0,0,'Données projet'!$E$13+1,1))-AVERAGE(OFFSET($H$3,0,0,'Données projet'!$E$13+1,1))</f>
        <v>565.32667500225568</v>
      </c>
      <c r="CZ36" s="59">
        <f t="shared" si="42"/>
        <v>275.06957234480944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4.0316364521965555</v>
      </c>
      <c r="DH36" s="21">
        <f>EXP(-LN(2)/2)*DH35+(1-EXP(-LN(2)/2))/(LN(2)/2)*DB36*DE36*VLOOKUP('Données projet'!$B$13,Paramètres!$A$1:$I$89,3,0)*0.475*44/12</f>
        <v>2.5044054518589007</v>
      </c>
      <c r="DI36" s="22">
        <f t="shared" si="15"/>
        <v>6.5360419040554563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66.070900954637665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26.8</v>
      </c>
      <c r="DO36" s="12">
        <f>IF('Données projet'!$A$166&gt;35,DO35+DN36-DW35,IF(A36&lt;'Données projet'!$A$166,$DL$205^A36,IF(A36='Données projet'!$A$166,'Données projet'!$B$166,DO35+DN36-DW35)))</f>
        <v>339.40000000000003</v>
      </c>
      <c r="DP36" s="17">
        <f>DO36*VLOOKUP('Données projet'!$B$14,Paramètres!$A$1:$I$89,3,0)*VLOOKUP('Données projet'!$B$14,Paramètres!$A$1:$I$89,5,0)</f>
        <v>189.72460000000001</v>
      </c>
      <c r="DQ36" s="13">
        <f t="shared" si="43"/>
        <v>47.479060682252133</v>
      </c>
      <c r="DR36" s="20">
        <f t="shared" si="16"/>
        <v>413.12970902158912</v>
      </c>
      <c r="DS36" s="59">
        <f t="shared" si="17"/>
        <v>692.05634585526059</v>
      </c>
      <c r="DT36" s="59">
        <f ca="1">AVERAGE(OFFSET($DS$3,0,0,'Données projet'!$E$14+1,1))-AVERAGE(OFFSET($H$3,0,0,'Données projet'!$E$14+1,1))</f>
        <v>532.64469322244281</v>
      </c>
      <c r="DU36" s="59">
        <f t="shared" si="44"/>
        <v>525.88014011096413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10.761140807738991</v>
      </c>
      <c r="EB36" s="21">
        <f>EXP(-LN(2)/25)*EB35+(1-EXP(-LN(2)/25))/(LN(2)/25)*Calculateur!DW36*Calculateur!DY36*VLOOKUP('Données projet'!$B$14,Paramètres!$A$1:$I$89,3,0)*0.475*44/12</f>
        <v>35.665930524201251</v>
      </c>
      <c r="EC36" s="21">
        <f>EXP(-LN(2)/2)*EC35+(1-EXP(-LN(2)/2))/(LN(2)/2)*DW36*DZ36*VLOOKUP('Données projet'!$B$14,Paramètres!$A$1:$I$89,3,0)*0.475*44/12</f>
        <v>12.894760849921814</v>
      </c>
      <c r="ED36" s="22">
        <f t="shared" si="18"/>
        <v>59.321832181862057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66.070900954637665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8.1999999999999993</v>
      </c>
      <c r="EJ36" s="12">
        <f>IF('Données projet'!$A$192&gt;35,EJ35+EI36-ER35,IF(A36&lt;'Données projet'!$A$192,$EG$205^A36,IF(A36='Données projet'!$A$192,'Données projet'!$B$192,EJ35+EI36-ER35)))</f>
        <v>100.59999999999998</v>
      </c>
      <c r="EK36" s="17">
        <f>EJ36*VLOOKUP('Données projet'!$B$15,Paramètres!$A$1:$I$89,3,0)*VLOOKUP('Données projet'!$B$15,Paramètres!$A$1:$I$89,5,0)</f>
        <v>91.022879999999972</v>
      </c>
      <c r="EL36" s="13">
        <f t="shared" si="45"/>
        <v>24.811756526220293</v>
      </c>
      <c r="EM36" s="20">
        <f t="shared" si="19"/>
        <v>201.74532528316695</v>
      </c>
      <c r="EN36" s="59">
        <f t="shared" si="20"/>
        <v>480.67196211683842</v>
      </c>
      <c r="EO36" s="59">
        <f ca="1">AVERAGE(OFFSET($EN$3,0,0,'Données projet'!$E$15+1,1))-AVERAGE(OFFSET($H$3,0,0,'Données projet'!$E$15+1,1))</f>
        <v>398.27843768730202</v>
      </c>
      <c r="EP36" s="59">
        <f t="shared" si="46"/>
        <v>252.3617347568813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0</v>
      </c>
      <c r="EW36" s="21">
        <f>EXP(-LN(2)/25)*EW35+(1-EXP(-LN(2)/25))/(LN(2)/25)*Calculateur!ER36*Calculateur!ET36*VLOOKUP('Données projet'!$B$15,Paramètres!$A$1:$I$89,3,0)*0.475*44/12</f>
        <v>2.8580459499296071</v>
      </c>
      <c r="EX36" s="21">
        <f>EXP(-LN(2)/2)*EX35+(1-EXP(-LN(2)/2))/(LN(2)/2)*ER36*EU36*VLOOKUP('Données projet'!$B$15,Paramètres!$A$1:$I$89,3,0)*0.475*44/12</f>
        <v>2.1882649194943746</v>
      </c>
      <c r="EY36" s="22">
        <f t="shared" si="21"/>
        <v>5.0463108694239818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66.070900954637665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8.1999999999999993</v>
      </c>
      <c r="FE36" s="12">
        <f>IF('Données projet'!$A$218&gt;35,FE35+FD36-FM35,IF(A36&lt;'Données projet'!$A$218,$FB$205^A36,IF(A36='Données projet'!$A$218,'Données projet'!$B$218,FE35+FD36-FM35)))</f>
        <v>100.59999999999998</v>
      </c>
      <c r="FF36" s="17">
        <f>FE36*VLOOKUP('Données projet'!$B$16,Paramètres!$A$1:$I$89,3,0)*VLOOKUP('Données projet'!$B$16,Paramètres!$A$1:$I$89,5,0)</f>
        <v>97.300319999999985</v>
      </c>
      <c r="FG36" s="13">
        <f t="shared" si="47"/>
        <v>26.317815171934939</v>
      </c>
      <c r="FH36" s="20">
        <f t="shared" si="22"/>
        <v>215.30158542445329</v>
      </c>
      <c r="FI36" s="59">
        <f t="shared" si="23"/>
        <v>494.22822225812479</v>
      </c>
      <c r="FJ36" s="59">
        <f ca="1">AVERAGE(OFFSET($FI$3,0,0,'Données projet'!$E$16+1,1))-AVERAGE(OFFSET($H$3,0,0,'Données projet'!$E$16+1,1))</f>
        <v>422.28024471365825</v>
      </c>
      <c r="FK36" s="59">
        <f t="shared" si="48"/>
        <v>266.49730479813206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0</v>
      </c>
      <c r="FR36" s="21">
        <f>EXP(-LN(2)/25)*FR35+(1-EXP(-LN(2)/25))/(LN(2)/25)*Calculateur!FM36*Calculateur!FO36*VLOOKUP('Données projet'!$B$16,Paramètres!$A$1:$I$89,3,0)*0.475*44/12</f>
        <v>3.0551525671661315</v>
      </c>
      <c r="FS36" s="21">
        <f>EXP(-LN(2)/2)*FS35+(1-EXP(-LN(2)/2))/(LN(2)/2)*FM36*FP36*VLOOKUP('Données projet'!$B$16,Paramètres!$A$1:$I$89,3,0)*0.475*44/12</f>
        <v>2.339179741528469</v>
      </c>
      <c r="FT36" s="22">
        <f t="shared" si="24"/>
        <v>5.3943323086946009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66.070900954637665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13</v>
      </c>
      <c r="FZ36" s="12">
        <f>IF('Données projet'!$A$244&gt;35,FZ35+FY36-GH35,IF(A36&lt;'Données projet'!$A$244,$FW$205^A36,IF(A36='Données projet'!$A$244,'Données projet'!$B$244,FZ35+FY36-GH35)))</f>
        <v>147</v>
      </c>
      <c r="GA36" s="17">
        <f>FZ36*VLOOKUP('Données projet'!$B$17,Paramètres!$A$1:$I$89,3,0)*VLOOKUP('Données projet'!$B$17,Paramètres!$A$1:$I$89,5,0)</f>
        <v>114.66000000000001</v>
      </c>
      <c r="GB36" s="13">
        <f t="shared" si="49"/>
        <v>30.426251641117418</v>
      </c>
      <c r="GC36" s="20">
        <f t="shared" si="25"/>
        <v>252.69188827494614</v>
      </c>
      <c r="GD36" s="59">
        <f t="shared" si="26"/>
        <v>531.61852510861763</v>
      </c>
      <c r="GE36" s="59">
        <f ca="1">AVERAGE(OFFSET($GD$3,0,0,'Données projet'!$E$17+1,1))-AVERAGE(OFFSET($H$3,0,0,'Données projet'!$E$17+1,1))</f>
        <v>300.95722646933314</v>
      </c>
      <c r="GF36" s="59">
        <f t="shared" si="50"/>
        <v>269.52365224623759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>
        <f>EXP(-LN(2)/35)*GL35+(1-EXP(-LN(2)/35))/(LN(2)/35)*GH36*GI36*VLOOKUP('Données projet'!$B$17,Paramètres!$A$1:$I$89,3,0)*0.475*44/12</f>
        <v>0.83853045255109004</v>
      </c>
      <c r="GM36" s="21">
        <f>EXP(-LN(2)/25)*GM35+(1-EXP(-LN(2)/25))/(LN(2)/25)*Calculateur!GH36*Calculateur!GJ36*VLOOKUP('Données projet'!$B$17,Paramètres!$A$1:$I$89,3,0)*0.475*44/12</f>
        <v>5.741190349667268</v>
      </c>
      <c r="GN36" s="21">
        <f>EXP(-LN(2)/2)*GN35+(1-EXP(-LN(2)/2))/(LN(2)/2)*GH36*GK36*VLOOKUP('Données projet'!$B$17,Paramètres!$A$1:$I$89,3,0)*0.475*44/12</f>
        <v>3.1321166250715429</v>
      </c>
      <c r="GO36" s="21">
        <f t="shared" si="27"/>
        <v>9.7118374272899004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66.070900954637665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1.4000000000000001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5.1333333333333337</v>
      </c>
      <c r="H37" s="67">
        <f t="shared" si="1"/>
        <v>236.13333333333335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66.139062038925189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11</v>
      </c>
      <c r="N37" s="13">
        <f>IF('Données projet'!$A$36&gt;35,N36+M37-V36,IF(A37&lt;'Données projet'!$A$36,$K$205^A37,IF(A37='Données projet'!$A$36,'Données projet'!$B$36,N36+M37-V36)))</f>
        <v>137</v>
      </c>
      <c r="O37" s="13">
        <f>N37*VLOOKUP('Données projet'!$B$9,Paramètres!$A$1:$I$89,3,0)*VLOOKUP('Données projet'!$B$9,Paramètres!$A$1:$I$89,5,0)</f>
        <v>123.9576</v>
      </c>
      <c r="P37" s="13">
        <f t="shared" si="33"/>
        <v>32.59629414926458</v>
      </c>
      <c r="Q37" s="20">
        <f t="shared" si="53"/>
        <v>272.6646989766358</v>
      </c>
      <c r="R37" s="59">
        <f t="shared" si="0"/>
        <v>551.8412597860281</v>
      </c>
      <c r="S37" s="59">
        <f ca="1">AVERAGE(OFFSET($R$3,0,0,'Données projet'!$E$9+1,1))-AVERAGE(OFFSET($H$3,0,0,'Données projet'!$E$9+1,1))</f>
        <v>479.46542424895119</v>
      </c>
      <c r="T37" s="59">
        <f t="shared" si="34"/>
        <v>337.96395820277337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2.2251165134855517</v>
      </c>
      <c r="AA37" s="21">
        <f>EXP(-LN(2)/25)*AA36+(1-EXP(-LN(2)/25))/(LN(2)/25)*Calculateur!V37*Calculateur!X37*VLOOKUP('Données projet'!$B$9,Paramètres!$A$1:$I$89,3,0)*0.475*44/12</f>
        <v>10.098405339183669</v>
      </c>
      <c r="AB37" s="21">
        <f>EXP(-LN(2)/2)*AB36+(1-EXP(-LN(2)/2))/(LN(2)/2)*V37*Y37*VLOOKUP('Données projet'!$B$9,Paramètres!$A$1:$I$89,3,0)*0.475*44/12</f>
        <v>5.3883341935266449</v>
      </c>
      <c r="AC37" s="22">
        <f t="shared" si="3"/>
        <v>17.711856046195866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66.139062038925189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11</v>
      </c>
      <c r="AI37" s="13">
        <f>IF('Données projet'!$A$62&gt;35,AI36+AH37-AQ36,IF(A37&lt;'Données projet'!$A$62,$AF$205^A37,IF(A37='Données projet'!$A$62,'Données projet'!$B$62,AI36+AH37-AQ36)))</f>
        <v>137</v>
      </c>
      <c r="AJ37" s="13">
        <f>AI37*VLOOKUP('Données projet'!$B$10,Paramètres!$A$1:$I$89,3,0)*VLOOKUP('Données projet'!$B$10,Paramètres!$A$1:$I$89,5,0)</f>
        <v>132.50640000000001</v>
      </c>
      <c r="AK37" s="13">
        <f t="shared" si="35"/>
        <v>34.574869530248939</v>
      </c>
      <c r="AL37" s="20">
        <f t="shared" si="4"/>
        <v>290.99987776518356</v>
      </c>
      <c r="AM37" s="59">
        <f t="shared" si="5"/>
        <v>570.17643857457597</v>
      </c>
      <c r="AN37" s="59">
        <f ca="1">AVERAGE(OFFSET($AM$3,0,0,'Données projet'!$E$10+1,1))-AVERAGE(OFFSET($H$3,0,0,'Données projet'!$E$10+1,1))</f>
        <v>508.94560627895089</v>
      </c>
      <c r="AO37" s="59">
        <f t="shared" si="36"/>
        <v>357.86868650263034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2.3785728247604174</v>
      </c>
      <c r="AV37" s="21">
        <f>EXP(-LN(2)/25)*AV36+(1-EXP(-LN(2)/25))/(LN(2)/25)*Calculateur!AQ37*Calculateur!AS37*VLOOKUP('Données projet'!$B$10,Paramètres!$A$1:$I$89,3,0)*0.475*44/12</f>
        <v>10.794847086713578</v>
      </c>
      <c r="AW37" s="21">
        <f>EXP(-LN(2)/2)*AW36+(1-EXP(-LN(2)/2))/(LN(2)/2)*AQ37*AT37*VLOOKUP('Données projet'!$B$10,Paramètres!$A$1:$I$89,3,0)*0.475*44/12</f>
        <v>5.7599434482526215</v>
      </c>
      <c r="AX37" s="21">
        <f t="shared" si="6"/>
        <v>18.933363359726616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66.139062038925189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11.5</v>
      </c>
      <c r="BD37" s="12">
        <f>IF('Données projet'!$A$88&gt;35,BD36+BC37-BL36,IF(A37&lt;'Données projet'!$A$88,$BA$205^A37,IF(A37='Données projet'!$A$88,'Données projet'!$B$88,BD36+BC37-BL36)))</f>
        <v>201.00000000000006</v>
      </c>
      <c r="BE37" s="13">
        <f>BD37*VLOOKUP('Données projet'!$B$11,Paramètres!$A$1:$I$89,3,0)*VLOOKUP('Données projet'!$B$11,Paramètres!$A$1:$I$89,5,0)</f>
        <v>156.78000000000006</v>
      </c>
      <c r="BF37" s="13">
        <f t="shared" si="37"/>
        <v>40.115378305457973</v>
      </c>
      <c r="BG37" s="20">
        <f t="shared" si="7"/>
        <v>342.92611721533939</v>
      </c>
      <c r="BH37" s="59">
        <f t="shared" si="8"/>
        <v>622.10267802473174</v>
      </c>
      <c r="BI37" s="59">
        <f ca="1">AVERAGE(OFFSET($BH$3,0,0,'Données projet'!$E$11+1,1))-AVERAGE(OFFSET($H$3,0,0,'Données projet'!$E$11+1,1))</f>
        <v>383.03154033422328</v>
      </c>
      <c r="BJ37" s="59">
        <f t="shared" si="38"/>
        <v>373.27897156169877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1.335891995473161</v>
      </c>
      <c r="BQ37" s="21">
        <f>EXP(-LN(2)/25)*BQ36+(1-EXP(-LN(2)/25))/(LN(2)/25)*Calculateur!BL37*Calculateur!BN37*VLOOKUP('Données projet'!$B$11,Paramètres!$A$1:$I$89,3,0)*0.475*44/12</f>
        <v>7.4920065267885629</v>
      </c>
      <c r="BR37" s="21">
        <f>EXP(-LN(2)/2)*BR36+(1-EXP(-LN(2)/2))/(LN(2)/2)*BL37*BO37*VLOOKUP('Données projet'!$B$11,Paramètres!$A$1:$I$89,3,0)*0.475*44/12</f>
        <v>3.2677948991754584</v>
      </c>
      <c r="BS37" s="22">
        <f t="shared" si="9"/>
        <v>12.095693421437181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66.139062038925189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11</v>
      </c>
      <c r="BY37" s="12">
        <f>IF('Données projet'!$A$114&gt;35,BY36+BX37-CG36,IF(A37&lt;'Données projet'!$A$114,$BV$205^A37,IF(A37='Données projet'!$A$114,'Données projet'!$B$114,BY36+BX37-CG36)))</f>
        <v>137</v>
      </c>
      <c r="BZ37" s="13">
        <f>BY37*VLOOKUP('Données projet'!$B$12,Paramètres!$A$1:$I$89,3,0)*VLOOKUP('Données projet'!$B$12,Paramètres!$A$1:$I$89,5,0)</f>
        <v>115.40880000000001</v>
      </c>
      <c r="CA37" s="13">
        <f t="shared" si="39"/>
        <v>30.60175820334798</v>
      </c>
      <c r="CB37" s="20">
        <f t="shared" si="10"/>
        <v>254.30172220416441</v>
      </c>
      <c r="CC37" s="59">
        <f t="shared" si="11"/>
        <v>533.47828301355673</v>
      </c>
      <c r="CD37" s="59">
        <f ca="1">AVERAGE(OFFSET($CC$3,0,0,'Données projet'!$E$12+1,1))-AVERAGE(OFFSET($H$3,0,0,'Données projet'!$E$12+1,1))</f>
        <v>449.94334483948603</v>
      </c>
      <c r="CE37" s="59">
        <f t="shared" si="40"/>
        <v>318.02929110264176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2.0716602022106865</v>
      </c>
      <c r="CL37" s="21">
        <f>EXP(-LN(2)/25)*CL36+(1-EXP(-LN(2)/25))/(LN(2)/25)*Calculateur!CG37*Calculateur!CI37*VLOOKUP('Données projet'!$B$12,Paramètres!$A$1:$I$89,3,0)*0.475*44/12</f>
        <v>9.4019635916537627</v>
      </c>
      <c r="CM37" s="21">
        <f>EXP(-LN(2)/2)*CM36+(1-EXP(-LN(2)/2))/(LN(2)/2)*CG37*CJ37*VLOOKUP('Données projet'!$B$12,Paramètres!$A$1:$I$89,3,0)*0.475*44/12</f>
        <v>5.0167249388006709</v>
      </c>
      <c r="CN37" s="22">
        <f t="shared" si="12"/>
        <v>16.490348732665119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66.139062038925189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10.3</v>
      </c>
      <c r="CT37" s="12">
        <f>IF('Données projet'!$A$140&gt;35,CT36+CS37-DB36,IF(A37&lt;'Données projet'!$A$140,$CQ$205^A37,IF(A37='Données projet'!$A$140,'Données projet'!$B$140,CT36+CS37-DB36)))</f>
        <v>129.19999999999999</v>
      </c>
      <c r="CU37" s="17">
        <f>CT37*VLOOKUP('Données projet'!$B$13,Paramètres!$A$1:$I$89,3,0)*VLOOKUP('Données projet'!$B$13,Paramètres!$A$1:$I$89,5,0)</f>
        <v>110.85360000000001</v>
      </c>
      <c r="CV37" s="13">
        <f t="shared" si="41"/>
        <v>29.532008821728414</v>
      </c>
      <c r="CW37" s="20">
        <f t="shared" si="13"/>
        <v>244.50493536451032</v>
      </c>
      <c r="CX37" s="59">
        <f t="shared" si="14"/>
        <v>523.6814961739027</v>
      </c>
      <c r="CY37" s="59">
        <f ca="1">AVERAGE(OFFSET($CX$3,0,0,'Données projet'!$E$13+1,1))-AVERAGE(OFFSET($H$3,0,0,'Données projet'!$E$13+1,1))</f>
        <v>565.32667500225568</v>
      </c>
      <c r="CZ37" s="59">
        <f t="shared" si="42"/>
        <v>275.06957234480944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3.9213911413966942</v>
      </c>
      <c r="DH37" s="21">
        <f>EXP(-LN(2)/2)*DH36+(1-EXP(-LN(2)/2))/(LN(2)/2)*DB37*DE37*VLOOKUP('Données projet'!$B$13,Paramètres!$A$1:$I$89,3,0)*0.475*44/12</f>
        <v>1.7708820778499885</v>
      </c>
      <c r="DI37" s="22">
        <f t="shared" si="15"/>
        <v>5.6922732192466832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66.139062038925189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26.8</v>
      </c>
      <c r="DO37" s="12">
        <f>IF('Données projet'!$A$166&gt;35,DO36+DN37-DW36,IF(A37&lt;'Données projet'!$A$166,$DL$205^A37,IF(A37='Données projet'!$A$166,'Données projet'!$B$166,DO36+DN37-DW36)))</f>
        <v>366.20000000000005</v>
      </c>
      <c r="DP37" s="17">
        <f>DO37*VLOOKUP('Données projet'!$B$14,Paramètres!$A$1:$I$89,3,0)*VLOOKUP('Données projet'!$B$14,Paramètres!$A$1:$I$89,5,0)</f>
        <v>204.70580000000001</v>
      </c>
      <c r="DQ37" s="13">
        <f t="shared" si="43"/>
        <v>50.776956172604578</v>
      </c>
      <c r="DR37" s="20">
        <f t="shared" si="16"/>
        <v>444.96580033395298</v>
      </c>
      <c r="DS37" s="59">
        <f t="shared" si="17"/>
        <v>724.1423611433454</v>
      </c>
      <c r="DT37" s="59">
        <f ca="1">AVERAGE(OFFSET($DS$3,0,0,'Données projet'!$E$14+1,1))-AVERAGE(OFFSET($H$3,0,0,'Données projet'!$E$14+1,1))</f>
        <v>532.64469322244281</v>
      </c>
      <c r="DU37" s="59">
        <f t="shared" si="44"/>
        <v>525.88014011096413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10.550121400147017</v>
      </c>
      <c r="EB37" s="21">
        <f>EXP(-LN(2)/25)*EB36+(1-EXP(-LN(2)/25))/(LN(2)/25)*Calculateur!DW37*Calculateur!DY37*VLOOKUP('Données projet'!$B$14,Paramètres!$A$1:$I$89,3,0)*0.475*44/12</f>
        <v>34.690643778427194</v>
      </c>
      <c r="EC37" s="21">
        <f>EXP(-LN(2)/2)*EC36+(1-EXP(-LN(2)/2))/(LN(2)/2)*DW37*DZ37*VLOOKUP('Données projet'!$B$14,Paramètres!$A$1:$I$89,3,0)*0.475*44/12</f>
        <v>9.1179728387585239</v>
      </c>
      <c r="ED37" s="22">
        <f t="shared" si="18"/>
        <v>54.358738017332733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66.139062038925189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8.1999999999999993</v>
      </c>
      <c r="EJ37" s="12">
        <f>IF('Données projet'!$A$192&gt;35,EJ36+EI37-ER36,IF(A37&lt;'Données projet'!$A$192,$EG$205^A37,IF(A37='Données projet'!$A$192,'Données projet'!$B$192,EJ36+EI37-ER36)))</f>
        <v>108.79999999999998</v>
      </c>
      <c r="EK37" s="17">
        <f>EJ37*VLOOKUP('Données projet'!$B$15,Paramètres!$A$1:$I$89,3,0)*VLOOKUP('Données projet'!$B$15,Paramètres!$A$1:$I$89,5,0)</f>
        <v>98.442239999999984</v>
      </c>
      <c r="EL37" s="13">
        <f t="shared" si="45"/>
        <v>26.590544283900247</v>
      </c>
      <c r="EM37" s="20">
        <f t="shared" si="19"/>
        <v>217.76543262779288</v>
      </c>
      <c r="EN37" s="59">
        <f t="shared" si="20"/>
        <v>496.94199343718526</v>
      </c>
      <c r="EO37" s="59">
        <f ca="1">AVERAGE(OFFSET($EN$3,0,0,'Données projet'!$E$15+1,1))-AVERAGE(OFFSET($H$3,0,0,'Données projet'!$E$15+1,1))</f>
        <v>398.27843768730202</v>
      </c>
      <c r="EP37" s="59">
        <f t="shared" si="46"/>
        <v>252.3617347568813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0</v>
      </c>
      <c r="EW37" s="21">
        <f>EXP(-LN(2)/25)*EW36+(1-EXP(-LN(2)/25))/(LN(2)/25)*Calculateur!ER37*Calculateur!ET37*VLOOKUP('Données projet'!$B$15,Paramètres!$A$1:$I$89,3,0)*0.475*44/12</f>
        <v>2.7798925331306776</v>
      </c>
      <c r="EX37" s="21">
        <f>EXP(-LN(2)/2)*EX36+(1-EXP(-LN(2)/2))/(LN(2)/2)*ER37*EU37*VLOOKUP('Données projet'!$B$15,Paramètres!$A$1:$I$89,3,0)*0.475*44/12</f>
        <v>1.5473369636071068</v>
      </c>
      <c r="EY37" s="22">
        <f t="shared" si="21"/>
        <v>4.3272294967377842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66.139062038925189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8.1999999999999993</v>
      </c>
      <c r="FE37" s="12">
        <f>IF('Données projet'!$A$218&gt;35,FE36+FD37-FM36,IF(A37&lt;'Données projet'!$A$218,$FB$205^A37,IF(A37='Données projet'!$A$218,'Données projet'!$B$218,FE36+FD37-FM36)))</f>
        <v>108.79999999999998</v>
      </c>
      <c r="FF37" s="17">
        <f>FE37*VLOOKUP('Données projet'!$B$16,Paramètres!$A$1:$I$89,3,0)*VLOOKUP('Données projet'!$B$16,Paramètres!$A$1:$I$89,5,0)</f>
        <v>105.23135999999998</v>
      </c>
      <c r="FG37" s="13">
        <f t="shared" si="47"/>
        <v>28.204574272897808</v>
      </c>
      <c r="FH37" s="20">
        <f t="shared" si="22"/>
        <v>232.40091885863032</v>
      </c>
      <c r="FI37" s="59">
        <f t="shared" si="23"/>
        <v>511.57747966802265</v>
      </c>
      <c r="FJ37" s="59">
        <f ca="1">AVERAGE(OFFSET($FI$3,0,0,'Données projet'!$E$16+1,1))-AVERAGE(OFFSET($H$3,0,0,'Données projet'!$E$16+1,1))</f>
        <v>422.28024471365825</v>
      </c>
      <c r="FK37" s="59">
        <f t="shared" si="48"/>
        <v>266.49730479813206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0</v>
      </c>
      <c r="FR37" s="21">
        <f>EXP(-LN(2)/25)*FR36+(1-EXP(-LN(2)/25))/(LN(2)/25)*Calculateur!FM37*Calculateur!FO37*VLOOKUP('Données projet'!$B$16,Paramètres!$A$1:$I$89,3,0)*0.475*44/12</f>
        <v>2.9716092595534827</v>
      </c>
      <c r="FS37" s="21">
        <f>EXP(-LN(2)/2)*FS36+(1-EXP(-LN(2)/2))/(LN(2)/2)*FM37*FP37*VLOOKUP('Données projet'!$B$16,Paramètres!$A$1:$I$89,3,0)*0.475*44/12</f>
        <v>1.6540498576489759</v>
      </c>
      <c r="FT37" s="22">
        <f t="shared" si="24"/>
        <v>4.6256591172024581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66.139062038925189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13</v>
      </c>
      <c r="FZ37" s="12">
        <f>IF('Données projet'!$A$244&gt;35,FZ36+FY37-GH36,IF(A37&lt;'Données projet'!$A$244,$FW$205^A37,IF(A37='Données projet'!$A$244,'Données projet'!$B$244,FZ36+FY37-GH36)))</f>
        <v>160</v>
      </c>
      <c r="GA37" s="17">
        <f>FZ37*VLOOKUP('Données projet'!$B$17,Paramètres!$A$1:$I$89,3,0)*VLOOKUP('Données projet'!$B$17,Paramètres!$A$1:$I$89,5,0)</f>
        <v>124.80000000000001</v>
      </c>
      <c r="GB37" s="13">
        <f t="shared" si="49"/>
        <v>32.791952217579265</v>
      </c>
      <c r="GC37" s="20">
        <f t="shared" si="25"/>
        <v>274.47265011228387</v>
      </c>
      <c r="GD37" s="59">
        <f t="shared" si="26"/>
        <v>553.64921092167629</v>
      </c>
      <c r="GE37" s="59">
        <f ca="1">AVERAGE(OFFSET($GD$3,0,0,'Données projet'!$E$17+1,1))-AVERAGE(OFFSET($H$3,0,0,'Données projet'!$E$17+1,1))</f>
        <v>300.95722646933314</v>
      </c>
      <c r="GF37" s="59">
        <f t="shared" si="50"/>
        <v>269.52365224623759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>
        <f>EXP(-LN(2)/35)*GL36+(1-EXP(-LN(2)/35))/(LN(2)/35)*GH37*GI37*VLOOKUP('Données projet'!$B$17,Paramètres!$A$1:$I$89,3,0)*0.475*44/12</f>
        <v>0.82208738182963748</v>
      </c>
      <c r="GM37" s="21">
        <f>EXP(-LN(2)/25)*GM36+(1-EXP(-LN(2)/25))/(LN(2)/25)*Calculateur!GH37*Calculateur!GJ37*VLOOKUP('Données projet'!$B$17,Paramètres!$A$1:$I$89,3,0)*0.475*44/12</f>
        <v>5.5841971976395381</v>
      </c>
      <c r="GN37" s="21">
        <f>EXP(-LN(2)/2)*GN36+(1-EXP(-LN(2)/2))/(LN(2)/2)*GH37*GK37*VLOOKUP('Données projet'!$B$17,Paramètres!$A$1:$I$89,3,0)*0.475*44/12</f>
        <v>2.2147409050552112</v>
      </c>
      <c r="GO37" s="21">
        <f t="shared" si="27"/>
        <v>8.6210254845243881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66.139062038925189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1.4000000000000001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5.1333333333333337</v>
      </c>
      <c r="H38" s="67">
        <f t="shared" si="1"/>
        <v>236.13333333333335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66.206040680785691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11</v>
      </c>
      <c r="N38" s="13">
        <f>IF('Données projet'!$A$36&gt;35,N37+M38-V37,IF(A38&lt;'Données projet'!$A$36,$K$205^A38,IF(A38='Données projet'!$A$36,'Données projet'!$B$36,N37+M38-V37)))</f>
        <v>148</v>
      </c>
      <c r="O38" s="13">
        <f>N38*VLOOKUP('Données projet'!$B$9,Paramètres!$A$1:$I$89,3,0)*VLOOKUP('Données projet'!$B$9,Paramètres!$A$1:$I$89,5,0)</f>
        <v>133.91039999999998</v>
      </c>
      <c r="P38" s="13">
        <f t="shared" si="33"/>
        <v>34.898373535125089</v>
      </c>
      <c r="Q38" s="20">
        <f t="shared" si="53"/>
        <v>294.00861390700948</v>
      </c>
      <c r="R38" s="59">
        <f t="shared" si="0"/>
        <v>573.43076306989042</v>
      </c>
      <c r="S38" s="59">
        <f ca="1">AVERAGE(OFFSET($R$3,0,0,'Données projet'!$E$9+1,1))-AVERAGE(OFFSET($H$3,0,0,'Données projet'!$E$9+1,1))</f>
        <v>479.46542424895119</v>
      </c>
      <c r="T38" s="59">
        <f t="shared" si="34"/>
        <v>337.96395820277337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2.1814833358431622</v>
      </c>
      <c r="AA38" s="21">
        <f>EXP(-LN(2)/25)*AA37+(1-EXP(-LN(2)/25))/(LN(2)/25)*Calculateur!V38*Calculateur!X38*VLOOKUP('Données projet'!$B$9,Paramètres!$A$1:$I$89,3,0)*0.475*44/12</f>
        <v>9.8222639141316357</v>
      </c>
      <c r="AB38" s="21">
        <f>EXP(-LN(2)/2)*AB37+(1-EXP(-LN(2)/2))/(LN(2)/2)*V38*Y38*VLOOKUP('Données projet'!$B$9,Paramètres!$A$1:$I$89,3,0)*0.475*44/12</f>
        <v>3.8101276475420374</v>
      </c>
      <c r="AC38" s="22">
        <f t="shared" si="3"/>
        <v>15.813874897516834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66.206040680785691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11</v>
      </c>
      <c r="AI38" s="13">
        <f>IF('Données projet'!$A$62&gt;35,AI37+AH38-AQ37,IF(A38&lt;'Données projet'!$A$62,$AF$205^A38,IF(A38='Données projet'!$A$62,'Données projet'!$B$62,AI37+AH38-AQ37)))</f>
        <v>148</v>
      </c>
      <c r="AJ38" s="13">
        <f>AI38*VLOOKUP('Données projet'!$B$10,Paramètres!$A$1:$I$89,3,0)*VLOOKUP('Données projet'!$B$10,Paramètres!$A$1:$I$89,5,0)</f>
        <v>143.1456</v>
      </c>
      <c r="AK38" s="13">
        <f t="shared" si="35"/>
        <v>37.01668374538415</v>
      </c>
      <c r="AL38" s="20">
        <f t="shared" si="4"/>
        <v>313.78264418987732</v>
      </c>
      <c r="AM38" s="59">
        <f t="shared" si="5"/>
        <v>593.2047933527582</v>
      </c>
      <c r="AN38" s="59">
        <f ca="1">AVERAGE(OFFSET($AM$3,0,0,'Données projet'!$E$10+1,1))-AVERAGE(OFFSET($H$3,0,0,'Données projet'!$E$10+1,1))</f>
        <v>508.94560627895089</v>
      </c>
      <c r="AO38" s="59">
        <f t="shared" si="36"/>
        <v>357.86868650263034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2.3319304624530357</v>
      </c>
      <c r="AV38" s="21">
        <f>EXP(-LN(2)/25)*AV37+(1-EXP(-LN(2)/25))/(LN(2)/25)*Calculateur!AQ38*Calculateur!AS38*VLOOKUP('Données projet'!$B$10,Paramètres!$A$1:$I$89,3,0)*0.475*44/12</f>
        <v>10.499661425451059</v>
      </c>
      <c r="AW38" s="21">
        <f>EXP(-LN(2)/2)*AW37+(1-EXP(-LN(2)/2))/(LN(2)/2)*AQ38*AT38*VLOOKUP('Données projet'!$B$10,Paramètres!$A$1:$I$89,3,0)*0.475*44/12</f>
        <v>4.0728950715104544</v>
      </c>
      <c r="AX38" s="21">
        <f t="shared" si="6"/>
        <v>16.904486959414548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66.206040680785691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11.5</v>
      </c>
      <c r="BD38" s="12">
        <f>IF('Données projet'!$A$88&gt;35,BD37+BC38-BL37,IF(A38&lt;'Données projet'!$A$88,$BA$205^A38,IF(A38='Données projet'!$A$88,'Données projet'!$B$88,BD37+BC38-BL37)))</f>
        <v>212.50000000000006</v>
      </c>
      <c r="BE38" s="13">
        <f>BD38*VLOOKUP('Données projet'!$B$11,Paramètres!$A$1:$I$89,3,0)*VLOOKUP('Données projet'!$B$11,Paramètres!$A$1:$I$89,5,0)</f>
        <v>165.75000000000006</v>
      </c>
      <c r="BF38" s="13">
        <f t="shared" si="37"/>
        <v>42.136766952193284</v>
      </c>
      <c r="BG38" s="20">
        <f t="shared" si="7"/>
        <v>362.06945244173676</v>
      </c>
      <c r="BH38" s="59">
        <f t="shared" si="8"/>
        <v>641.4916016046177</v>
      </c>
      <c r="BI38" s="59">
        <f ca="1">AVERAGE(OFFSET($BH$3,0,0,'Données projet'!$E$11+1,1))-AVERAGE(OFFSET($H$3,0,0,'Données projet'!$E$11+1,1))</f>
        <v>383.03154033422328</v>
      </c>
      <c r="BJ38" s="59">
        <f t="shared" si="38"/>
        <v>373.27897156169877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1.3096959682555933</v>
      </c>
      <c r="BQ38" s="21">
        <f>EXP(-LN(2)/25)*BQ37+(1-EXP(-LN(2)/25))/(LN(2)/25)*Calculateur!BL38*Calculateur!BN38*VLOOKUP('Données projet'!$B$11,Paramètres!$A$1:$I$89,3,0)*0.475*44/12</f>
        <v>7.2871372143260293</v>
      </c>
      <c r="BR38" s="21">
        <f>EXP(-LN(2)/2)*BR37+(1-EXP(-LN(2)/2))/(LN(2)/2)*BL38*BO38*VLOOKUP('Données projet'!$B$11,Paramètres!$A$1:$I$89,3,0)*0.475*44/12</f>
        <v>2.3106799327337773</v>
      </c>
      <c r="BS38" s="22">
        <f t="shared" si="9"/>
        <v>10.9075131153154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66.206040680785691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11</v>
      </c>
      <c r="BY38" s="12">
        <f>IF('Données projet'!$A$114&gt;35,BY37+BX38-CG37,IF(A38&lt;'Données projet'!$A$114,$BV$205^A38,IF(A38='Données projet'!$A$114,'Données projet'!$B$114,BY37+BX38-CG37)))</f>
        <v>148</v>
      </c>
      <c r="BZ38" s="13">
        <f>BY38*VLOOKUP('Données projet'!$B$12,Paramètres!$A$1:$I$89,3,0)*VLOOKUP('Données projet'!$B$12,Paramètres!$A$1:$I$89,5,0)</f>
        <v>124.6752</v>
      </c>
      <c r="CA38" s="13">
        <f t="shared" si="39"/>
        <v>32.762975561628714</v>
      </c>
      <c r="CB38" s="20">
        <f t="shared" si="10"/>
        <v>274.20482243650338</v>
      </c>
      <c r="CC38" s="59">
        <f t="shared" si="11"/>
        <v>553.62697159938421</v>
      </c>
      <c r="CD38" s="59">
        <f ca="1">AVERAGE(OFFSET($CC$3,0,0,'Données projet'!$E$12+1,1))-AVERAGE(OFFSET($H$3,0,0,'Données projet'!$E$12+1,1))</f>
        <v>449.94334483948603</v>
      </c>
      <c r="CE38" s="59">
        <f t="shared" si="40"/>
        <v>318.02929110264176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2.0310362092332892</v>
      </c>
      <c r="CL38" s="21">
        <f>EXP(-LN(2)/25)*CL37+(1-EXP(-LN(2)/25))/(LN(2)/25)*Calculateur!CG38*Calculateur!CI38*VLOOKUP('Données projet'!$B$12,Paramètres!$A$1:$I$89,3,0)*0.475*44/12</f>
        <v>9.1448664028122142</v>
      </c>
      <c r="CM38" s="21">
        <f>EXP(-LN(2)/2)*CM37+(1-EXP(-LN(2)/2))/(LN(2)/2)*CG38*CJ38*VLOOKUP('Données projet'!$B$12,Paramètres!$A$1:$I$89,3,0)*0.475*44/12</f>
        <v>3.5473602235736221</v>
      </c>
      <c r="CN38" s="22">
        <f t="shared" si="12"/>
        <v>14.723262835619124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66.206040680785691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10.3</v>
      </c>
      <c r="CT38" s="12">
        <f>IF('Données projet'!$A$140&gt;35,CT37+CS38-DB37,IF(A38&lt;'Données projet'!$A$140,$CQ$205^A38,IF(A38='Données projet'!$A$140,'Données projet'!$B$140,CT37+CS38-DB37)))</f>
        <v>139.5</v>
      </c>
      <c r="CU38" s="17">
        <f>CT38*VLOOKUP('Données projet'!$B$13,Paramètres!$A$1:$I$89,3,0)*VLOOKUP('Données projet'!$B$13,Paramètres!$A$1:$I$89,5,0)</f>
        <v>119.69100000000002</v>
      </c>
      <c r="CV38" s="13">
        <f t="shared" si="41"/>
        <v>31.602919307468341</v>
      </c>
      <c r="CW38" s="20">
        <f t="shared" si="13"/>
        <v>263.50357612717397</v>
      </c>
      <c r="CX38" s="59">
        <f t="shared" si="14"/>
        <v>542.92572529005486</v>
      </c>
      <c r="CY38" s="59">
        <f ca="1">AVERAGE(OFFSET($CX$3,0,0,'Données projet'!$E$13+1,1))-AVERAGE(OFFSET($H$3,0,0,'Données projet'!$E$13+1,1))</f>
        <v>565.32667500225568</v>
      </c>
      <c r="CZ38" s="59">
        <f t="shared" si="42"/>
        <v>275.06957234480944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3.8141604944182039</v>
      </c>
      <c r="DH38" s="21">
        <f>EXP(-LN(2)/2)*DH37+(1-EXP(-LN(2)/2))/(LN(2)/2)*DB38*DE38*VLOOKUP('Données projet'!$B$13,Paramètres!$A$1:$I$89,3,0)*0.475*44/12</f>
        <v>1.2522027259294506</v>
      </c>
      <c r="DI38" s="22">
        <f t="shared" si="15"/>
        <v>5.0663632203476547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66.206040680785691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26.8</v>
      </c>
      <c r="DO38" s="12">
        <f>IF('Données projet'!$A$166&gt;35,DO37+DN38-DW37,IF(A38&lt;'Données projet'!$A$166,$DL$205^A38,IF(A38='Données projet'!$A$166,'Données projet'!$B$166,DO37+DN38-DW37)))</f>
        <v>393.00000000000006</v>
      </c>
      <c r="DP38" s="17">
        <f>DO38*VLOOKUP('Données projet'!$B$14,Paramètres!$A$1:$I$89,3,0)*VLOOKUP('Données projet'!$B$14,Paramètres!$A$1:$I$89,5,0)</f>
        <v>219.68700000000001</v>
      </c>
      <c r="DQ38" s="13">
        <f t="shared" si="43"/>
        <v>54.046851081096591</v>
      </c>
      <c r="DR38" s="20">
        <f t="shared" si="16"/>
        <v>476.75312396624321</v>
      </c>
      <c r="DS38" s="59">
        <f t="shared" si="17"/>
        <v>756.17527312912409</v>
      </c>
      <c r="DT38" s="59">
        <f ca="1">AVERAGE(OFFSET($DS$3,0,0,'Données projet'!$E$14+1,1))-AVERAGE(OFFSET($H$3,0,0,'Données projet'!$E$14+1,1))</f>
        <v>532.64469322244281</v>
      </c>
      <c r="DU38" s="59">
        <f t="shared" si="44"/>
        <v>525.88014011096413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10.343239954428791</v>
      </c>
      <c r="EB38" s="21">
        <f>EXP(-LN(2)/25)*EB37+(1-EXP(-LN(2)/25))/(LN(2)/25)*Calculateur!DW38*Calculateur!DY38*VLOOKUP('Données projet'!$B$14,Paramètres!$A$1:$I$89,3,0)*0.475*44/12</f>
        <v>33.742026300004433</v>
      </c>
      <c r="EC38" s="21">
        <f>EXP(-LN(2)/2)*EC37+(1-EXP(-LN(2)/2))/(LN(2)/2)*DW38*DZ38*VLOOKUP('Données projet'!$B$14,Paramètres!$A$1:$I$89,3,0)*0.475*44/12</f>
        <v>6.4473804249609072</v>
      </c>
      <c r="ED38" s="22">
        <f t="shared" si="18"/>
        <v>50.532646679394126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66.206040680785691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8.1999999999999993</v>
      </c>
      <c r="EJ38" s="12">
        <f>IF('Données projet'!$A$192&gt;35,EJ37+EI38-ER37,IF(A38&lt;'Données projet'!$A$192,$EG$205^A38,IF(A38='Données projet'!$A$192,'Données projet'!$B$192,EJ37+EI38-ER37)))</f>
        <v>116.99999999999999</v>
      </c>
      <c r="EK38" s="17">
        <f>EJ38*VLOOKUP('Données projet'!$B$15,Paramètres!$A$1:$I$89,3,0)*VLOOKUP('Données projet'!$B$15,Paramètres!$A$1:$I$89,5,0)</f>
        <v>105.86159999999998</v>
      </c>
      <c r="EL38" s="13">
        <f t="shared" si="45"/>
        <v>28.353779818951288</v>
      </c>
      <c r="EM38" s="20">
        <f t="shared" si="19"/>
        <v>233.75845318467347</v>
      </c>
      <c r="EN38" s="59">
        <f t="shared" si="20"/>
        <v>513.18060234755433</v>
      </c>
      <c r="EO38" s="59">
        <f ca="1">AVERAGE(OFFSET($EN$3,0,0,'Données projet'!$E$15+1,1))-AVERAGE(OFFSET($H$3,0,0,'Données projet'!$E$15+1,1))</f>
        <v>398.27843768730202</v>
      </c>
      <c r="EP38" s="59">
        <f t="shared" si="46"/>
        <v>252.3617347568813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0</v>
      </c>
      <c r="EW38" s="21">
        <f>EXP(-LN(2)/25)*EW37+(1-EXP(-LN(2)/25))/(LN(2)/25)*Calculateur!ER38*Calculateur!ET38*VLOOKUP('Données projet'!$B$15,Paramètres!$A$1:$I$89,3,0)*0.475*44/12</f>
        <v>2.7038762256240245</v>
      </c>
      <c r="EX38" s="21">
        <f>EXP(-LN(2)/2)*EX37+(1-EXP(-LN(2)/2))/(LN(2)/2)*ER38*EU38*VLOOKUP('Données projet'!$B$15,Paramètres!$A$1:$I$89,3,0)*0.475*44/12</f>
        <v>1.0941324597471873</v>
      </c>
      <c r="EY38" s="22">
        <f t="shared" si="21"/>
        <v>3.7980086853712116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66.206040680785691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8.1999999999999993</v>
      </c>
      <c r="FE38" s="12">
        <f>IF('Données projet'!$A$218&gt;35,FE37+FD38-FM37,IF(A38&lt;'Données projet'!$A$218,$FB$205^A38,IF(A38='Données projet'!$A$218,'Données projet'!$B$218,FE37+FD38-FM37)))</f>
        <v>116.99999999999999</v>
      </c>
      <c r="FF38" s="17">
        <f>FE38*VLOOKUP('Données projet'!$B$16,Paramètres!$A$1:$I$89,3,0)*VLOOKUP('Données projet'!$B$16,Paramètres!$A$1:$I$89,5,0)</f>
        <v>113.16239999999999</v>
      </c>
      <c r="FG38" s="13">
        <f t="shared" si="47"/>
        <v>30.07483714070494</v>
      </c>
      <c r="FH38" s="20">
        <f t="shared" si="22"/>
        <v>249.47152135339442</v>
      </c>
      <c r="FI38" s="59">
        <f t="shared" si="23"/>
        <v>528.89367051627528</v>
      </c>
      <c r="FJ38" s="59">
        <f ca="1">AVERAGE(OFFSET($FI$3,0,0,'Données projet'!$E$16+1,1))-AVERAGE(OFFSET($H$3,0,0,'Données projet'!$E$16+1,1))</f>
        <v>422.28024471365825</v>
      </c>
      <c r="FK38" s="59">
        <f t="shared" si="48"/>
        <v>266.49730479813206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>
        <f>EXP(-LN(2)/35)*FQ37+(1-EXP(-LN(2)/35))/(LN(2)/35)*FM38*FN38*VLOOKUP('Données projet'!$B$16,Paramètres!$A$1:$I$89,3,0)*0.475*44/12</f>
        <v>0</v>
      </c>
      <c r="FR38" s="21">
        <f>EXP(-LN(2)/25)*FR37+(1-EXP(-LN(2)/25))/(LN(2)/25)*Calculateur!FM38*Calculateur!FO38*VLOOKUP('Données projet'!$B$16,Paramètres!$A$1:$I$89,3,0)*0.475*44/12</f>
        <v>2.8903504480808535</v>
      </c>
      <c r="FS38" s="21">
        <f>EXP(-LN(2)/2)*FS37+(1-EXP(-LN(2)/2))/(LN(2)/2)*FM38*FP38*VLOOKUP('Données projet'!$B$16,Paramètres!$A$1:$I$89,3,0)*0.475*44/12</f>
        <v>1.1695898707642345</v>
      </c>
      <c r="FT38" s="22">
        <f t="shared" si="24"/>
        <v>4.0599403188450882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66.206040680785691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>
        <f>VLOOKUP(A38,'Données projet'!$A$243:$I$263,2,0)</f>
        <v>173</v>
      </c>
      <c r="FX38" s="12">
        <f>VLOOKUP(A38,'Données projet'!$A$243:$I$263,9,0)</f>
        <v>13</v>
      </c>
      <c r="FY38" s="12">
        <f t="array" ref="FY38">INDEX(FX:FX,MIN(IF(ISNUMBER(FX38:FX234),ROW(FX38:FX234),"")))</f>
        <v>13</v>
      </c>
      <c r="FZ38" s="12">
        <f>IF('Données projet'!$A$244&gt;35,FZ37+FY38-GH37,IF(A38&lt;'Données projet'!$A$244,$FW$205^A38,IF(A38='Données projet'!$A$244,'Données projet'!$B$244,FZ37+FY38-GH37)))</f>
        <v>173</v>
      </c>
      <c r="GA38" s="17">
        <f>FZ38*VLOOKUP('Données projet'!$B$17,Paramètres!$A$1:$I$89,3,0)*VLOOKUP('Données projet'!$B$17,Paramètres!$A$1:$I$89,5,0)</f>
        <v>134.94</v>
      </c>
      <c r="GB38" s="13">
        <f t="shared" si="49"/>
        <v>35.135358771568036</v>
      </c>
      <c r="GC38" s="20">
        <f t="shared" si="25"/>
        <v>296.21458319381429</v>
      </c>
      <c r="GD38" s="59">
        <f t="shared" si="26"/>
        <v>575.63673235669512</v>
      </c>
      <c r="GE38" s="59">
        <f ca="1">AVERAGE(OFFSET($GD$3,0,0,'Données projet'!$E$17+1,1))-AVERAGE(OFFSET($H$3,0,0,'Données projet'!$E$17+1,1))</f>
        <v>300.95722646933314</v>
      </c>
      <c r="GF38" s="59">
        <f t="shared" si="50"/>
        <v>269.52365224623759</v>
      </c>
      <c r="GG38" s="15">
        <f>IF(ISNA(VLOOKUP(A38,'Données projet'!$A$243:$I$263,3,0)),0,VLOOKUP(A38,'Données projet'!$A$243:$I$263,3,0))</f>
        <v>3</v>
      </c>
      <c r="GH38" s="15">
        <f>IF(ISNA(VLOOKUP(A38,'Données projet'!$A$243:$I$263,4,0)),0,VLOOKUP(A38,'Données projet'!$A$243:$I$263,4,0))</f>
        <v>27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>
        <f>EXP(-LN(2)/35)*GL37+(1-EXP(-LN(2)/35))/(LN(2)/35)*GH38*GI38*VLOOKUP('Données projet'!$B$17,Paramètres!$A$1:$I$89,3,0)*0.475*44/12</f>
        <v>0.80596674969574966</v>
      </c>
      <c r="GM38" s="21">
        <f>EXP(-LN(2)/25)*GM37+(1-EXP(-LN(2)/25))/(LN(2)/25)*Calculateur!GH38*Calculateur!GJ38*VLOOKUP('Données projet'!$B$17,Paramètres!$A$1:$I$89,3,0)*0.475*44/12</f>
        <v>5.4314970316099176</v>
      </c>
      <c r="GN38" s="21">
        <f>EXP(-LN(2)/2)*GN37+(1-EXP(-LN(2)/2))/(LN(2)/2)*GH38*GK38*VLOOKUP('Données projet'!$B$17,Paramètres!$A$1:$I$89,3,0)*0.475*44/12</f>
        <v>1.5660583125357714</v>
      </c>
      <c r="GO38" s="21">
        <f t="shared" si="27"/>
        <v>7.8035220938414387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66.206040680785691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1.4000000000000001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5.1333333333333337</v>
      </c>
      <c r="H39" s="67">
        <f t="shared" si="1"/>
        <v>236.13333333333335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66.271857392951716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11</v>
      </c>
      <c r="N39" s="13">
        <f>IF('Données projet'!$A$36&gt;35,N38+M39-V38,IF(A39&lt;'Données projet'!$A$36,$K$205^A39,IF(A39='Données projet'!$A$36,'Données projet'!$B$36,N38+M39-V38)))</f>
        <v>159</v>
      </c>
      <c r="O39" s="13">
        <f>N39*VLOOKUP('Données projet'!$B$9,Paramètres!$A$1:$I$89,3,0)*VLOOKUP('Données projet'!$B$9,Paramètres!$A$1:$I$89,5,0)</f>
        <v>143.86320000000001</v>
      </c>
      <c r="P39" s="13">
        <f t="shared" si="33"/>
        <v>37.180603445028773</v>
      </c>
      <c r="Q39" s="20">
        <f t="shared" si="53"/>
        <v>315.31795766675845</v>
      </c>
      <c r="R39" s="59">
        <f t="shared" si="0"/>
        <v>594.9814347742481</v>
      </c>
      <c r="S39" s="59">
        <f ca="1">AVERAGE(OFFSET($R$3,0,0,'Données projet'!$E$9+1,1))-AVERAGE(OFFSET($H$3,0,0,'Données projet'!$E$9+1,1))</f>
        <v>479.46542424895119</v>
      </c>
      <c r="T39" s="59">
        <f t="shared" si="34"/>
        <v>337.96395820277337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2.1387057782007295</v>
      </c>
      <c r="AA39" s="21">
        <f>EXP(-LN(2)/25)*AA38+(1-EXP(-LN(2)/25))/(LN(2)/25)*Calculateur!V39*Calculateur!X39*VLOOKUP('Données projet'!$B$9,Paramètres!$A$1:$I$89,3,0)*0.475*44/12</f>
        <v>9.5536735908692965</v>
      </c>
      <c r="AB39" s="21">
        <f>EXP(-LN(2)/2)*AB38+(1-EXP(-LN(2)/2))/(LN(2)/2)*V39*Y39*VLOOKUP('Données projet'!$B$9,Paramètres!$A$1:$I$89,3,0)*0.475*44/12</f>
        <v>2.6941670967633229</v>
      </c>
      <c r="AC39" s="22">
        <f t="shared" si="3"/>
        <v>14.386546465833348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66.271857392951716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11</v>
      </c>
      <c r="AI39" s="13">
        <f>IF('Données projet'!$A$62&gt;35,AI38+AH39-AQ38,IF(A39&lt;'Données projet'!$A$62,$AF$205^A39,IF(A39='Données projet'!$A$62,'Données projet'!$B$62,AI38+AH39-AQ38)))</f>
        <v>159</v>
      </c>
      <c r="AJ39" s="13">
        <f>AI39*VLOOKUP('Données projet'!$B$10,Paramètres!$A$1:$I$89,3,0)*VLOOKUP('Données projet'!$B$10,Paramètres!$A$1:$I$89,5,0)</f>
        <v>153.78479999999999</v>
      </c>
      <c r="AK39" s="13">
        <f t="shared" si="35"/>
        <v>39.437443633352295</v>
      </c>
      <c r="AL39" s="20">
        <f t="shared" si="4"/>
        <v>336.52874099475525</v>
      </c>
      <c r="AM39" s="59">
        <f t="shared" si="5"/>
        <v>616.19221810224485</v>
      </c>
      <c r="AN39" s="59">
        <f ca="1">AVERAGE(OFFSET($AM$3,0,0,'Données projet'!$E$10+1,1))-AVERAGE(OFFSET($H$3,0,0,'Données projet'!$E$10+1,1))</f>
        <v>508.94560627895089</v>
      </c>
      <c r="AO39" s="59">
        <f t="shared" si="36"/>
        <v>357.86868650263034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2.2862027284214697</v>
      </c>
      <c r="AV39" s="21">
        <f>EXP(-LN(2)/25)*AV38+(1-EXP(-LN(2)/25))/(LN(2)/25)*Calculateur!AQ39*Calculateur!AS39*VLOOKUP('Données projet'!$B$10,Paramètres!$A$1:$I$89,3,0)*0.475*44/12</f>
        <v>10.212547631618902</v>
      </c>
      <c r="AW39" s="21">
        <f>EXP(-LN(2)/2)*AW38+(1-EXP(-LN(2)/2))/(LN(2)/2)*AQ39*AT39*VLOOKUP('Données projet'!$B$10,Paramètres!$A$1:$I$89,3,0)*0.475*44/12</f>
        <v>2.8799717241263108</v>
      </c>
      <c r="AX39" s="21">
        <f t="shared" si="6"/>
        <v>15.378722084166682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66.271857392951716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11.5</v>
      </c>
      <c r="BD39" s="12">
        <f>IF('Données projet'!$A$88&gt;35,BD38+BC39-BL38,IF(A39&lt;'Données projet'!$A$88,$BA$205^A39,IF(A39='Données projet'!$A$88,'Données projet'!$B$88,BD38+BC39-BL38)))</f>
        <v>224.00000000000006</v>
      </c>
      <c r="BE39" s="13">
        <f>BD39*VLOOKUP('Données projet'!$B$11,Paramètres!$A$1:$I$89,3,0)*VLOOKUP('Données projet'!$B$11,Paramètres!$A$1:$I$89,5,0)</f>
        <v>174.72000000000006</v>
      </c>
      <c r="BF39" s="13">
        <f t="shared" si="37"/>
        <v>44.145455754865246</v>
      </c>
      <c r="BG39" s="20">
        <f t="shared" si="7"/>
        <v>381.19066877305704</v>
      </c>
      <c r="BH39" s="59">
        <f t="shared" si="8"/>
        <v>660.85414588054664</v>
      </c>
      <c r="BI39" s="59">
        <f ca="1">AVERAGE(OFFSET($BH$3,0,0,'Données projet'!$E$11+1,1))-AVERAGE(OFFSET($H$3,0,0,'Données projet'!$E$11+1,1))</f>
        <v>383.03154033422328</v>
      </c>
      <c r="BJ39" s="59">
        <f t="shared" si="38"/>
        <v>373.27897156169877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1.2840136291537634</v>
      </c>
      <c r="BQ39" s="21">
        <f>EXP(-LN(2)/25)*BQ38+(1-EXP(-LN(2)/25))/(LN(2)/25)*Calculateur!BL39*Calculateur!BN39*VLOOKUP('Données projet'!$B$11,Paramètres!$A$1:$I$89,3,0)*0.475*44/12</f>
        <v>7.0878700639863927</v>
      </c>
      <c r="BR39" s="21">
        <f>EXP(-LN(2)/2)*BR38+(1-EXP(-LN(2)/2))/(LN(2)/2)*BL39*BO39*VLOOKUP('Données projet'!$B$11,Paramètres!$A$1:$I$89,3,0)*0.475*44/12</f>
        <v>1.6338974495877294</v>
      </c>
      <c r="BS39" s="22">
        <f t="shared" si="9"/>
        <v>10.005781142727885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66.271857392951716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11</v>
      </c>
      <c r="BY39" s="12">
        <f>IF('Données projet'!$A$114&gt;35,BY38+BX39-CG38,IF(A39&lt;'Données projet'!$A$114,$BV$205^A39,IF(A39='Données projet'!$A$114,'Données projet'!$B$114,BY38+BX39-CG38)))</f>
        <v>159</v>
      </c>
      <c r="BZ39" s="13">
        <f>BY39*VLOOKUP('Données projet'!$B$12,Paramètres!$A$1:$I$89,3,0)*VLOOKUP('Données projet'!$B$12,Paramètres!$A$1:$I$89,5,0)</f>
        <v>133.94159999999999</v>
      </c>
      <c r="CA39" s="13">
        <f t="shared" si="39"/>
        <v>34.905558014330531</v>
      </c>
      <c r="CB39" s="20">
        <f t="shared" si="10"/>
        <v>294.07546687495898</v>
      </c>
      <c r="CC39" s="59">
        <f t="shared" si="11"/>
        <v>573.73894398244863</v>
      </c>
      <c r="CD39" s="59">
        <f ca="1">AVERAGE(OFFSET($CC$3,0,0,'Données projet'!$E$12+1,1))-AVERAGE(OFFSET($H$3,0,0,'Données projet'!$E$12+1,1))</f>
        <v>449.94334483948603</v>
      </c>
      <c r="CE39" s="59">
        <f t="shared" si="40"/>
        <v>318.02929110264176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1.9912088279799898</v>
      </c>
      <c r="CL39" s="21">
        <f>EXP(-LN(2)/25)*CL38+(1-EXP(-LN(2)/25))/(LN(2)/25)*Calculateur!CG39*Calculateur!CI39*VLOOKUP('Données projet'!$B$12,Paramètres!$A$1:$I$89,3,0)*0.475*44/12</f>
        <v>8.894799550119691</v>
      </c>
      <c r="CM39" s="21">
        <f>EXP(-LN(2)/2)*CM38+(1-EXP(-LN(2)/2))/(LN(2)/2)*CG39*CJ39*VLOOKUP('Données projet'!$B$12,Paramètres!$A$1:$I$89,3,0)*0.475*44/12</f>
        <v>2.5083624694003359</v>
      </c>
      <c r="CN39" s="22">
        <f t="shared" si="12"/>
        <v>13.394370847500017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66.271857392951716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10.3</v>
      </c>
      <c r="CT39" s="12">
        <f>IF('Données projet'!$A$140&gt;35,CT38+CS39-DB38,IF(A39&lt;'Données projet'!$A$140,$CQ$205^A39,IF(A39='Données projet'!$A$140,'Données projet'!$B$140,CT38+CS39-DB38)))</f>
        <v>149.80000000000001</v>
      </c>
      <c r="CU39" s="17">
        <f>CT39*VLOOKUP('Données projet'!$B$13,Paramètres!$A$1:$I$89,3,0)*VLOOKUP('Données projet'!$B$13,Paramètres!$A$1:$I$89,5,0)</f>
        <v>128.52840000000003</v>
      </c>
      <c r="CV39" s="13">
        <f t="shared" si="41"/>
        <v>33.656090801310327</v>
      </c>
      <c r="CW39" s="20">
        <f t="shared" si="13"/>
        <v>282.47132147894882</v>
      </c>
      <c r="CX39" s="59">
        <f t="shared" si="14"/>
        <v>562.13479858643848</v>
      </c>
      <c r="CY39" s="59">
        <f ca="1">AVERAGE(OFFSET($CX$3,0,0,'Données projet'!$E$13+1,1))-AVERAGE(OFFSET($H$3,0,0,'Données projet'!$E$13+1,1))</f>
        <v>565.32667500225568</v>
      </c>
      <c r="CZ39" s="59">
        <f t="shared" si="42"/>
        <v>275.06957234480944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3.709862075120355</v>
      </c>
      <c r="DH39" s="21">
        <f>EXP(-LN(2)/2)*DH38+(1-EXP(-LN(2)/2))/(LN(2)/2)*DB39*DE39*VLOOKUP('Données projet'!$B$13,Paramètres!$A$1:$I$89,3,0)*0.475*44/12</f>
        <v>0.88544103892499437</v>
      </c>
      <c r="DI39" s="22">
        <f t="shared" si="15"/>
        <v>4.5953031140453495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66.271857392951716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26.8</v>
      </c>
      <c r="DO39" s="12">
        <f>IF('Données projet'!$A$166&gt;35,DO38+DN39-DW38,IF(A39&lt;'Données projet'!$A$166,$DL$205^A39,IF(A39='Données projet'!$A$166,'Données projet'!$B$166,DO38+DN39-DW38)))</f>
        <v>419.80000000000007</v>
      </c>
      <c r="DP39" s="17">
        <f>DO39*VLOOKUP('Données projet'!$B$14,Paramètres!$A$1:$I$89,3,0)*VLOOKUP('Données projet'!$B$14,Paramètres!$A$1:$I$89,5,0)</f>
        <v>234.66820000000007</v>
      </c>
      <c r="DQ39" s="13">
        <f t="shared" si="43"/>
        <v>57.290872093206247</v>
      </c>
      <c r="DR39" s="20">
        <f t="shared" si="16"/>
        <v>508.4953838956676</v>
      </c>
      <c r="DS39" s="59">
        <f t="shared" si="17"/>
        <v>788.1588610031572</v>
      </c>
      <c r="DT39" s="59">
        <f ca="1">AVERAGE(OFFSET($DS$3,0,0,'Données projet'!$E$14+1,1))-AVERAGE(OFFSET($H$3,0,0,'Données projet'!$E$14+1,1))</f>
        <v>532.64469322244281</v>
      </c>
      <c r="DU39" s="59">
        <f t="shared" si="44"/>
        <v>525.88014011096413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10.140415327675877</v>
      </c>
      <c r="EB39" s="21">
        <f>EXP(-LN(2)/25)*EB38+(1-EXP(-LN(2)/25))/(LN(2)/25)*Calculateur!DW39*Calculateur!DY39*VLOOKUP('Données projet'!$B$14,Paramètres!$A$1:$I$89,3,0)*0.475*44/12</f>
        <v>32.819348816414767</v>
      </c>
      <c r="EC39" s="21">
        <f>EXP(-LN(2)/2)*EC38+(1-EXP(-LN(2)/2))/(LN(2)/2)*DW39*DZ39*VLOOKUP('Données projet'!$B$14,Paramètres!$A$1:$I$89,3,0)*0.475*44/12</f>
        <v>4.558986419379262</v>
      </c>
      <c r="ED39" s="22">
        <f t="shared" si="18"/>
        <v>47.518750563469901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66.271857392951716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8.1999999999999993</v>
      </c>
      <c r="EJ39" s="12">
        <f>IF('Données projet'!$A$192&gt;35,EJ38+EI39-ER38,IF(A39&lt;'Données projet'!$A$192,$EG$205^A39,IF(A39='Données projet'!$A$192,'Données projet'!$B$192,EJ38+EI39-ER38)))</f>
        <v>125.19999999999999</v>
      </c>
      <c r="EK39" s="17">
        <f>EJ39*VLOOKUP('Données projet'!$B$15,Paramètres!$A$1:$I$89,3,0)*VLOOKUP('Données projet'!$B$15,Paramètres!$A$1:$I$89,5,0)</f>
        <v>113.28095999999998</v>
      </c>
      <c r="EL39" s="13">
        <f t="shared" si="45"/>
        <v>30.102677097724456</v>
      </c>
      <c r="EM39" s="20">
        <f t="shared" si="19"/>
        <v>249.72650127853672</v>
      </c>
      <c r="EN39" s="59">
        <f t="shared" si="20"/>
        <v>529.38997838602631</v>
      </c>
      <c r="EO39" s="59">
        <f ca="1">AVERAGE(OFFSET($EN$3,0,0,'Données projet'!$E$15+1,1))-AVERAGE(OFFSET($H$3,0,0,'Données projet'!$E$15+1,1))</f>
        <v>398.27843768730202</v>
      </c>
      <c r="EP39" s="59">
        <f t="shared" si="46"/>
        <v>252.3617347568813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0</v>
      </c>
      <c r="EW39" s="21">
        <f>EXP(-LN(2)/25)*EW38+(1-EXP(-LN(2)/25))/(LN(2)/25)*Calculateur!ER39*Calculateur!ET39*VLOOKUP('Données projet'!$B$15,Paramètres!$A$1:$I$89,3,0)*0.475*44/12</f>
        <v>2.6299385880436645</v>
      </c>
      <c r="EX39" s="21">
        <f>EXP(-LN(2)/2)*EX38+(1-EXP(-LN(2)/2))/(LN(2)/2)*ER39*EU39*VLOOKUP('Données projet'!$B$15,Paramètres!$A$1:$I$89,3,0)*0.475*44/12</f>
        <v>0.77366848180355341</v>
      </c>
      <c r="EY39" s="22">
        <f t="shared" si="21"/>
        <v>3.4036070698472178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66.271857392951716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8.1999999999999993</v>
      </c>
      <c r="FE39" s="12">
        <f>IF('Données projet'!$A$218&gt;35,FE38+FD39-FM38,IF(A39&lt;'Données projet'!$A$218,$FB$205^A39,IF(A39='Données projet'!$A$218,'Données projet'!$B$218,FE38+FD39-FM38)))</f>
        <v>125.19999999999999</v>
      </c>
      <c r="FF39" s="17">
        <f>FE39*VLOOKUP('Données projet'!$B$16,Paramètres!$A$1:$I$89,3,0)*VLOOKUP('Données projet'!$B$16,Paramètres!$A$1:$I$89,5,0)</f>
        <v>121.09344</v>
      </c>
      <c r="FG39" s="13">
        <f t="shared" si="47"/>
        <v>31.929891428732152</v>
      </c>
      <c r="FH39" s="20">
        <f t="shared" si="22"/>
        <v>266.51563557170846</v>
      </c>
      <c r="FI39" s="59">
        <f t="shared" si="23"/>
        <v>546.17911267919817</v>
      </c>
      <c r="FJ39" s="59">
        <f ca="1">AVERAGE(OFFSET($FI$3,0,0,'Données projet'!$E$16+1,1))-AVERAGE(OFFSET($H$3,0,0,'Données projet'!$E$16+1,1))</f>
        <v>422.28024471365825</v>
      </c>
      <c r="FK39" s="59">
        <f t="shared" si="48"/>
        <v>266.49730479813206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0</v>
      </c>
      <c r="FR39" s="21">
        <f>EXP(-LN(2)/25)*FR38+(1-EXP(-LN(2)/25))/(LN(2)/25)*Calculateur!FM39*Calculateur!FO39*VLOOKUP('Données projet'!$B$16,Paramètres!$A$1:$I$89,3,0)*0.475*44/12</f>
        <v>2.8113136630811586</v>
      </c>
      <c r="FS39" s="21">
        <f>EXP(-LN(2)/2)*FS38+(1-EXP(-LN(2)/2))/(LN(2)/2)*FM39*FP39*VLOOKUP('Données projet'!$B$16,Paramètres!$A$1:$I$89,3,0)*0.475*44/12</f>
        <v>0.82702492882448797</v>
      </c>
      <c r="FT39" s="22">
        <f t="shared" si="24"/>
        <v>3.6383385919056463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66.271857392951716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11.9</v>
      </c>
      <c r="FZ39" s="12">
        <f>IF('Données projet'!$A$244&gt;35,FZ38+FY39-GH38,IF(A39&lt;'Données projet'!$A$244,$FW$205^A39,IF(A39='Données projet'!$A$244,'Données projet'!$B$244,FZ38+FY39-GH38)))</f>
        <v>157.9</v>
      </c>
      <c r="GA39" s="17">
        <f>FZ39*VLOOKUP('Données projet'!$B$17,Paramètres!$A$1:$I$89,3,0)*VLOOKUP('Données projet'!$B$17,Paramètres!$A$1:$I$89,5,0)</f>
        <v>123.16200000000001</v>
      </c>
      <c r="GB39" s="13">
        <f t="shared" si="49"/>
        <v>32.411363821955391</v>
      </c>
      <c r="GC39" s="20">
        <f t="shared" si="25"/>
        <v>270.95694198990566</v>
      </c>
      <c r="GD39" s="59">
        <f t="shared" si="26"/>
        <v>550.62041909739537</v>
      </c>
      <c r="GE39" s="59">
        <f ca="1">AVERAGE(OFFSET($GD$3,0,0,'Données projet'!$E$17+1,1))-AVERAGE(OFFSET($H$3,0,0,'Données projet'!$E$17+1,1))</f>
        <v>300.95722646933314</v>
      </c>
      <c r="GF39" s="59">
        <f t="shared" si="50"/>
        <v>269.52365224623759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>
        <f>EXP(-LN(2)/35)*GL38+(1-EXP(-LN(2)/35))/(LN(2)/35)*GH39*GI39*VLOOKUP('Données projet'!$B$17,Paramètres!$A$1:$I$89,3,0)*0.475*44/12</f>
        <v>0.7901622333253927</v>
      </c>
      <c r="GM39" s="21">
        <f>EXP(-LN(2)/25)*GM38+(1-EXP(-LN(2)/25))/(LN(2)/25)*Calculateur!GH39*Calculateur!GJ39*VLOOKUP('Données projet'!$B$17,Paramètres!$A$1:$I$89,3,0)*0.475*44/12</f>
        <v>5.2829724596505292</v>
      </c>
      <c r="GN39" s="21">
        <f>EXP(-LN(2)/2)*GN38+(1-EXP(-LN(2)/2))/(LN(2)/2)*GH39*GK39*VLOOKUP('Données projet'!$B$17,Paramètres!$A$1:$I$89,3,0)*0.475*44/12</f>
        <v>1.1073704525276056</v>
      </c>
      <c r="GO39" s="21">
        <f t="shared" si="27"/>
        <v>7.1805051455035276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66.271857392951716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1.4000000000000001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5.1333333333333337</v>
      </c>
      <c r="H40" s="67">
        <f t="shared" si="1"/>
        <v>236.13333333333335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66.336532332305794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11</v>
      </c>
      <c r="N40" s="13">
        <f>IF('Données projet'!$A$36&gt;35,N39+M40-V39,IF(A40&lt;'Données projet'!$A$36,$K$205^A40,IF(A40='Données projet'!$A$36,'Données projet'!$B$36,N39+M40-V39)))</f>
        <v>170</v>
      </c>
      <c r="O40" s="13">
        <f>N40*VLOOKUP('Données projet'!$B$9,Paramètres!$A$1:$I$89,3,0)*VLOOKUP('Données projet'!$B$9,Paramètres!$A$1:$I$89,5,0)</f>
        <v>153.816</v>
      </c>
      <c r="P40" s="13">
        <f t="shared" si="33"/>
        <v>39.444513325737063</v>
      </c>
      <c r="Q40" s="20">
        <f t="shared" si="53"/>
        <v>336.59539404232538</v>
      </c>
      <c r="R40" s="59">
        <f t="shared" si="0"/>
        <v>616.49601259411327</v>
      </c>
      <c r="S40" s="59">
        <f ca="1">AVERAGE(OFFSET($R$3,0,0,'Données projet'!$E$9+1,1))-AVERAGE(OFFSET($H$3,0,0,'Données projet'!$E$9+1,1))</f>
        <v>479.46542424895119</v>
      </c>
      <c r="T40" s="59">
        <f t="shared" si="34"/>
        <v>337.96395820277337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2.096767062371931</v>
      </c>
      <c r="AA40" s="21">
        <f>EXP(-LN(2)/25)*AA39+(1-EXP(-LN(2)/25))/(LN(2)/25)*Calculateur!V40*Calculateur!X40*VLOOKUP('Données projet'!$B$9,Paramètres!$A$1:$I$89,3,0)*0.475*44/12</f>
        <v>9.2924278841211159</v>
      </c>
      <c r="AB40" s="21">
        <f>EXP(-LN(2)/2)*AB39+(1-EXP(-LN(2)/2))/(LN(2)/2)*V40*Y40*VLOOKUP('Données projet'!$B$9,Paramètres!$A$1:$I$89,3,0)*0.475*44/12</f>
        <v>1.9050638237710191</v>
      </c>
      <c r="AC40" s="22">
        <f t="shared" si="3"/>
        <v>13.294258770264067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66.336532332305794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11</v>
      </c>
      <c r="AI40" s="13">
        <f>IF('Données projet'!$A$62&gt;35,AI39+AH40-AQ39,IF(A40&lt;'Données projet'!$A$62,$AF$205^A40,IF(A40='Données projet'!$A$62,'Données projet'!$B$62,AI39+AH40-AQ39)))</f>
        <v>170</v>
      </c>
      <c r="AJ40" s="13">
        <f>AI40*VLOOKUP('Données projet'!$B$10,Paramètres!$A$1:$I$89,3,0)*VLOOKUP('Données projet'!$B$10,Paramètres!$A$1:$I$89,5,0)</f>
        <v>164.42400000000001</v>
      </c>
      <c r="AK40" s="13">
        <f t="shared" si="35"/>
        <v>41.838771477410226</v>
      </c>
      <c r="AL40" s="20">
        <f t="shared" si="4"/>
        <v>359.24099365648948</v>
      </c>
      <c r="AM40" s="59">
        <f t="shared" si="5"/>
        <v>639.14161220827737</v>
      </c>
      <c r="AN40" s="59">
        <f ca="1">AVERAGE(OFFSET($AM$3,0,0,'Données projet'!$E$10+1,1))-AVERAGE(OFFSET($H$3,0,0,'Données projet'!$E$10+1,1))</f>
        <v>508.94560627895089</v>
      </c>
      <c r="AO40" s="59">
        <f t="shared" si="36"/>
        <v>357.86868650263034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2.2413716873630989</v>
      </c>
      <c r="AV40" s="21">
        <f>EXP(-LN(2)/25)*AV39+(1-EXP(-LN(2)/25))/(LN(2)/25)*Calculateur!AQ40*Calculateur!AS40*VLOOKUP('Données projet'!$B$10,Paramètres!$A$1:$I$89,3,0)*0.475*44/12</f>
        <v>9.9332849795777438</v>
      </c>
      <c r="AW40" s="21">
        <f>EXP(-LN(2)/2)*AW39+(1-EXP(-LN(2)/2))/(LN(2)/2)*AQ40*AT40*VLOOKUP('Données projet'!$B$10,Paramètres!$A$1:$I$89,3,0)*0.475*44/12</f>
        <v>2.0364475357552272</v>
      </c>
      <c r="AX40" s="21">
        <f t="shared" si="6"/>
        <v>14.21110420269607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66.336532332305794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11.5</v>
      </c>
      <c r="BD40" s="12">
        <f>IF('Données projet'!$A$88&gt;35,BD39+BC40-BL39,IF(A40&lt;'Données projet'!$A$88,$BA$205^A40,IF(A40='Données projet'!$A$88,'Données projet'!$B$88,BD39+BC40-BL39)))</f>
        <v>235.50000000000006</v>
      </c>
      <c r="BE40" s="13">
        <f>BD40*VLOOKUP('Données projet'!$B$11,Paramètres!$A$1:$I$89,3,0)*VLOOKUP('Données projet'!$B$11,Paramètres!$A$1:$I$89,5,0)</f>
        <v>183.69000000000005</v>
      </c>
      <c r="BF40" s="13">
        <f t="shared" si="37"/>
        <v>46.14217109072662</v>
      </c>
      <c r="BG40" s="20">
        <f t="shared" si="7"/>
        <v>400.29103131634889</v>
      </c>
      <c r="BH40" s="59">
        <f t="shared" si="8"/>
        <v>680.19164986813678</v>
      </c>
      <c r="BI40" s="59">
        <f ca="1">AVERAGE(OFFSET($BH$3,0,0,'Données projet'!$E$11+1,1))-AVERAGE(OFFSET($H$3,0,0,'Données projet'!$E$11+1,1))</f>
        <v>383.03154033422328</v>
      </c>
      <c r="BJ40" s="59">
        <f t="shared" si="38"/>
        <v>373.27897156169877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1.2588349050570402</v>
      </c>
      <c r="BQ40" s="21">
        <f>EXP(-LN(2)/25)*BQ39+(1-EXP(-LN(2)/25))/(LN(2)/25)*Calculateur!BL40*Calculateur!BN40*VLOOKUP('Données projet'!$B$11,Paramètres!$A$1:$I$89,3,0)*0.475*44/12</f>
        <v>6.8940518843517973</v>
      </c>
      <c r="BR40" s="21">
        <f>EXP(-LN(2)/2)*BR39+(1-EXP(-LN(2)/2))/(LN(2)/2)*BL40*BO40*VLOOKUP('Données projet'!$B$11,Paramètres!$A$1:$I$89,3,0)*0.475*44/12</f>
        <v>1.1553399663668886</v>
      </c>
      <c r="BS40" s="22">
        <f t="shared" si="9"/>
        <v>9.3082267557757259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66.336532332305794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11</v>
      </c>
      <c r="BY40" s="12">
        <f>IF('Données projet'!$A$114&gt;35,BY39+BX40-CG39,IF(A40&lt;'Données projet'!$A$114,$BV$205^A40,IF(A40='Données projet'!$A$114,'Données projet'!$B$114,BY39+BX40-CG39)))</f>
        <v>170</v>
      </c>
      <c r="BZ40" s="13">
        <f>BY40*VLOOKUP('Données projet'!$B$12,Paramètres!$A$1:$I$89,3,0)*VLOOKUP('Données projet'!$B$12,Paramètres!$A$1:$I$89,5,0)</f>
        <v>143.20800000000003</v>
      </c>
      <c r="CA40" s="13">
        <f t="shared" si="39"/>
        <v>37.030941422835831</v>
      </c>
      <c r="CB40" s="20">
        <f t="shared" si="10"/>
        <v>313.91615631143912</v>
      </c>
      <c r="CC40" s="59">
        <f t="shared" si="11"/>
        <v>593.81677486322701</v>
      </c>
      <c r="CD40" s="59">
        <f ca="1">AVERAGE(OFFSET($CC$3,0,0,'Données projet'!$E$12+1,1))-AVERAGE(OFFSET($H$3,0,0,'Données projet'!$E$12+1,1))</f>
        <v>449.94334483948603</v>
      </c>
      <c r="CE40" s="59">
        <f t="shared" si="40"/>
        <v>318.02929110264176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1.9521624373807636</v>
      </c>
      <c r="CL40" s="21">
        <f>EXP(-LN(2)/25)*CL39+(1-EXP(-LN(2)/25))/(LN(2)/25)*Calculateur!CG40*Calculateur!CI40*VLOOKUP('Données projet'!$B$12,Paramètres!$A$1:$I$89,3,0)*0.475*44/12</f>
        <v>8.6515707886644897</v>
      </c>
      <c r="CM40" s="21">
        <f>EXP(-LN(2)/2)*CM39+(1-EXP(-LN(2)/2))/(LN(2)/2)*CG40*CJ40*VLOOKUP('Données projet'!$B$12,Paramètres!$A$1:$I$89,3,0)*0.475*44/12</f>
        <v>1.7736801117868115</v>
      </c>
      <c r="CN40" s="22">
        <f t="shared" si="12"/>
        <v>12.377413337832065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66.336532332305794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10.3</v>
      </c>
      <c r="CT40" s="12">
        <f>IF('Données projet'!$A$140&gt;35,CT39+CS40-DB39,IF(A40&lt;'Données projet'!$A$140,$CQ$205^A40,IF(A40='Données projet'!$A$140,'Données projet'!$B$140,CT39+CS40-DB39)))</f>
        <v>160.10000000000002</v>
      </c>
      <c r="CU40" s="17">
        <f>CT40*VLOOKUP('Données projet'!$B$13,Paramètres!$A$1:$I$89,3,0)*VLOOKUP('Données projet'!$B$13,Paramètres!$A$1:$I$89,5,0)</f>
        <v>137.36580000000004</v>
      </c>
      <c r="CV40" s="13">
        <f t="shared" si="41"/>
        <v>35.692881760172256</v>
      </c>
      <c r="CW40" s="20">
        <f t="shared" si="13"/>
        <v>301.41053739896671</v>
      </c>
      <c r="CX40" s="59">
        <f t="shared" si="14"/>
        <v>581.3111559507546</v>
      </c>
      <c r="CY40" s="59">
        <f ca="1">AVERAGE(OFFSET($CX$3,0,0,'Données projet'!$E$13+1,1))-AVERAGE(OFFSET($H$3,0,0,'Données projet'!$E$13+1,1))</f>
        <v>565.32667500225568</v>
      </c>
      <c r="CZ40" s="59">
        <f t="shared" si="42"/>
        <v>275.06957234480944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3.6084157015830214</v>
      </c>
      <c r="DH40" s="21">
        <f>EXP(-LN(2)/2)*DH39+(1-EXP(-LN(2)/2))/(LN(2)/2)*DB40*DE40*VLOOKUP('Données projet'!$B$13,Paramètres!$A$1:$I$89,3,0)*0.475*44/12</f>
        <v>0.62610136296472529</v>
      </c>
      <c r="DI40" s="22">
        <f t="shared" si="15"/>
        <v>4.234517064547747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66.336532332305794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26.8</v>
      </c>
      <c r="DO40" s="12">
        <f>IF('Données projet'!$A$166&gt;35,DO39+DN40-DW39,IF(A40&lt;'Données projet'!$A$166,$DL$205^A40,IF(A40='Données projet'!$A$166,'Données projet'!$B$166,DO39+DN40-DW39)))</f>
        <v>446.60000000000008</v>
      </c>
      <c r="DP40" s="17">
        <f>DO40*VLOOKUP('Données projet'!$B$14,Paramètres!$A$1:$I$89,3,0)*VLOOKUP('Données projet'!$B$14,Paramètres!$A$1:$I$89,5,0)</f>
        <v>249.64940000000007</v>
      </c>
      <c r="DQ40" s="13">
        <f t="shared" si="43"/>
        <v>60.510859008247188</v>
      </c>
      <c r="DR40" s="20">
        <f t="shared" si="16"/>
        <v>540.19578443936393</v>
      </c>
      <c r="DS40" s="59">
        <f t="shared" si="17"/>
        <v>820.09640299115176</v>
      </c>
      <c r="DT40" s="59">
        <f ca="1">AVERAGE(OFFSET($DS$3,0,0,'Données projet'!$E$14+1,1))-AVERAGE(OFFSET($H$3,0,0,'Données projet'!$E$14+1,1))</f>
        <v>532.64469322244281</v>
      </c>
      <c r="DU40" s="59">
        <f t="shared" si="44"/>
        <v>525.88014011096413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9.9415679681427811</v>
      </c>
      <c r="EB40" s="21">
        <f>EXP(-LN(2)/25)*EB39+(1-EXP(-LN(2)/25))/(LN(2)/25)*Calculateur!DW40*Calculateur!DY40*VLOOKUP('Données projet'!$B$14,Paramètres!$A$1:$I$89,3,0)*0.475*44/12</f>
        <v>31.921901997135361</v>
      </c>
      <c r="EC40" s="21">
        <f>EXP(-LN(2)/2)*EC39+(1-EXP(-LN(2)/2))/(LN(2)/2)*DW40*DZ40*VLOOKUP('Données projet'!$B$14,Paramètres!$A$1:$I$89,3,0)*0.475*44/12</f>
        <v>3.2236902124804536</v>
      </c>
      <c r="ED40" s="22">
        <f t="shared" si="18"/>
        <v>45.087160177758598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66.336532332305794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8.1999999999999993</v>
      </c>
      <c r="EJ40" s="12">
        <f>IF('Données projet'!$A$192&gt;35,EJ39+EI40-ER39,IF(A40&lt;'Données projet'!$A$192,$EG$205^A40,IF(A40='Données projet'!$A$192,'Données projet'!$B$192,EJ39+EI40-ER39)))</f>
        <v>133.39999999999998</v>
      </c>
      <c r="EK40" s="17">
        <f>EJ40*VLOOKUP('Données projet'!$B$15,Paramètres!$A$1:$I$89,3,0)*VLOOKUP('Données projet'!$B$15,Paramètres!$A$1:$I$89,5,0)</f>
        <v>120.70031999999998</v>
      </c>
      <c r="EL40" s="13">
        <f t="shared" si="45"/>
        <v>31.838282075030818</v>
      </c>
      <c r="EM40" s="20">
        <f t="shared" si="19"/>
        <v>265.67139861401193</v>
      </c>
      <c r="EN40" s="59">
        <f t="shared" si="20"/>
        <v>545.57201716579982</v>
      </c>
      <c r="EO40" s="59">
        <f ca="1">AVERAGE(OFFSET($EN$3,0,0,'Données projet'!$E$15+1,1))-AVERAGE(OFFSET($H$3,0,0,'Données projet'!$E$15+1,1))</f>
        <v>398.27843768730202</v>
      </c>
      <c r="EP40" s="59">
        <f t="shared" si="46"/>
        <v>252.3617347568813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0</v>
      </c>
      <c r="EW40" s="21">
        <f>EXP(-LN(2)/25)*EW39+(1-EXP(-LN(2)/25))/(LN(2)/25)*Calculateur!ER40*Calculateur!ET40*VLOOKUP('Données projet'!$B$15,Paramètres!$A$1:$I$89,3,0)*0.475*44/12</f>
        <v>2.5580227790511509</v>
      </c>
      <c r="EX40" s="21">
        <f>EXP(-LN(2)/2)*EX39+(1-EXP(-LN(2)/2))/(LN(2)/2)*ER40*EU40*VLOOKUP('Données projet'!$B$15,Paramètres!$A$1:$I$89,3,0)*0.475*44/12</f>
        <v>0.54706622987359366</v>
      </c>
      <c r="EY40" s="22">
        <f t="shared" si="21"/>
        <v>3.1050890089247445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66.336532332305794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8.1999999999999993</v>
      </c>
      <c r="FE40" s="12">
        <f>IF('Données projet'!$A$218&gt;35,FE39+FD40-FM39,IF(A40&lt;'Données projet'!$A$218,$FB$205^A40,IF(A40='Données projet'!$A$218,'Données projet'!$B$218,FE39+FD40-FM39)))</f>
        <v>133.39999999999998</v>
      </c>
      <c r="FF40" s="17">
        <f>FE40*VLOOKUP('Données projet'!$B$16,Paramètres!$A$1:$I$89,3,0)*VLOOKUP('Données projet'!$B$16,Paramètres!$A$1:$I$89,5,0)</f>
        <v>129.02447999999998</v>
      </c>
      <c r="FG40" s="13">
        <f t="shared" si="47"/>
        <v>33.770846580616251</v>
      </c>
      <c r="FH40" s="20">
        <f t="shared" si="22"/>
        <v>283.53519379457327</v>
      </c>
      <c r="FI40" s="59">
        <f t="shared" si="23"/>
        <v>563.43581234636122</v>
      </c>
      <c r="FJ40" s="59">
        <f ca="1">AVERAGE(OFFSET($FI$3,0,0,'Données projet'!$E$16+1,1))-AVERAGE(OFFSET($H$3,0,0,'Données projet'!$E$16+1,1))</f>
        <v>422.28024471365825</v>
      </c>
      <c r="FK40" s="59">
        <f t="shared" si="48"/>
        <v>266.49730479813206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0</v>
      </c>
      <c r="FR40" s="21">
        <f>EXP(-LN(2)/25)*FR39+(1-EXP(-LN(2)/25))/(LN(2)/25)*Calculateur!FM40*Calculateur!FO40*VLOOKUP('Données projet'!$B$16,Paramètres!$A$1:$I$89,3,0)*0.475*44/12</f>
        <v>2.734438143123644</v>
      </c>
      <c r="FS40" s="21">
        <f>EXP(-LN(2)/2)*FS39+(1-EXP(-LN(2)/2))/(LN(2)/2)*FM40*FP40*VLOOKUP('Données projet'!$B$16,Paramètres!$A$1:$I$89,3,0)*0.475*44/12</f>
        <v>0.58479493538211724</v>
      </c>
      <c r="FT40" s="22">
        <f t="shared" si="24"/>
        <v>3.3192330785057611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66.336532332305794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11.9</v>
      </c>
      <c r="FZ40" s="12">
        <f>IF('Données projet'!$A$244&gt;35,FZ39+FY40-GH39,IF(A40&lt;'Données projet'!$A$244,$FW$205^A40,IF(A40='Données projet'!$A$244,'Données projet'!$B$244,FZ39+FY40-GH39)))</f>
        <v>169.8</v>
      </c>
      <c r="GA40" s="17">
        <f>FZ40*VLOOKUP('Données projet'!$B$17,Paramètres!$A$1:$I$89,3,0)*VLOOKUP('Données projet'!$B$17,Paramètres!$A$1:$I$89,5,0)</f>
        <v>132.44400000000002</v>
      </c>
      <c r="GB40" s="13">
        <f t="shared" si="49"/>
        <v>34.560482342975533</v>
      </c>
      <c r="GC40" s="20">
        <f t="shared" si="25"/>
        <v>290.86614008068244</v>
      </c>
      <c r="GD40" s="59">
        <f t="shared" si="26"/>
        <v>570.76675863247033</v>
      </c>
      <c r="GE40" s="59">
        <f ca="1">AVERAGE(OFFSET($GD$3,0,0,'Données projet'!$E$17+1,1))-AVERAGE(OFFSET($H$3,0,0,'Données projet'!$E$17+1,1))</f>
        <v>300.95722646933314</v>
      </c>
      <c r="GF40" s="59">
        <f t="shared" si="50"/>
        <v>269.52365224623759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>
        <f>EXP(-LN(2)/35)*GL39+(1-EXP(-LN(2)/35))/(LN(2)/35)*GH40*GI40*VLOOKUP('Données projet'!$B$17,Paramètres!$A$1:$I$89,3,0)*0.475*44/12</f>
        <v>0.77466763388125537</v>
      </c>
      <c r="GM40" s="21">
        <f>EXP(-LN(2)/25)*GM39+(1-EXP(-LN(2)/25))/(LN(2)/25)*Calculateur!GH40*Calculateur!GJ40*VLOOKUP('Données projet'!$B$17,Paramètres!$A$1:$I$89,3,0)*0.475*44/12</f>
        <v>5.1385092999219379</v>
      </c>
      <c r="GN40" s="21">
        <f>EXP(-LN(2)/2)*GN39+(1-EXP(-LN(2)/2))/(LN(2)/2)*GH40*GK40*VLOOKUP('Données projet'!$B$17,Paramètres!$A$1:$I$89,3,0)*0.475*44/12</f>
        <v>0.78302915626788572</v>
      </c>
      <c r="GO40" s="21">
        <f t="shared" si="27"/>
        <v>6.6962060900710787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66.336532332305794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1.4000000000000001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5.1333333333333337</v>
      </c>
      <c r="H41" s="67">
        <f t="shared" si="1"/>
        <v>236.13333333333335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66.400085306053569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11</v>
      </c>
      <c r="N41" s="13">
        <f>IF('Données projet'!$A$36&gt;35,N40+M41-V40,IF(A41&lt;'Données projet'!$A$36,$K$205^A41,IF(A41='Données projet'!$A$36,'Données projet'!$B$36,N40+M41-V40)))</f>
        <v>181</v>
      </c>
      <c r="O41" s="13">
        <f>N41*VLOOKUP('Données projet'!$B$9,Paramètres!$A$1:$I$89,3,0)*VLOOKUP('Données projet'!$B$9,Paramètres!$A$1:$I$89,5,0)</f>
        <v>163.7688</v>
      </c>
      <c r="P41" s="13">
        <f t="shared" si="33"/>
        <v>41.691423503509803</v>
      </c>
      <c r="Q41" s="20">
        <f t="shared" si="53"/>
        <v>357.84322260194625</v>
      </c>
      <c r="R41" s="59">
        <f t="shared" si="0"/>
        <v>637.97686872414261</v>
      </c>
      <c r="S41" s="59">
        <f ca="1">AVERAGE(OFFSET($R$3,0,0,'Données projet'!$E$9+1,1))-AVERAGE(OFFSET($H$3,0,0,'Données projet'!$E$9+1,1))</f>
        <v>479.46542424895119</v>
      </c>
      <c r="T41" s="59">
        <f t="shared" si="34"/>
        <v>337.96395820277337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2.0556507391804444</v>
      </c>
      <c r="AA41" s="21">
        <f>EXP(-LN(2)/25)*AA40+(1-EXP(-LN(2)/25))/(LN(2)/25)*Calculateur!V41*Calculateur!X41*VLOOKUP('Données projet'!$B$9,Paramètres!$A$1:$I$89,3,0)*0.475*44/12</f>
        <v>9.0383259549622803</v>
      </c>
      <c r="AB41" s="21">
        <f>EXP(-LN(2)/2)*AB40+(1-EXP(-LN(2)/2))/(LN(2)/2)*V41*Y41*VLOOKUP('Données projet'!$B$9,Paramètres!$A$1:$I$89,3,0)*0.475*44/12</f>
        <v>1.3470835483816617</v>
      </c>
      <c r="AC41" s="22">
        <f t="shared" si="3"/>
        <v>12.441060242524387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66.400085306053569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11</v>
      </c>
      <c r="AI41" s="13">
        <f>IF('Données projet'!$A$62&gt;35,AI40+AH41-AQ40,IF(A41&lt;'Données projet'!$A$62,$AF$205^A41,IF(A41='Données projet'!$A$62,'Données projet'!$B$62,AI40+AH41-AQ40)))</f>
        <v>181</v>
      </c>
      <c r="AJ41" s="13">
        <f>AI41*VLOOKUP('Données projet'!$B$10,Paramètres!$A$1:$I$89,3,0)*VLOOKUP('Données projet'!$B$10,Paramètres!$A$1:$I$89,5,0)</f>
        <v>175.06319999999999</v>
      </c>
      <c r="AK41" s="13">
        <f t="shared" si="35"/>
        <v>44.22206774682472</v>
      </c>
      <c r="AL41" s="20">
        <f t="shared" si="4"/>
        <v>381.9218413257197</v>
      </c>
      <c r="AM41" s="59">
        <f t="shared" si="5"/>
        <v>662.05548744791611</v>
      </c>
      <c r="AN41" s="59">
        <f ca="1">AVERAGE(OFFSET($AM$3,0,0,'Données projet'!$E$10+1,1))-AVERAGE(OFFSET($H$3,0,0,'Données projet'!$E$10+1,1))</f>
        <v>508.94560627895089</v>
      </c>
      <c r="AO41" s="59">
        <f t="shared" si="36"/>
        <v>357.86868650263034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2.1974197556756478</v>
      </c>
      <c r="AV41" s="21">
        <f>EXP(-LN(2)/25)*AV40+(1-EXP(-LN(2)/25))/(LN(2)/25)*Calculateur!AQ41*Calculateur!AS41*VLOOKUP('Données projet'!$B$10,Paramètres!$A$1:$I$89,3,0)*0.475*44/12</f>
        <v>9.6616587794424369</v>
      </c>
      <c r="AW41" s="21">
        <f>EXP(-LN(2)/2)*AW40+(1-EXP(-LN(2)/2))/(LN(2)/2)*AQ41*AT41*VLOOKUP('Données projet'!$B$10,Paramètres!$A$1:$I$89,3,0)*0.475*44/12</f>
        <v>1.4399858620631554</v>
      </c>
      <c r="AX41" s="21">
        <f t="shared" si="6"/>
        <v>13.29906439718124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66.400085306053569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11.5</v>
      </c>
      <c r="BD41" s="12">
        <f>IF('Données projet'!$A$88&gt;35,BD40+BC41-BL40,IF(A41&lt;'Données projet'!$A$88,$BA$205^A41,IF(A41='Données projet'!$A$88,'Données projet'!$B$88,BD40+BC41-BL40)))</f>
        <v>247.00000000000006</v>
      </c>
      <c r="BE41" s="13">
        <f>BD41*VLOOKUP('Données projet'!$B$11,Paramètres!$A$1:$I$89,3,0)*VLOOKUP('Données projet'!$B$11,Paramètres!$A$1:$I$89,5,0)</f>
        <v>192.66000000000005</v>
      </c>
      <c r="BF41" s="13">
        <f t="shared" si="37"/>
        <v>48.127564387788738</v>
      </c>
      <c r="BG41" s="20">
        <f t="shared" si="7"/>
        <v>419.3716746420655</v>
      </c>
      <c r="BH41" s="59">
        <f t="shared" si="8"/>
        <v>699.50532076426191</v>
      </c>
      <c r="BI41" s="59">
        <f ca="1">AVERAGE(OFFSET($BH$3,0,0,'Données projet'!$E$11+1,1))-AVERAGE(OFFSET($H$3,0,0,'Données projet'!$E$11+1,1))</f>
        <v>383.03154033422328</v>
      </c>
      <c r="BJ41" s="59">
        <f t="shared" si="38"/>
        <v>373.27897156169877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1.2341499203823485</v>
      </c>
      <c r="BQ41" s="21">
        <f>EXP(-LN(2)/25)*BQ40+(1-EXP(-LN(2)/25))/(LN(2)/25)*Calculateur!BL41*Calculateur!BN41*VLOOKUP('Données projet'!$B$11,Paramètres!$A$1:$I$89,3,0)*0.475*44/12</f>
        <v>6.7055336730317654</v>
      </c>
      <c r="BR41" s="21">
        <f>EXP(-LN(2)/2)*BR40+(1-EXP(-LN(2)/2))/(LN(2)/2)*BL41*BO41*VLOOKUP('Données projet'!$B$11,Paramètres!$A$1:$I$89,3,0)*0.475*44/12</f>
        <v>0.81694872479386471</v>
      </c>
      <c r="BS41" s="22">
        <f t="shared" si="9"/>
        <v>8.7566323182079788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66.400085306053569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11</v>
      </c>
      <c r="BY41" s="12">
        <f>IF('Données projet'!$A$114&gt;35,BY40+BX41-CG40,IF(A41&lt;'Données projet'!$A$114,$BV$205^A41,IF(A41='Données projet'!$A$114,'Données projet'!$B$114,BY40+BX41-CG40)))</f>
        <v>181</v>
      </c>
      <c r="BZ41" s="13">
        <f>BY41*VLOOKUP('Données projet'!$B$12,Paramètres!$A$1:$I$89,3,0)*VLOOKUP('Données projet'!$B$12,Paramètres!$A$1:$I$89,5,0)</f>
        <v>152.47440000000003</v>
      </c>
      <c r="CA41" s="13">
        <f t="shared" si="39"/>
        <v>39.140365323908171</v>
      </c>
      <c r="CB41" s="20">
        <f t="shared" si="10"/>
        <v>333.72904960580678</v>
      </c>
      <c r="CC41" s="59">
        <f t="shared" si="11"/>
        <v>613.86269572800325</v>
      </c>
      <c r="CD41" s="59">
        <f ca="1">AVERAGE(OFFSET($CC$3,0,0,'Données projet'!$E$12+1,1))-AVERAGE(OFFSET($H$3,0,0,'Données projet'!$E$12+1,1))</f>
        <v>449.94334483948603</v>
      </c>
      <c r="CE41" s="59">
        <f t="shared" si="40"/>
        <v>318.02929110264176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1.9138817226852416</v>
      </c>
      <c r="CL41" s="21">
        <f>EXP(-LN(2)/25)*CL40+(1-EXP(-LN(2)/25))/(LN(2)/25)*Calculateur!CG41*Calculateur!CI41*VLOOKUP('Données projet'!$B$12,Paramètres!$A$1:$I$89,3,0)*0.475*44/12</f>
        <v>8.4149931304821255</v>
      </c>
      <c r="CM41" s="21">
        <f>EXP(-LN(2)/2)*CM40+(1-EXP(-LN(2)/2))/(LN(2)/2)*CG41*CJ41*VLOOKUP('Données projet'!$B$12,Paramètres!$A$1:$I$89,3,0)*0.475*44/12</f>
        <v>1.2541812347001682</v>
      </c>
      <c r="CN41" s="22">
        <f t="shared" si="12"/>
        <v>11.583056087867535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66.400085306053569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10.3</v>
      </c>
      <c r="CT41" s="12">
        <f>IF('Données projet'!$A$140&gt;35,CT40+CS41-DB40,IF(A41&lt;'Données projet'!$A$140,$CQ$205^A41,IF(A41='Données projet'!$A$140,'Données projet'!$B$140,CT40+CS41-DB40)))</f>
        <v>170.40000000000003</v>
      </c>
      <c r="CU41" s="17">
        <f>CT41*VLOOKUP('Données projet'!$B$13,Paramètres!$A$1:$I$89,3,0)*VLOOKUP('Données projet'!$B$13,Paramètres!$A$1:$I$89,5,0)</f>
        <v>146.20320000000004</v>
      </c>
      <c r="CV41" s="13">
        <f t="shared" si="41"/>
        <v>37.714465965904303</v>
      </c>
      <c r="CW41" s="20">
        <f t="shared" si="13"/>
        <v>320.32326822395004</v>
      </c>
      <c r="CX41" s="59">
        <f t="shared" si="14"/>
        <v>600.4569143461465</v>
      </c>
      <c r="CY41" s="59">
        <f ca="1">AVERAGE(OFFSET($CX$3,0,0,'Données projet'!$E$13+1,1))-AVERAGE(OFFSET($H$3,0,0,'Données projet'!$E$13+1,1))</f>
        <v>565.32667500225568</v>
      </c>
      <c r="CZ41" s="59">
        <f t="shared" si="42"/>
        <v>275.06957234480944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3.5097433844648989</v>
      </c>
      <c r="DH41" s="21">
        <f>EXP(-LN(2)/2)*DH40+(1-EXP(-LN(2)/2))/(LN(2)/2)*DB41*DE41*VLOOKUP('Données projet'!$B$13,Paramètres!$A$1:$I$89,3,0)*0.475*44/12</f>
        <v>0.44272051946249719</v>
      </c>
      <c r="DI41" s="22">
        <f t="shared" si="15"/>
        <v>3.9524639039273959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66.400085306053569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26.8</v>
      </c>
      <c r="DO41" s="12">
        <f>IF('Données projet'!$A$166&gt;35,DO40+DN41-DW40,IF(A41&lt;'Données projet'!$A$166,$DL$205^A41,IF(A41='Données projet'!$A$166,'Données projet'!$B$166,DO40+DN41-DW40)))</f>
        <v>473.40000000000009</v>
      </c>
      <c r="DP41" s="17">
        <f>DO41*VLOOKUP('Données projet'!$B$14,Paramètres!$A$1:$I$89,3,0)*VLOOKUP('Données projet'!$B$14,Paramètres!$A$1:$I$89,5,0)</f>
        <v>264.63060000000007</v>
      </c>
      <c r="DQ41" s="13">
        <f t="shared" si="43"/>
        <v>63.708418341323984</v>
      </c>
      <c r="DR41" s="20">
        <f t="shared" si="16"/>
        <v>571.8571236111394</v>
      </c>
      <c r="DS41" s="59">
        <f t="shared" si="17"/>
        <v>851.99076973333581</v>
      </c>
      <c r="DT41" s="59">
        <f ca="1">AVERAGE(OFFSET($DS$3,0,0,'Données projet'!$E$14+1,1))-AVERAGE(OFFSET($H$3,0,0,'Données projet'!$E$14+1,1))</f>
        <v>532.64469322244281</v>
      </c>
      <c r="DU41" s="59">
        <f t="shared" si="44"/>
        <v>525.88014011096413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9.7466198840452147</v>
      </c>
      <c r="EB41" s="21">
        <f>EXP(-LN(2)/25)*EB40+(1-EXP(-LN(2)/25))/(LN(2)/25)*Calculateur!DW41*Calculateur!DY41*VLOOKUP('Données projet'!$B$14,Paramètres!$A$1:$I$89,3,0)*0.475*44/12</f>
        <v>31.048995908323828</v>
      </c>
      <c r="EC41" s="21">
        <f>EXP(-LN(2)/2)*EC40+(1-EXP(-LN(2)/2))/(LN(2)/2)*DW41*DZ41*VLOOKUP('Données projet'!$B$14,Paramètres!$A$1:$I$89,3,0)*0.475*44/12</f>
        <v>2.279493209689631</v>
      </c>
      <c r="ED41" s="22">
        <f t="shared" si="18"/>
        <v>43.075109002058674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66.400085306053569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8.1999999999999993</v>
      </c>
      <c r="EJ41" s="12">
        <f>IF('Données projet'!$A$192&gt;35,EJ40+EI41-ER40,IF(A41&lt;'Données projet'!$A$192,$EG$205^A41,IF(A41='Données projet'!$A$192,'Données projet'!$B$192,EJ40+EI41-ER40)))</f>
        <v>141.59999999999997</v>
      </c>
      <c r="EK41" s="17">
        <f>EJ41*VLOOKUP('Données projet'!$B$15,Paramètres!$A$1:$I$89,3,0)*VLOOKUP('Données projet'!$B$15,Paramètres!$A$1:$I$89,5,0)</f>
        <v>128.11967999999996</v>
      </c>
      <c r="EL41" s="13">
        <f t="shared" si="45"/>
        <v>33.561504850994297</v>
      </c>
      <c r="EM41" s="20">
        <f t="shared" si="19"/>
        <v>281.5947302821483</v>
      </c>
      <c r="EN41" s="59">
        <f t="shared" si="20"/>
        <v>561.72837640434477</v>
      </c>
      <c r="EO41" s="59">
        <f ca="1">AVERAGE(OFFSET($EN$3,0,0,'Données projet'!$E$15+1,1))-AVERAGE(OFFSET($H$3,0,0,'Données projet'!$E$15+1,1))</f>
        <v>398.27843768730202</v>
      </c>
      <c r="EP41" s="59">
        <f t="shared" si="46"/>
        <v>252.3617347568813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0</v>
      </c>
      <c r="EW41" s="21">
        <f>EXP(-LN(2)/25)*EW40+(1-EXP(-LN(2)/25))/(LN(2)/25)*Calculateur!ER41*Calculateur!ET41*VLOOKUP('Données projet'!$B$15,Paramètres!$A$1:$I$89,3,0)*0.475*44/12</f>
        <v>2.4880735116374257</v>
      </c>
      <c r="EX41" s="21">
        <f>EXP(-LN(2)/2)*EX40+(1-EXP(-LN(2)/2))/(LN(2)/2)*ER41*EU41*VLOOKUP('Données projet'!$B$15,Paramètres!$A$1:$I$89,3,0)*0.475*44/12</f>
        <v>0.3868342409017767</v>
      </c>
      <c r="EY41" s="22">
        <f t="shared" si="21"/>
        <v>2.8749077525392024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66.400085306053569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8.1999999999999993</v>
      </c>
      <c r="FE41" s="12">
        <f>IF('Données projet'!$A$218&gt;35,FE40+FD41-FM40,IF(A41&lt;'Données projet'!$A$218,$FB$205^A41,IF(A41='Données projet'!$A$218,'Données projet'!$B$218,FE40+FD41-FM40)))</f>
        <v>141.59999999999997</v>
      </c>
      <c r="FF41" s="17">
        <f>FE41*VLOOKUP('Données projet'!$B$16,Paramètres!$A$1:$I$89,3,0)*VLOOKUP('Données projet'!$B$16,Paramètres!$A$1:$I$89,5,0)</f>
        <v>136.95551999999995</v>
      </c>
      <c r="FG41" s="13">
        <f t="shared" si="47"/>
        <v>35.598667939009403</v>
      </c>
      <c r="FH41" s="20">
        <f t="shared" si="22"/>
        <v>300.53187732710791</v>
      </c>
      <c r="FI41" s="59">
        <f t="shared" si="23"/>
        <v>580.66552344930437</v>
      </c>
      <c r="FJ41" s="59">
        <f ca="1">AVERAGE(OFFSET($FI$3,0,0,'Données projet'!$E$16+1,1))-AVERAGE(OFFSET($H$3,0,0,'Données projet'!$E$16+1,1))</f>
        <v>422.28024471365825</v>
      </c>
      <c r="FK41" s="59">
        <f t="shared" si="48"/>
        <v>266.49730479813206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0</v>
      </c>
      <c r="FR41" s="21">
        <f>EXP(-LN(2)/25)*FR40+(1-EXP(-LN(2)/25))/(LN(2)/25)*Calculateur!FM41*Calculateur!FO41*VLOOKUP('Données projet'!$B$16,Paramètres!$A$1:$I$89,3,0)*0.475*44/12</f>
        <v>2.6596647883020754</v>
      </c>
      <c r="FS41" s="21">
        <f>EXP(-LN(2)/2)*FS40+(1-EXP(-LN(2)/2))/(LN(2)/2)*FM41*FP41*VLOOKUP('Données projet'!$B$16,Paramètres!$A$1:$I$89,3,0)*0.475*44/12</f>
        <v>0.41351246441224399</v>
      </c>
      <c r="FT41" s="22">
        <f t="shared" si="24"/>
        <v>3.0731772527143195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66.400085306053569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11.9</v>
      </c>
      <c r="FZ41" s="12">
        <f>IF('Données projet'!$A$244&gt;35,FZ40+FY41-GH40,IF(A41&lt;'Données projet'!$A$244,$FW$205^A41,IF(A41='Données projet'!$A$244,'Données projet'!$B$244,FZ40+FY41-GH40)))</f>
        <v>181.70000000000002</v>
      </c>
      <c r="GA41" s="17">
        <f>FZ41*VLOOKUP('Données projet'!$B$17,Paramètres!$A$1:$I$89,3,0)*VLOOKUP('Données projet'!$B$17,Paramètres!$A$1:$I$89,5,0)</f>
        <v>141.72600000000003</v>
      </c>
      <c r="GB41" s="13">
        <f t="shared" si="49"/>
        <v>36.692125440686915</v>
      </c>
      <c r="GC41" s="20">
        <f t="shared" si="25"/>
        <v>310.74490180919639</v>
      </c>
      <c r="GD41" s="59">
        <f t="shared" si="26"/>
        <v>590.87854793139286</v>
      </c>
      <c r="GE41" s="59">
        <f ca="1">AVERAGE(OFFSET($GD$3,0,0,'Données projet'!$E$17+1,1))-AVERAGE(OFFSET($H$3,0,0,'Données projet'!$E$17+1,1))</f>
        <v>300.95722646933314</v>
      </c>
      <c r="GF41" s="59">
        <f t="shared" si="50"/>
        <v>269.52365224623759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>
        <f>EXP(-LN(2)/35)*GL40+(1-EXP(-LN(2)/35))/(LN(2)/35)*GH41*GI41*VLOOKUP('Données projet'!$B$17,Paramètres!$A$1:$I$89,3,0)*0.475*44/12</f>
        <v>0.75947687408144504</v>
      </c>
      <c r="GM41" s="21">
        <f>EXP(-LN(2)/25)*GM40+(1-EXP(-LN(2)/25))/(LN(2)/25)*Calculateur!GH41*Calculateur!GJ41*VLOOKUP('Données projet'!$B$17,Paramètres!$A$1:$I$89,3,0)*0.475*44/12</f>
        <v>4.9979964928931127</v>
      </c>
      <c r="GN41" s="21">
        <f>EXP(-LN(2)/2)*GN40+(1-EXP(-LN(2)/2))/(LN(2)/2)*GH41*GK41*VLOOKUP('Données projet'!$B$17,Paramètres!$A$1:$I$89,3,0)*0.475*44/12</f>
        <v>0.55368522626380279</v>
      </c>
      <c r="GO41" s="21">
        <f t="shared" si="27"/>
        <v>6.3111585932383605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66.400085306053569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1.4000000000000001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5.1333333333333337</v>
      </c>
      <c r="H42" s="67">
        <f t="shared" si="1"/>
        <v>236.13333333333335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66.462535777789995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11</v>
      </c>
      <c r="N42" s="13">
        <f>IF('Données projet'!$A$36&gt;35,N41+M42-V41,IF(A42&lt;'Données projet'!$A$36,$K$205^A42,IF(A42='Données projet'!$A$36,'Données projet'!$B$36,N41+M42-V41)))</f>
        <v>192</v>
      </c>
      <c r="O42" s="13">
        <f>N42*VLOOKUP('Données projet'!$B$9,Paramètres!$A$1:$I$89,3,0)*VLOOKUP('Données projet'!$B$9,Paramètres!$A$1:$I$89,5,0)</f>
        <v>173.7216</v>
      </c>
      <c r="P42" s="13">
        <f t="shared" si="33"/>
        <v>43.922484755075111</v>
      </c>
      <c r="Q42" s="20">
        <f t="shared" si="53"/>
        <v>379.06344761508916</v>
      </c>
      <c r="R42" s="59">
        <f t="shared" si="0"/>
        <v>659.42607880031915</v>
      </c>
      <c r="S42" s="59">
        <f ca="1">AVERAGE(OFFSET($R$3,0,0,'Données projet'!$E$9+1,1))-AVERAGE(OFFSET($H$3,0,0,'Données projet'!$E$9+1,1))</f>
        <v>479.46542424895119</v>
      </c>
      <c r="T42" s="59">
        <f t="shared" si="34"/>
        <v>337.96395820277337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2.015340682008262</v>
      </c>
      <c r="AA42" s="21">
        <f>EXP(-LN(2)/25)*AA41+(1-EXP(-LN(2)/25))/(LN(2)/25)*Calculateur!V42*Calculateur!X42*VLOOKUP('Données projet'!$B$9,Paramètres!$A$1:$I$89,3,0)*0.475*44/12</f>
        <v>8.7911724564189324</v>
      </c>
      <c r="AB42" s="21">
        <f>EXP(-LN(2)/2)*AB41+(1-EXP(-LN(2)/2))/(LN(2)/2)*V42*Y42*VLOOKUP('Données projet'!$B$9,Paramètres!$A$1:$I$89,3,0)*0.475*44/12</f>
        <v>0.95253191188550967</v>
      </c>
      <c r="AC42" s="22">
        <f t="shared" si="3"/>
        <v>11.759045050312704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66.462535777789995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11</v>
      </c>
      <c r="AI42" s="13">
        <f>IF('Données projet'!$A$62&gt;35,AI41+AH42-AQ41,IF(A42&lt;'Données projet'!$A$62,$AF$205^A42,IF(A42='Données projet'!$A$62,'Données projet'!$B$62,AI41+AH42-AQ41)))</f>
        <v>192</v>
      </c>
      <c r="AJ42" s="13">
        <f>AI42*VLOOKUP('Données projet'!$B$10,Paramètres!$A$1:$I$89,3,0)*VLOOKUP('Données projet'!$B$10,Paramètres!$A$1:$I$89,5,0)</f>
        <v>185.70239999999998</v>
      </c>
      <c r="AK42" s="13">
        <f t="shared" si="35"/>
        <v>46.588553069776829</v>
      </c>
      <c r="AL42" s="20">
        <f t="shared" si="4"/>
        <v>404.57340992986127</v>
      </c>
      <c r="AM42" s="59">
        <f t="shared" si="5"/>
        <v>684.93604111509126</v>
      </c>
      <c r="AN42" s="59">
        <f ca="1">AVERAGE(OFFSET($AM$3,0,0,'Données projet'!$E$10+1,1))-AVERAGE(OFFSET($H$3,0,0,'Données projet'!$E$10+1,1))</f>
        <v>508.94560627895089</v>
      </c>
      <c r="AO42" s="59">
        <f t="shared" si="36"/>
        <v>357.86868650263034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2.1543296945605563</v>
      </c>
      <c r="AV42" s="21">
        <f>EXP(-LN(2)/25)*AV41+(1-EXP(-LN(2)/25))/(LN(2)/25)*Calculateur!AQ42*Calculateur!AS42*VLOOKUP('Données projet'!$B$10,Paramètres!$A$1:$I$89,3,0)*0.475*44/12</f>
        <v>9.39746021203403</v>
      </c>
      <c r="AW42" s="21">
        <f>EXP(-LN(2)/2)*AW41+(1-EXP(-LN(2)/2))/(LN(2)/2)*AQ42*AT42*VLOOKUP('Données projet'!$B$10,Paramètres!$A$1:$I$89,3,0)*0.475*44/12</f>
        <v>1.0182237678776136</v>
      </c>
      <c r="AX42" s="21">
        <f t="shared" si="6"/>
        <v>12.570013674472198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66.462535777789995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11.5</v>
      </c>
      <c r="BD42" s="12">
        <f>IF('Données projet'!$A$88&gt;35,BD41+BC42-BL41,IF(A42&lt;'Données projet'!$A$88,$BA$205^A42,IF(A42='Données projet'!$A$88,'Données projet'!$B$88,BD41+BC42-BL41)))</f>
        <v>258.50000000000006</v>
      </c>
      <c r="BE42" s="13">
        <f>BD42*VLOOKUP('Données projet'!$B$11,Paramètres!$A$1:$I$89,3,0)*VLOOKUP('Données projet'!$B$11,Paramètres!$A$1:$I$89,5,0)</f>
        <v>201.63000000000005</v>
      </c>
      <c r="BF42" s="13">
        <f t="shared" si="37"/>
        <v>50.102222986612546</v>
      </c>
      <c r="BG42" s="20">
        <f t="shared" si="7"/>
        <v>438.43362170168365</v>
      </c>
      <c r="BH42" s="59">
        <f t="shared" si="8"/>
        <v>718.79625288691363</v>
      </c>
      <c r="BI42" s="59">
        <f ca="1">AVERAGE(OFFSET($BH$3,0,0,'Données projet'!$E$11+1,1))-AVERAGE(OFFSET($H$3,0,0,'Données projet'!$E$11+1,1))</f>
        <v>383.03154033422328</v>
      </c>
      <c r="BJ42" s="59">
        <f t="shared" si="38"/>
        <v>373.27897156169877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1.2099489932007734</v>
      </c>
      <c r="BQ42" s="21">
        <f>EXP(-LN(2)/25)*BQ41+(1-EXP(-LN(2)/25))/(LN(2)/25)*Calculateur!BL42*Calculateur!BN42*VLOOKUP('Données projet'!$B$11,Paramètres!$A$1:$I$89,3,0)*0.475*44/12</f>
        <v>6.5221705021140215</v>
      </c>
      <c r="BR42" s="21">
        <f>EXP(-LN(2)/2)*BR41+(1-EXP(-LN(2)/2))/(LN(2)/2)*BL42*BO42*VLOOKUP('Données projet'!$B$11,Paramètres!$A$1:$I$89,3,0)*0.475*44/12</f>
        <v>0.57766998318344431</v>
      </c>
      <c r="BS42" s="22">
        <f t="shared" si="9"/>
        <v>8.3097894784982387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66.462535777789995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11</v>
      </c>
      <c r="BY42" s="12">
        <f>IF('Données projet'!$A$114&gt;35,BY41+BX42-CG41,IF(A42&lt;'Données projet'!$A$114,$BV$205^A42,IF(A42='Données projet'!$A$114,'Données projet'!$B$114,BY41+BX42-CG41)))</f>
        <v>192</v>
      </c>
      <c r="BZ42" s="13">
        <f>BY42*VLOOKUP('Données projet'!$B$12,Paramètres!$A$1:$I$89,3,0)*VLOOKUP('Données projet'!$B$12,Paramètres!$A$1:$I$89,5,0)</f>
        <v>161.74080000000001</v>
      </c>
      <c r="CA42" s="13">
        <f t="shared" si="39"/>
        <v>41.234910079352424</v>
      </c>
      <c r="CB42" s="20">
        <f t="shared" si="10"/>
        <v>353.51602838820548</v>
      </c>
      <c r="CC42" s="59">
        <f t="shared" si="11"/>
        <v>633.87865957343547</v>
      </c>
      <c r="CD42" s="59">
        <f ca="1">AVERAGE(OFFSET($CC$3,0,0,'Données projet'!$E$12+1,1))-AVERAGE(OFFSET($H$3,0,0,'Données projet'!$E$12+1,1))</f>
        <v>449.94334483948603</v>
      </c>
      <c r="CE42" s="59">
        <f t="shared" si="40"/>
        <v>318.02929110264176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1.8763516694559683</v>
      </c>
      <c r="CL42" s="21">
        <f>EXP(-LN(2)/25)*CL41+(1-EXP(-LN(2)/25))/(LN(2)/25)*Calculateur!CG42*Calculateur!CI42*VLOOKUP('Données projet'!$B$12,Paramètres!$A$1:$I$89,3,0)*0.475*44/12</f>
        <v>8.1848847008038366</v>
      </c>
      <c r="CM42" s="21">
        <f>EXP(-LN(2)/2)*CM41+(1-EXP(-LN(2)/2))/(LN(2)/2)*CG42*CJ42*VLOOKUP('Données projet'!$B$12,Paramètres!$A$1:$I$89,3,0)*0.475*44/12</f>
        <v>0.88684005589340587</v>
      </c>
      <c r="CN42" s="22">
        <f t="shared" si="12"/>
        <v>10.948076426153211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66.462535777789995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10.3</v>
      </c>
      <c r="CT42" s="12">
        <f>IF('Données projet'!$A$140&gt;35,CT41+CS42-DB41,IF(A42&lt;'Données projet'!$A$140,$CQ$205^A42,IF(A42='Données projet'!$A$140,'Données projet'!$B$140,CT41+CS42-DB41)))</f>
        <v>180.70000000000005</v>
      </c>
      <c r="CU42" s="17">
        <f>CT42*VLOOKUP('Données projet'!$B$13,Paramètres!$A$1:$I$89,3,0)*VLOOKUP('Données projet'!$B$13,Paramètres!$A$1:$I$89,5,0)</f>
        <v>155.04060000000007</v>
      </c>
      <c r="CV42" s="13">
        <f t="shared" si="41"/>
        <v>39.72186728187382</v>
      </c>
      <c r="CW42" s="20">
        <f t="shared" si="13"/>
        <v>339.21129718259698</v>
      </c>
      <c r="CX42" s="59">
        <f t="shared" si="14"/>
        <v>619.57392836782697</v>
      </c>
      <c r="CY42" s="59">
        <f ca="1">AVERAGE(OFFSET($CX$3,0,0,'Données projet'!$E$13+1,1))-AVERAGE(OFFSET($H$3,0,0,'Données projet'!$E$13+1,1))</f>
        <v>565.32667500225568</v>
      </c>
      <c r="CZ42" s="59">
        <f t="shared" si="42"/>
        <v>275.06957234480944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3.4137692670473232</v>
      </c>
      <c r="DH42" s="21">
        <f>EXP(-LN(2)/2)*DH41+(1-EXP(-LN(2)/2))/(LN(2)/2)*DB42*DE42*VLOOKUP('Données projet'!$B$13,Paramètres!$A$1:$I$89,3,0)*0.475*44/12</f>
        <v>0.31305068148236265</v>
      </c>
      <c r="DI42" s="22">
        <f t="shared" si="15"/>
        <v>3.7268199485296858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66.462535777789995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26.8</v>
      </c>
      <c r="DO42" s="12">
        <f>IF('Données projet'!$A$166&gt;35,DO41+DN42-DW41,IF(A42&lt;'Données projet'!$A$166,$DL$205^A42,IF(A42='Données projet'!$A$166,'Données projet'!$B$166,DO41+DN42-DW41)))</f>
        <v>500.2000000000001</v>
      </c>
      <c r="DP42" s="17">
        <f>DO42*VLOOKUP('Données projet'!$B$14,Paramètres!$A$1:$I$89,3,0)*VLOOKUP('Données projet'!$B$14,Paramètres!$A$1:$I$89,5,0)</f>
        <v>279.61180000000007</v>
      </c>
      <c r="DQ42" s="13">
        <f t="shared" si="43"/>
        <v>66.884964438617615</v>
      </c>
      <c r="DR42" s="20">
        <f t="shared" si="16"/>
        <v>603.48186473059241</v>
      </c>
      <c r="DS42" s="59">
        <f t="shared" si="17"/>
        <v>883.84449591582234</v>
      </c>
      <c r="DT42" s="59">
        <f ca="1">AVERAGE(OFFSET($DS$3,0,0,'Données projet'!$E$14+1,1))-AVERAGE(OFFSET($H$3,0,0,'Données projet'!$E$14+1,1))</f>
        <v>532.64469322244281</v>
      </c>
      <c r="DU42" s="59">
        <f t="shared" si="44"/>
        <v>525.88014011096413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9.5554946129702127</v>
      </c>
      <c r="EB42" s="21">
        <f>EXP(-LN(2)/25)*EB41+(1-EXP(-LN(2)/25))/(LN(2)/25)*Calculateur!DW42*Calculateur!DY42*VLOOKUP('Données projet'!$B$14,Paramètres!$A$1:$I$89,3,0)*0.475*44/12</f>
        <v>30.199959482414982</v>
      </c>
      <c r="EC42" s="21">
        <f>EXP(-LN(2)/2)*EC41+(1-EXP(-LN(2)/2))/(LN(2)/2)*DW42*DZ42*VLOOKUP('Données projet'!$B$14,Paramètres!$A$1:$I$89,3,0)*0.475*44/12</f>
        <v>1.6118451062402268</v>
      </c>
      <c r="ED42" s="22">
        <f t="shared" si="18"/>
        <v>41.367299201625421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66.462535777789995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8.1999999999999993</v>
      </c>
      <c r="EJ42" s="12">
        <f>IF('Données projet'!$A$192&gt;35,EJ41+EI42-ER41,IF(A42&lt;'Données projet'!$A$192,$EG$205^A42,IF(A42='Données projet'!$A$192,'Données projet'!$B$192,EJ41+EI42-ER41)))</f>
        <v>149.79999999999995</v>
      </c>
      <c r="EK42" s="17">
        <f>EJ42*VLOOKUP('Données projet'!$B$15,Paramètres!$A$1:$I$89,3,0)*VLOOKUP('Données projet'!$B$15,Paramètres!$A$1:$I$89,5,0)</f>
        <v>135.53903999999997</v>
      </c>
      <c r="EL42" s="13">
        <f t="shared" si="45"/>
        <v>35.273144164630104</v>
      </c>
      <c r="EM42" s="20">
        <f t="shared" si="19"/>
        <v>297.49788742006405</v>
      </c>
      <c r="EN42" s="59">
        <f t="shared" si="20"/>
        <v>577.86051860529403</v>
      </c>
      <c r="EO42" s="59">
        <f ca="1">AVERAGE(OFFSET($EN$3,0,0,'Données projet'!$E$15+1,1))-AVERAGE(OFFSET($H$3,0,0,'Données projet'!$E$15+1,1))</f>
        <v>398.27843768730202</v>
      </c>
      <c r="EP42" s="59">
        <f t="shared" si="46"/>
        <v>252.3617347568813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0</v>
      </c>
      <c r="EW42" s="21">
        <f>EXP(-LN(2)/25)*EW41+(1-EXP(-LN(2)/25))/(LN(2)/25)*Calculateur!ER42*Calculateur!ET42*VLOOKUP('Données projet'!$B$15,Paramètres!$A$1:$I$89,3,0)*0.475*44/12</f>
        <v>2.420037010619601</v>
      </c>
      <c r="EX42" s="21">
        <f>EXP(-LN(2)/2)*EX41+(1-EXP(-LN(2)/2))/(LN(2)/2)*ER42*EU42*VLOOKUP('Données projet'!$B$15,Paramètres!$A$1:$I$89,3,0)*0.475*44/12</f>
        <v>0.27353311493679683</v>
      </c>
      <c r="EY42" s="22">
        <f t="shared" si="21"/>
        <v>2.693570125556398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66.462535777789995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8.1999999999999993</v>
      </c>
      <c r="FE42" s="12">
        <f>IF('Données projet'!$A$218&gt;35,FE41+FD42-FM41,IF(A42&lt;'Données projet'!$A$218,$FB$205^A42,IF(A42='Données projet'!$A$218,'Données projet'!$B$218,FE41+FD42-FM41)))</f>
        <v>149.79999999999995</v>
      </c>
      <c r="FF42" s="17">
        <f>FE42*VLOOKUP('Données projet'!$B$16,Paramètres!$A$1:$I$89,3,0)*VLOOKUP('Données projet'!$B$16,Paramètres!$A$1:$I$89,5,0)</f>
        <v>144.88655999999997</v>
      </c>
      <c r="FG42" s="13">
        <f t="shared" si="47"/>
        <v>37.414202725902875</v>
      </c>
      <c r="FH42" s="20">
        <f t="shared" si="22"/>
        <v>317.50716174761413</v>
      </c>
      <c r="FI42" s="59">
        <f t="shared" si="23"/>
        <v>597.86979293284412</v>
      </c>
      <c r="FJ42" s="59">
        <f ca="1">AVERAGE(OFFSET($FI$3,0,0,'Données projet'!$E$16+1,1))-AVERAGE(OFFSET($H$3,0,0,'Données projet'!$E$16+1,1))</f>
        <v>422.28024471365825</v>
      </c>
      <c r="FK42" s="59">
        <f t="shared" si="48"/>
        <v>266.49730479813206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0</v>
      </c>
      <c r="FR42" s="21">
        <f>EXP(-LN(2)/25)*FR41+(1-EXP(-LN(2)/25))/(LN(2)/25)*Calculateur!FM42*Calculateur!FO42*VLOOKUP('Données projet'!$B$16,Paramètres!$A$1:$I$89,3,0)*0.475*44/12</f>
        <v>2.5869361148002628</v>
      </c>
      <c r="FS42" s="21">
        <f>EXP(-LN(2)/2)*FS41+(1-EXP(-LN(2)/2))/(LN(2)/2)*FM42*FP42*VLOOKUP('Données projet'!$B$16,Paramètres!$A$1:$I$89,3,0)*0.475*44/12</f>
        <v>0.29239746769105862</v>
      </c>
      <c r="FT42" s="22">
        <f t="shared" si="24"/>
        <v>2.8793335824913213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66.462535777789995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11.9</v>
      </c>
      <c r="FZ42" s="12">
        <f>IF('Données projet'!$A$244&gt;35,FZ41+FY42-GH41,IF(A42&lt;'Données projet'!$A$244,$FW$205^A42,IF(A42='Données projet'!$A$244,'Données projet'!$B$244,FZ41+FY42-GH41)))</f>
        <v>193.60000000000002</v>
      </c>
      <c r="GA42" s="17">
        <f>FZ42*VLOOKUP('Données projet'!$B$17,Paramètres!$A$1:$I$89,3,0)*VLOOKUP('Données projet'!$B$17,Paramètres!$A$1:$I$89,5,0)</f>
        <v>151.00800000000001</v>
      </c>
      <c r="GB42" s="13">
        <f t="shared" si="49"/>
        <v>38.807567870348514</v>
      </c>
      <c r="GC42" s="20">
        <f t="shared" si="25"/>
        <v>330.59544737419031</v>
      </c>
      <c r="GD42" s="59">
        <f t="shared" si="26"/>
        <v>610.9580785594203</v>
      </c>
      <c r="GE42" s="59">
        <f ca="1">AVERAGE(OFFSET($GD$3,0,0,'Données projet'!$E$17+1,1))-AVERAGE(OFFSET($H$3,0,0,'Données projet'!$E$17+1,1))</f>
        <v>300.95722646933314</v>
      </c>
      <c r="GF42" s="59">
        <f t="shared" si="50"/>
        <v>269.52365224623759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>
        <f>EXP(-LN(2)/35)*GL41+(1-EXP(-LN(2)/35))/(LN(2)/35)*GH42*GI42*VLOOKUP('Données projet'!$B$17,Paramètres!$A$1:$I$89,3,0)*0.475*44/12</f>
        <v>0.74458399581586043</v>
      </c>
      <c r="GM42" s="21">
        <f>EXP(-LN(2)/25)*GM41+(1-EXP(-LN(2)/25))/(LN(2)/25)*Calculateur!GH42*Calculateur!GJ42*VLOOKUP('Données projet'!$B$17,Paramètres!$A$1:$I$89,3,0)*0.475*44/12</f>
        <v>4.8613260159617377</v>
      </c>
      <c r="GN42" s="21">
        <f>EXP(-LN(2)/2)*GN41+(1-EXP(-LN(2)/2))/(LN(2)/2)*GH42*GK42*VLOOKUP('Données projet'!$B$17,Paramètres!$A$1:$I$89,3,0)*0.475*44/12</f>
        <v>0.39151457813394286</v>
      </c>
      <c r="GO42" s="21">
        <f t="shared" si="27"/>
        <v>5.9974245899115406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66.462535777789995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1.4000000000000001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5.1333333333333337</v>
      </c>
      <c r="H43" s="67">
        <f t="shared" si="1"/>
        <v>236.13333333333335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66.523902873460131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203</v>
      </c>
      <c r="L43" s="12">
        <f>VLOOKUP(A43,'Données projet'!$A$35:$I$55,9,0)</f>
        <v>11</v>
      </c>
      <c r="M43" s="12">
        <f t="array" ref="M43">INDEX(L:L,MIN(IF(ISNUMBER(L43:L239),ROW(L43:L239),"")))</f>
        <v>11</v>
      </c>
      <c r="N43" s="13">
        <f>IF('Données projet'!$A$36&gt;35,N42+M43-V42,IF(A43&lt;'Données projet'!$A$36,$K$205^A43,IF(A43='Données projet'!$A$36,'Données projet'!$B$36,N42+M43-V42)))</f>
        <v>203</v>
      </c>
      <c r="O43" s="13">
        <f>N43*VLOOKUP('Données projet'!$B$9,Paramètres!$A$1:$I$89,3,0)*VLOOKUP('Données projet'!$B$9,Paramètres!$A$1:$I$89,5,0)</f>
        <v>183.67439999999999</v>
      </c>
      <c r="P43" s="13">
        <f t="shared" si="33"/>
        <v>46.138708549418673</v>
      </c>
      <c r="Q43" s="20">
        <f t="shared" si="53"/>
        <v>400.25783072357081</v>
      </c>
      <c r="R43" s="59">
        <f t="shared" si="0"/>
        <v>680.84547459292457</v>
      </c>
      <c r="S43" s="59">
        <f ca="1">AVERAGE(OFFSET($R$3,0,0,'Données projet'!$E$9+1,1))-AVERAGE(OFFSET($H$3,0,0,'Données projet'!$E$9+1,1))</f>
        <v>479.46542424895119</v>
      </c>
      <c r="T43" s="59">
        <f t="shared" si="34"/>
        <v>337.96395820277337</v>
      </c>
      <c r="U43" s="15">
        <f>IF(ISNA(VLOOKUP(A43,'Données projet'!$A$35:$I$55,3,0)),0,VLOOKUP(A43,'Données projet'!$A$35:$I$55,3,0))</f>
        <v>3</v>
      </c>
      <c r="V43" s="15">
        <f>IF(ISNA(VLOOKUP(A43,'Données projet'!$A$35:$I$55,4,0)),0,VLOOKUP(A43,'Données projet'!$A$35:$I$55,4,0))</f>
        <v>56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1.975821080470519</v>
      </c>
      <c r="AA43" s="21">
        <f>EXP(-LN(2)/25)*AA42+(1-EXP(-LN(2)/25))/(LN(2)/25)*Calculateur!V43*Calculateur!X43*VLOOKUP('Données projet'!$B$9,Paramètres!$A$1:$I$89,3,0)*0.475*44/12</f>
        <v>8.5507773832904892</v>
      </c>
      <c r="AB43" s="21">
        <f>EXP(-LN(2)/2)*AB42+(1-EXP(-LN(2)/2))/(LN(2)/2)*V43*Y43*VLOOKUP('Données projet'!$B$9,Paramètres!$A$1:$I$89,3,0)*0.475*44/12</f>
        <v>0.67354177419083094</v>
      </c>
      <c r="AC43" s="22">
        <f t="shared" si="3"/>
        <v>11.200140237951839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66.523902873460131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203</v>
      </c>
      <c r="AG43" s="12">
        <f>VLOOKUP(A43,'Données projet'!$A$61:$I$81,9,0)</f>
        <v>11</v>
      </c>
      <c r="AH43" s="12">
        <f t="array" ref="AH43">INDEX(AG:AG,MIN(IF(ISNUMBER(AG43:AG239),ROW(AG43:AG239),"")))</f>
        <v>11</v>
      </c>
      <c r="AI43" s="13">
        <f>IF('Données projet'!$A$62&gt;35,AI42+AH43-AQ42,IF(A43&lt;'Données projet'!$A$62,$AF$205^A43,IF(A43='Données projet'!$A$62,'Données projet'!$B$62,AI42+AH43-AQ42)))</f>
        <v>203</v>
      </c>
      <c r="AJ43" s="13">
        <f>AI43*VLOOKUP('Données projet'!$B$10,Paramètres!$A$1:$I$89,3,0)*VLOOKUP('Données projet'!$B$10,Paramètres!$A$1:$I$89,5,0)</f>
        <v>196.3416</v>
      </c>
      <c r="AK43" s="13">
        <f t="shared" si="35"/>
        <v>48.939300310809159</v>
      </c>
      <c r="AL43" s="20">
        <f t="shared" si="4"/>
        <v>427.19756804132595</v>
      </c>
      <c r="AM43" s="59">
        <f t="shared" si="5"/>
        <v>707.78521191067978</v>
      </c>
      <c r="AN43" s="59">
        <f ca="1">AVERAGE(OFFSET($AM$3,0,0,'Données projet'!$E$10+1,1))-AVERAGE(OFFSET($H$3,0,0,'Données projet'!$E$10+1,1))</f>
        <v>508.94560627895089</v>
      </c>
      <c r="AO43" s="59">
        <f t="shared" si="36"/>
        <v>357.86868650263034</v>
      </c>
      <c r="AP43" s="15">
        <f>IF(ISNA(VLOOKUP(A43,'Données projet'!$A$61:$I$81,3,0)),0,VLOOKUP(A43,'Données projet'!$A$61:$I$81,3,0))</f>
        <v>3</v>
      </c>
      <c r="AQ43" s="15">
        <f>IF(ISNA(VLOOKUP(A43,'Données projet'!$A$61:$I$81,4,0)),0,VLOOKUP(A43,'Données projet'!$A$61:$I$81,4,0))</f>
        <v>56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2.1120846032615899</v>
      </c>
      <c r="AV43" s="21">
        <f>EXP(-LN(2)/25)*AV42+(1-EXP(-LN(2)/25))/(LN(2)/25)*Calculateur!AQ43*Calculateur!AS43*VLOOKUP('Données projet'!$B$10,Paramètres!$A$1:$I$89,3,0)*0.475*44/12</f>
        <v>9.1404861683450047</v>
      </c>
      <c r="AW43" s="21">
        <f>EXP(-LN(2)/2)*AW42+(1-EXP(-LN(2)/2))/(LN(2)/2)*AQ43*AT43*VLOOKUP('Données projet'!$B$10,Paramètres!$A$1:$I$89,3,0)*0.475*44/12</f>
        <v>0.71999293103157769</v>
      </c>
      <c r="AX43" s="21">
        <f t="shared" si="6"/>
        <v>11.972563702638173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66.523902873460131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270</v>
      </c>
      <c r="BB43" s="12">
        <f>VLOOKUP(A43,'Données projet'!$A$87:$I$107,9,0)</f>
        <v>11.5</v>
      </c>
      <c r="BC43" s="12">
        <f t="array" ref="BC43">INDEX(BB:BB,MIN(IF(ISNUMBER(BB43:BB239),ROW(BB43:BB239),"")))</f>
        <v>11.5</v>
      </c>
      <c r="BD43" s="12">
        <f>IF('Données projet'!$A$88&gt;35,BD42+BC43-BL42,IF(A43&lt;'Données projet'!$A$88,$BA$205^A43,IF(A43='Données projet'!$A$88,'Données projet'!$B$88,BD42+BC43-BL42)))</f>
        <v>270.00000000000006</v>
      </c>
      <c r="BE43" s="13">
        <f>BD43*VLOOKUP('Données projet'!$B$11,Paramètres!$A$1:$I$89,3,0)*VLOOKUP('Données projet'!$B$11,Paramètres!$A$1:$I$89,5,0)</f>
        <v>210.60000000000005</v>
      </c>
      <c r="BF43" s="13">
        <f t="shared" si="37"/>
        <v>52.066679014660011</v>
      </c>
      <c r="BG43" s="20">
        <f t="shared" si="7"/>
        <v>457.47779928386626</v>
      </c>
      <c r="BH43" s="59">
        <f t="shared" si="8"/>
        <v>738.06544315322003</v>
      </c>
      <c r="BI43" s="59">
        <f ca="1">AVERAGE(OFFSET($BH$3,0,0,'Données projet'!$E$11+1,1))-AVERAGE(OFFSET($H$3,0,0,'Données projet'!$E$11+1,1))</f>
        <v>383.03154033422328</v>
      </c>
      <c r="BJ43" s="59">
        <f t="shared" si="38"/>
        <v>373.27897156169877</v>
      </c>
      <c r="BK43" s="15">
        <f>IF(ISNA(VLOOKUP(A43,'Données projet'!$A$87:$I$107,3,0)),0,VLOOKUP(A43,'Données projet'!$A$87:$I$107,3,0))</f>
        <v>3</v>
      </c>
      <c r="BL43" s="15">
        <f>IF(ISNA(VLOOKUP(A43,'Données projet'!$A$87:$I$107,4,0)),0,VLOOKUP(A43,'Données projet'!$A$87:$I$107,4,0))</f>
        <v>61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1.186222631440121</v>
      </c>
      <c r="BQ43" s="21">
        <f>EXP(-LN(2)/25)*BQ42+(1-EXP(-LN(2)/25))/(LN(2)/25)*Calculateur!BL43*Calculateur!BN43*VLOOKUP('Données projet'!$B$11,Paramètres!$A$1:$I$89,3,0)*0.475*44/12</f>
        <v>6.3438214067476739</v>
      </c>
      <c r="BR43" s="21">
        <f>EXP(-LN(2)/2)*BR42+(1-EXP(-LN(2)/2))/(LN(2)/2)*BL43*BO43*VLOOKUP('Données projet'!$B$11,Paramètres!$A$1:$I$89,3,0)*0.475*44/12</f>
        <v>0.40847436239693236</v>
      </c>
      <c r="BS43" s="22">
        <f t="shared" si="9"/>
        <v>7.9385184005847265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66.523902873460131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203</v>
      </c>
      <c r="BW43" s="12">
        <f>VLOOKUP(A43,'Données projet'!$A$113:$I$133,9,0)</f>
        <v>11</v>
      </c>
      <c r="BX43" s="12">
        <f t="array" ref="BX43">INDEX(BW:BW,MIN(IF(ISNUMBER(BW43:BW239),ROW(BW43:BW239),"")))</f>
        <v>11</v>
      </c>
      <c r="BY43" s="12">
        <f>IF('Données projet'!$A$114&gt;35,BY42+BX43-CG42,IF(A43&lt;'Données projet'!$A$114,$BV$205^A43,IF(A43='Données projet'!$A$114,'Données projet'!$B$114,BY42+BX43-CG42)))</f>
        <v>203</v>
      </c>
      <c r="BZ43" s="13">
        <f>BY43*VLOOKUP('Données projet'!$B$12,Paramètres!$A$1:$I$89,3,0)*VLOOKUP('Données projet'!$B$12,Paramètres!$A$1:$I$89,5,0)</f>
        <v>171.00720000000001</v>
      </c>
      <c r="CA43" s="13">
        <f t="shared" si="39"/>
        <v>43.315525267338089</v>
      </c>
      <c r="CB43" s="20">
        <f t="shared" si="10"/>
        <v>373.27874650728057</v>
      </c>
      <c r="CC43" s="59">
        <f t="shared" si="11"/>
        <v>653.8663903766344</v>
      </c>
      <c r="CD43" s="59">
        <f ca="1">AVERAGE(OFFSET($CC$3,0,0,'Données projet'!$E$12+1,1))-AVERAGE(OFFSET($H$3,0,0,'Données projet'!$E$12+1,1))</f>
        <v>449.94334483948603</v>
      </c>
      <c r="CE43" s="59">
        <f t="shared" si="40"/>
        <v>318.02929110264176</v>
      </c>
      <c r="CF43" s="15">
        <f>IF(ISNA(VLOOKUP(A43,'Données projet'!$A$113:$I$133,3,0)),0,VLOOKUP(A43,'Données projet'!$A$113:$I$133,3,0))</f>
        <v>3</v>
      </c>
      <c r="CG43" s="15">
        <f>IF(ISNA(VLOOKUP(A43,'Données projet'!$A$113:$I$133,4,0)),0,VLOOKUP(A43,'Données projet'!$A$113:$I$133,4,0))</f>
        <v>56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1.839557557679449</v>
      </c>
      <c r="CL43" s="21">
        <f>EXP(-LN(2)/25)*CL42+(1-EXP(-LN(2)/25))/(LN(2)/25)*Calculateur!CG43*Calculateur!CI43*VLOOKUP('Données projet'!$B$12,Paramètres!$A$1:$I$89,3,0)*0.475*44/12</f>
        <v>7.9610685982359763</v>
      </c>
      <c r="CM43" s="21">
        <f>EXP(-LN(2)/2)*CM42+(1-EXP(-LN(2)/2))/(LN(2)/2)*CG43*CJ43*VLOOKUP('Données projet'!$B$12,Paramètres!$A$1:$I$89,3,0)*0.475*44/12</f>
        <v>0.6270906173500842</v>
      </c>
      <c r="CN43" s="22">
        <f t="shared" si="12"/>
        <v>10.42771677326551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66.523902873460131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191</v>
      </c>
      <c r="CR43" s="12">
        <f>VLOOKUP(A43,'Données projet'!$A$139:$I$159,9,0)</f>
        <v>10.3</v>
      </c>
      <c r="CS43" s="12">
        <f t="array" ref="CS43">INDEX(CR:CR,MIN(IF(ISNUMBER(CR43:CR239),ROW(CR43:CR239),"")))</f>
        <v>10.3</v>
      </c>
      <c r="CT43" s="12">
        <f>IF('Données projet'!$A$140&gt;35,CT42+CS43-DB42,IF(A43&lt;'Données projet'!$A$140,$CQ$205^A43,IF(A43='Données projet'!$A$140,'Données projet'!$B$140,CT42+CS43-DB42)))</f>
        <v>191.00000000000006</v>
      </c>
      <c r="CU43" s="17">
        <f>CT43*VLOOKUP('Données projet'!$B$13,Paramètres!$A$1:$I$89,3,0)*VLOOKUP('Données projet'!$B$13,Paramètres!$A$1:$I$89,5,0)</f>
        <v>163.87800000000007</v>
      </c>
      <c r="CV43" s="13">
        <f t="shared" si="41"/>
        <v>41.715986257165973</v>
      </c>
      <c r="CW43" s="20">
        <f t="shared" si="13"/>
        <v>358.07619273123083</v>
      </c>
      <c r="CX43" s="59">
        <f t="shared" si="14"/>
        <v>638.66383660058466</v>
      </c>
      <c r="CY43" s="59">
        <f ca="1">AVERAGE(OFFSET($CX$3,0,0,'Données projet'!$E$13+1,1))-AVERAGE(OFFSET($H$3,0,0,'Données projet'!$E$13+1,1))</f>
        <v>565.32667500225568</v>
      </c>
      <c r="CZ43" s="59">
        <f t="shared" si="42"/>
        <v>275.06957234480944</v>
      </c>
      <c r="DA43" s="15">
        <f>IF(ISNA(VLOOKUP(A43,'Données projet'!$A$139:$I$159,3,0)),0,VLOOKUP(A43,'Données projet'!$A$139:$I$159,3,0))</f>
        <v>2</v>
      </c>
      <c r="DB43" s="15">
        <f>IF(ISNA(VLOOKUP(A43,'Données projet'!$A$139:$I$159,4,0)),0,VLOOKUP(A43,'Données projet'!$A$139:$I$159,4,0))</f>
        <v>56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3.3204195669175909</v>
      </c>
      <c r="DH43" s="21">
        <f>EXP(-LN(2)/2)*DH42+(1-EXP(-LN(2)/2))/(LN(2)/2)*DB43*DE43*VLOOKUP('Données projet'!$B$13,Paramètres!$A$1:$I$89,3,0)*0.475*44/12</f>
        <v>0.22136025973124859</v>
      </c>
      <c r="DI43" s="22">
        <f t="shared" si="15"/>
        <v>3.5417798266488396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66.523902873460131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527</v>
      </c>
      <c r="DM43" s="12">
        <f>VLOOKUP(A43,'Données projet'!$A$165:$I$185,9,0)</f>
        <v>26.8</v>
      </c>
      <c r="DN43" s="12">
        <f t="array" ref="DN43">INDEX(DM:DM,MIN(IF(ISNUMBER(DM43:DM239),ROW(DM43:DM239),"")))</f>
        <v>26.8</v>
      </c>
      <c r="DO43" s="12">
        <f>IF('Données projet'!$A$166&gt;35,DO42+DN43-DW42,IF(A43&lt;'Données projet'!$A$166,$DL$205^A43,IF(A43='Données projet'!$A$166,'Données projet'!$B$166,DO42+DN43-DW42)))</f>
        <v>527.00000000000011</v>
      </c>
      <c r="DP43" s="17">
        <f>DO43*VLOOKUP('Données projet'!$B$14,Paramètres!$A$1:$I$89,3,0)*VLOOKUP('Données projet'!$B$14,Paramètres!$A$1:$I$89,5,0)</f>
        <v>294.59300000000007</v>
      </c>
      <c r="DQ43" s="13">
        <f t="shared" si="43"/>
        <v>70.041751529321004</v>
      </c>
      <c r="DR43" s="20">
        <f t="shared" si="16"/>
        <v>635.07219224690084</v>
      </c>
      <c r="DS43" s="59">
        <f t="shared" si="17"/>
        <v>915.65983611625461</v>
      </c>
      <c r="DT43" s="59">
        <f ca="1">AVERAGE(OFFSET($DS$3,0,0,'Données projet'!$E$14+1,1))-AVERAGE(OFFSET($H$3,0,0,'Données projet'!$E$14+1,1))</f>
        <v>532.64469322244281</v>
      </c>
      <c r="DU43" s="59">
        <f t="shared" si="44"/>
        <v>525.88014011096413</v>
      </c>
      <c r="DV43" s="15">
        <f>IF(ISNA(VLOOKUP(A43,'Données projet'!$A$165:$I$185,3,0)),0,VLOOKUP(A43,'Données projet'!$A$165:$I$185,3,0))</f>
        <v>3</v>
      </c>
      <c r="DW43" s="15">
        <f>IF(ISNA(VLOOKUP(A43,'Données projet'!$A$165:$I$185,4,0)),0,VLOOKUP(A43,'Données projet'!$A$165:$I$185,4,0))</f>
        <v>140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9.3681171918860855</v>
      </c>
      <c r="EB43" s="21">
        <f>EXP(-LN(2)/25)*EB42+(1-EXP(-LN(2)/25))/(LN(2)/25)*Calculateur!DW43*Calculateur!DY43*VLOOKUP('Données projet'!$B$14,Paramètres!$A$1:$I$89,3,0)*0.475*44/12</f>
        <v>29.374140002221498</v>
      </c>
      <c r="EC43" s="21">
        <f>EXP(-LN(2)/2)*EC42+(1-EXP(-LN(2)/2))/(LN(2)/2)*DW43*DZ43*VLOOKUP('Données projet'!$B$14,Paramètres!$A$1:$I$89,3,0)*0.475*44/12</f>
        <v>1.1397466048448155</v>
      </c>
      <c r="ED43" s="22">
        <f t="shared" si="18"/>
        <v>39.882003798952397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66.523902873460131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>
        <f>VLOOKUP(A43,'Données projet'!$A$191:$I$211,2,0)</f>
        <v>158</v>
      </c>
      <c r="EH43" s="12">
        <f>VLOOKUP(A43,'Données projet'!$A$191:$I$211,9,0)</f>
        <v>8.1999999999999993</v>
      </c>
      <c r="EI43" s="12">
        <f t="array" ref="EI43">INDEX(EH:EH,MIN(IF(ISNUMBER(EH43:EH239),ROW(EH43:EH239),"")))</f>
        <v>8.1999999999999993</v>
      </c>
      <c r="EJ43" s="12">
        <f>IF('Données projet'!$A$192&gt;35,EJ42+EI43-ER42,IF(A43&lt;'Données projet'!$A$192,$EG$205^A43,IF(A43='Données projet'!$A$192,'Données projet'!$B$192,EJ42+EI43-ER42)))</f>
        <v>157.99999999999994</v>
      </c>
      <c r="EK43" s="17">
        <f>EJ43*VLOOKUP('Données projet'!$B$15,Paramètres!$A$1:$I$89,3,0)*VLOOKUP('Données projet'!$B$15,Paramètres!$A$1:$I$89,5,0)</f>
        <v>142.95839999999993</v>
      </c>
      <c r="EL43" s="13">
        <f t="shared" si="45"/>
        <v>36.973906370811264</v>
      </c>
      <c r="EM43" s="20">
        <f t="shared" si="19"/>
        <v>313.38210026249618</v>
      </c>
      <c r="EN43" s="59">
        <f t="shared" si="20"/>
        <v>593.96974413185001</v>
      </c>
      <c r="EO43" s="59">
        <f ca="1">AVERAGE(OFFSET($EN$3,0,0,'Données projet'!$E$15+1,1))-AVERAGE(OFFSET($H$3,0,0,'Données projet'!$E$15+1,1))</f>
        <v>398.27843768730202</v>
      </c>
      <c r="EP43" s="59">
        <f t="shared" si="46"/>
        <v>252.3617347568813</v>
      </c>
      <c r="EQ43" s="15">
        <f>IF(ISNA(VLOOKUP(A43,'Données projet'!$A$191:$I$211,3,0)),0,VLOOKUP(A43,'Données projet'!$A$191:$I$211,3,0))</f>
        <v>2</v>
      </c>
      <c r="ER43" s="15">
        <f>IF(ISNA(VLOOKUP(A43,'Données projet'!$A$191:$I$211,4,0)),0,VLOOKUP(A43,'Données projet'!$A$191:$I$211,4,0))</f>
        <v>42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0</v>
      </c>
      <c r="EW43" s="21">
        <f>EXP(-LN(2)/25)*EW42+(1-EXP(-LN(2)/25))/(LN(2)/25)*Calculateur!ER43*Calculateur!ET43*VLOOKUP('Données projet'!$B$15,Paramètres!$A$1:$I$89,3,0)*0.475*44/12</f>
        <v>2.3538609712999925</v>
      </c>
      <c r="EX43" s="21">
        <f>EXP(-LN(2)/2)*EX42+(1-EXP(-LN(2)/2))/(LN(2)/2)*ER43*EU43*VLOOKUP('Données projet'!$B$15,Paramètres!$A$1:$I$89,3,0)*0.475*44/12</f>
        <v>0.19341712045088835</v>
      </c>
      <c r="EY43" s="22">
        <f t="shared" si="21"/>
        <v>2.547278091750881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66.523902873460131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>
        <f>VLOOKUP(A43,'Données projet'!$A$217:$I$237,2,0)</f>
        <v>158</v>
      </c>
      <c r="FC43" s="12">
        <f>VLOOKUP(A43,'Données projet'!$A$217:$I$237,9,0)</f>
        <v>8.1999999999999993</v>
      </c>
      <c r="FD43" s="12">
        <f t="array" ref="FD43">INDEX(FC:FC,MIN(IF(ISNUMBER(FC43:FC239),ROW(FC43:FC239),"")))</f>
        <v>8.1999999999999993</v>
      </c>
      <c r="FE43" s="12">
        <f>IF('Données projet'!$A$218&gt;35,FE42+FD43-FM42,IF(A43&lt;'Données projet'!$A$218,$FB$205^A43,IF(A43='Données projet'!$A$218,'Données projet'!$B$218,FE42+FD43-FM42)))</f>
        <v>157.99999999999994</v>
      </c>
      <c r="FF43" s="17">
        <f>FE43*VLOOKUP('Données projet'!$B$16,Paramètres!$A$1:$I$89,3,0)*VLOOKUP('Données projet'!$B$16,Paramètres!$A$1:$I$89,5,0)</f>
        <v>152.81759999999994</v>
      </c>
      <c r="FG43" s="13">
        <f t="shared" si="47"/>
        <v>39.218200171484192</v>
      </c>
      <c r="FH43" s="20">
        <f t="shared" si="22"/>
        <v>334.46235196533485</v>
      </c>
      <c r="FI43" s="59">
        <f t="shared" si="23"/>
        <v>615.04999583468862</v>
      </c>
      <c r="FJ43" s="59">
        <f ca="1">AVERAGE(OFFSET($FI$3,0,0,'Données projet'!$E$16+1,1))-AVERAGE(OFFSET($H$3,0,0,'Données projet'!$E$16+1,1))</f>
        <v>422.28024471365825</v>
      </c>
      <c r="FK43" s="59">
        <f t="shared" si="48"/>
        <v>266.49730479813206</v>
      </c>
      <c r="FL43" s="15">
        <f>IF(ISNA(VLOOKUP(A43,'Données projet'!$A$217:$I$237,3,0)),0,VLOOKUP(A43,'Données projet'!$A$217:$I$237,3,0))</f>
        <v>2</v>
      </c>
      <c r="FM43" s="15">
        <f>IF(ISNA(VLOOKUP(A43,'Données projet'!$A$217:$I$237,4,0)),0,VLOOKUP(A43,'Données projet'!$A$217:$I$237,4,0))</f>
        <v>42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>
        <f>EXP(-LN(2)/35)*FQ42+(1-EXP(-LN(2)/35))/(LN(2)/35)*FM43*FN43*VLOOKUP('Données projet'!$B$16,Paramètres!$A$1:$I$89,3,0)*0.475*44/12</f>
        <v>0</v>
      </c>
      <c r="FR43" s="21">
        <f>EXP(-LN(2)/25)*FR42+(1-EXP(-LN(2)/25))/(LN(2)/25)*Calculateur!FM43*Calculateur!FO43*VLOOKUP('Données projet'!$B$16,Paramètres!$A$1:$I$89,3,0)*0.475*44/12</f>
        <v>2.516196210699992</v>
      </c>
      <c r="FS43" s="21">
        <f>EXP(-LN(2)/2)*FS42+(1-EXP(-LN(2)/2))/(LN(2)/2)*FM43*FP43*VLOOKUP('Données projet'!$B$16,Paramètres!$A$1:$I$89,3,0)*0.475*44/12</f>
        <v>0.20675623220612199</v>
      </c>
      <c r="FT43" s="22">
        <f t="shared" si="24"/>
        <v>2.7229524429061138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66.523902873460131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11.9</v>
      </c>
      <c r="FZ43" s="12">
        <f>IF('Données projet'!$A$244&gt;35,FZ42+FY43-GH42,IF(A43&lt;'Données projet'!$A$244,$FW$205^A43,IF(A43='Données projet'!$A$244,'Données projet'!$B$244,FZ42+FY43-GH42)))</f>
        <v>205.50000000000003</v>
      </c>
      <c r="GA43" s="17">
        <f>FZ43*VLOOKUP('Données projet'!$B$17,Paramètres!$A$1:$I$89,3,0)*VLOOKUP('Données projet'!$B$17,Paramètres!$A$1:$I$89,5,0)</f>
        <v>160.29000000000002</v>
      </c>
      <c r="GB43" s="13">
        <f t="shared" si="49"/>
        <v>40.907918820862015</v>
      </c>
      <c r="GC43" s="20">
        <f t="shared" si="25"/>
        <v>350.41970861300138</v>
      </c>
      <c r="GD43" s="59">
        <f t="shared" si="26"/>
        <v>631.00735248235515</v>
      </c>
      <c r="GE43" s="59">
        <f ca="1">AVERAGE(OFFSET($GD$3,0,0,'Données projet'!$E$17+1,1))-AVERAGE(OFFSET($H$3,0,0,'Données projet'!$E$17+1,1))</f>
        <v>300.95722646933314</v>
      </c>
      <c r="GF43" s="59">
        <f t="shared" si="50"/>
        <v>269.52365224623759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>
        <f>EXP(-LN(2)/35)*GL42+(1-EXP(-LN(2)/35))/(LN(2)/35)*GH43*GI43*VLOOKUP('Données projet'!$B$17,Paramètres!$A$1:$I$89,3,0)*0.475*44/12</f>
        <v>0.72998315780930512</v>
      </c>
      <c r="GM43" s="21">
        <f>EXP(-LN(2)/25)*GM42+(1-EXP(-LN(2)/25))/(LN(2)/25)*Calculateur!GH43*Calculateur!GJ43*VLOOKUP('Données projet'!$B$17,Paramètres!$A$1:$I$89,3,0)*0.475*44/12</f>
        <v>4.7283928004092397</v>
      </c>
      <c r="GN43" s="21">
        <f>EXP(-LN(2)/2)*GN42+(1-EXP(-LN(2)/2))/(LN(2)/2)*GH43*GK43*VLOOKUP('Données projet'!$B$17,Paramètres!$A$1:$I$89,3,0)*0.475*44/12</f>
        <v>0.27684261313190139</v>
      </c>
      <c r="GO43" s="21">
        <f t="shared" si="27"/>
        <v>5.7352185713504458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66.523902873460131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1.4000000000000001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5.1333333333333337</v>
      </c>
      <c r="H44" s="67">
        <f t="shared" si="1"/>
        <v>236.13333333333335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66.584205387216656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11.2</v>
      </c>
      <c r="N44" s="13">
        <f>IF('Données projet'!$A$36&gt;35,N43+M44-V43,IF(A44&lt;'Données projet'!$A$36,$K$205^A44,IF(A44='Données projet'!$A$36,'Données projet'!$B$36,N43+M44-V43)))</f>
        <v>158.19999999999999</v>
      </c>
      <c r="O44" s="13">
        <f>N44*VLOOKUP('Données projet'!$B$9,Paramètres!$A$1:$I$89,3,0)*VLOOKUP('Données projet'!$B$9,Paramètres!$A$1:$I$89,5,0)</f>
        <v>143.13935999999998</v>
      </c>
      <c r="P44" s="13">
        <f t="shared" si="33"/>
        <v>37.015257937854066</v>
      </c>
      <c r="Q44" s="20">
        <f t="shared" si="53"/>
        <v>313.76929290842912</v>
      </c>
      <c r="R44" s="59">
        <f t="shared" si="0"/>
        <v>594.5780459948902</v>
      </c>
      <c r="S44" s="59">
        <f ca="1">AVERAGE(OFFSET($R$3,0,0,'Données projet'!$E$9+1,1))-AVERAGE(OFFSET($H$3,0,0,'Données projet'!$E$9+1,1))</f>
        <v>479.46542424895119</v>
      </c>
      <c r="T44" s="59">
        <f t="shared" si="34"/>
        <v>337.96395820277337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1.9370764342143543</v>
      </c>
      <c r="AA44" s="21">
        <f>EXP(-LN(2)/25)*AA43+(1-EXP(-LN(2)/25))/(LN(2)/25)*Calculateur!V44*Calculateur!X44*VLOOKUP('Données projet'!$B$9,Paramètres!$A$1:$I$89,3,0)*0.475*44/12</f>
        <v>8.3169559260785704</v>
      </c>
      <c r="AB44" s="21">
        <f>EXP(-LN(2)/2)*AB43+(1-EXP(-LN(2)/2))/(LN(2)/2)*V44*Y44*VLOOKUP('Données projet'!$B$9,Paramètres!$A$1:$I$89,3,0)*0.475*44/12</f>
        <v>0.47626595594275495</v>
      </c>
      <c r="AC44" s="22">
        <f t="shared" si="3"/>
        <v>10.730298316235681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66.584205387216656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11.2</v>
      </c>
      <c r="AI44" s="13">
        <f>IF('Données projet'!$A$62&gt;35,AI43+AH44-AQ43,IF(A44&lt;'Données projet'!$A$62,$AF$205^A44,IF(A44='Données projet'!$A$62,'Données projet'!$B$62,AI43+AH44-AQ43)))</f>
        <v>158.19999999999999</v>
      </c>
      <c r="AJ44" s="13">
        <f>AI44*VLOOKUP('Données projet'!$B$10,Paramètres!$A$1:$I$89,3,0)*VLOOKUP('Données projet'!$B$10,Paramètres!$A$1:$I$89,5,0)</f>
        <v>153.01103999999998</v>
      </c>
      <c r="AK44" s="13">
        <f t="shared" si="35"/>
        <v>39.262061753688272</v>
      </c>
      <c r="AL44" s="20">
        <f t="shared" si="4"/>
        <v>334.87565222100699</v>
      </c>
      <c r="AM44" s="59">
        <f t="shared" si="5"/>
        <v>615.68440530746807</v>
      </c>
      <c r="AN44" s="59">
        <f ca="1">AVERAGE(OFFSET($AM$3,0,0,'Données projet'!$E$10+1,1))-AVERAGE(OFFSET($H$3,0,0,'Données projet'!$E$10+1,1))</f>
        <v>508.94560627895089</v>
      </c>
      <c r="AO44" s="59">
        <f t="shared" si="36"/>
        <v>357.86868650263034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2.0706679124360345</v>
      </c>
      <c r="AV44" s="21">
        <f>EXP(-LN(2)/25)*AV43+(1-EXP(-LN(2)/25))/(LN(2)/25)*Calculateur!AQ44*Calculateur!AS44*VLOOKUP('Données projet'!$B$10,Paramètres!$A$1:$I$89,3,0)*0.475*44/12</f>
        <v>8.8905390933943345</v>
      </c>
      <c r="AW44" s="21">
        <f>EXP(-LN(2)/2)*AW43+(1-EXP(-LN(2)/2))/(LN(2)/2)*AQ44*AT44*VLOOKUP('Données projet'!$B$10,Paramètres!$A$1:$I$89,3,0)*0.475*44/12</f>
        <v>0.5091118839388068</v>
      </c>
      <c r="AX44" s="21">
        <f t="shared" si="6"/>
        <v>11.470318889769176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66.584205387216656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11</v>
      </c>
      <c r="BD44" s="12">
        <f>IF('Données projet'!$A$88&gt;35,BD43+BC44-BL43,IF(A44&lt;'Données projet'!$A$88,$BA$205^A44,IF(A44='Données projet'!$A$88,'Données projet'!$B$88,BD43+BC44-BL43)))</f>
        <v>220.00000000000006</v>
      </c>
      <c r="BE44" s="13">
        <f>BD44*VLOOKUP('Données projet'!$B$11,Paramètres!$A$1:$I$89,3,0)*VLOOKUP('Données projet'!$B$11,Paramètres!$A$1:$I$89,5,0)</f>
        <v>171.60000000000005</v>
      </c>
      <c r="BF44" s="13">
        <f t="shared" si="37"/>
        <v>43.44817475464852</v>
      </c>
      <c r="BG44" s="20">
        <f t="shared" si="7"/>
        <v>374.54223769767958</v>
      </c>
      <c r="BH44" s="59">
        <f t="shared" si="8"/>
        <v>655.35099078414066</v>
      </c>
      <c r="BI44" s="59">
        <f ca="1">AVERAGE(OFFSET($BH$3,0,0,'Données projet'!$E$11+1,1))-AVERAGE(OFFSET($H$3,0,0,'Données projet'!$E$11+1,1))</f>
        <v>383.03154033422328</v>
      </c>
      <c r="BJ44" s="59">
        <f t="shared" si="38"/>
        <v>373.27897156169877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1.1629615291619433</v>
      </c>
      <c r="BQ44" s="21">
        <f>EXP(-LN(2)/25)*BQ43+(1-EXP(-LN(2)/25))/(LN(2)/25)*Calculateur!BL44*Calculateur!BN44*VLOOKUP('Données projet'!$B$11,Paramètres!$A$1:$I$89,3,0)*0.475*44/12</f>
        <v>6.1703492767730896</v>
      </c>
      <c r="BR44" s="21">
        <f>EXP(-LN(2)/2)*BR43+(1-EXP(-LN(2)/2))/(LN(2)/2)*BL44*BO44*VLOOKUP('Données projet'!$B$11,Paramètres!$A$1:$I$89,3,0)*0.475*44/12</f>
        <v>0.28883499159172216</v>
      </c>
      <c r="BS44" s="22">
        <f t="shared" si="9"/>
        <v>7.6221457975267555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66.584205387216656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11.2</v>
      </c>
      <c r="BY44" s="12">
        <f>IF('Données projet'!$A$114&gt;35,BY43+BX44-CG43,IF(A44&lt;'Données projet'!$A$114,$BV$205^A44,IF(A44='Données projet'!$A$114,'Données projet'!$B$114,BY43+BX44-CG43)))</f>
        <v>158.19999999999999</v>
      </c>
      <c r="BZ44" s="13">
        <f>BY44*VLOOKUP('Données projet'!$B$12,Paramètres!$A$1:$I$89,3,0)*VLOOKUP('Données projet'!$B$12,Paramètres!$A$1:$I$89,5,0)</f>
        <v>133.26768000000001</v>
      </c>
      <c r="CA44" s="13">
        <f t="shared" si="39"/>
        <v>34.750329840004937</v>
      </c>
      <c r="CB44" s="20">
        <f t="shared" si="10"/>
        <v>292.63136713800856</v>
      </c>
      <c r="CC44" s="59">
        <f t="shared" si="11"/>
        <v>573.44012022446964</v>
      </c>
      <c r="CD44" s="59">
        <f ca="1">AVERAGE(OFFSET($CC$3,0,0,'Données projet'!$E$12+1,1))-AVERAGE(OFFSET($H$3,0,0,'Données projet'!$E$12+1,1))</f>
        <v>449.94334483948603</v>
      </c>
      <c r="CE44" s="59">
        <f t="shared" si="40"/>
        <v>318.02929110264176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1.8034849559926749</v>
      </c>
      <c r="CL44" s="21">
        <f>EXP(-LN(2)/25)*CL43+(1-EXP(-LN(2)/25))/(LN(2)/25)*Calculateur!CG44*Calculateur!CI44*VLOOKUP('Données projet'!$B$12,Paramètres!$A$1:$I$89,3,0)*0.475*44/12</f>
        <v>7.7433727587628116</v>
      </c>
      <c r="CM44" s="21">
        <f>EXP(-LN(2)/2)*CM43+(1-EXP(-LN(2)/2))/(LN(2)/2)*CG44*CJ44*VLOOKUP('Données projet'!$B$12,Paramètres!$A$1:$I$89,3,0)*0.475*44/12</f>
        <v>0.44342002794670304</v>
      </c>
      <c r="CN44" s="22">
        <f t="shared" si="12"/>
        <v>9.9902777427021885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66.584205387216656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11</v>
      </c>
      <c r="CT44" s="12">
        <f>IF('Données projet'!$A$140&gt;35,CT43+CS44-DB43,IF(A44&lt;'Données projet'!$A$140,$CQ$205^A44,IF(A44='Données projet'!$A$140,'Données projet'!$B$140,CT43+CS44-DB43)))</f>
        <v>146.00000000000006</v>
      </c>
      <c r="CU44" s="17">
        <f>CT44*VLOOKUP('Données projet'!$B$13,Paramètres!$A$1:$I$89,3,0)*VLOOKUP('Données projet'!$B$13,Paramètres!$A$1:$I$89,5,0)</f>
        <v>125.26800000000007</v>
      </c>
      <c r="CV44" s="13">
        <f t="shared" si="41"/>
        <v>32.9005846700787</v>
      </c>
      <c r="CW44" s="20">
        <f t="shared" si="13"/>
        <v>275.47695163372049</v>
      </c>
      <c r="CX44" s="59">
        <f t="shared" si="14"/>
        <v>556.28570472018157</v>
      </c>
      <c r="CY44" s="59">
        <f ca="1">AVERAGE(OFFSET($CX$3,0,0,'Données projet'!$E$13+1,1))-AVERAGE(OFFSET($H$3,0,0,'Données projet'!$E$13+1,1))</f>
        <v>565.32667500225568</v>
      </c>
      <c r="CZ44" s="59">
        <f t="shared" si="42"/>
        <v>275.06957234480944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3.2296225192469534</v>
      </c>
      <c r="DH44" s="21">
        <f>EXP(-LN(2)/2)*DH43+(1-EXP(-LN(2)/2))/(LN(2)/2)*DB44*DE44*VLOOKUP('Données projet'!$B$13,Paramètres!$A$1:$I$89,3,0)*0.475*44/12</f>
        <v>0.15652534074118132</v>
      </c>
      <c r="DI44" s="22">
        <f t="shared" si="15"/>
        <v>3.3861478599881347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66.584205387216656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22.8</v>
      </c>
      <c r="DO44" s="12">
        <f>IF('Données projet'!$A$166&gt;35,DO43+DN44-DW43,IF(A44&lt;'Données projet'!$A$166,$DL$205^A44,IF(A44='Données projet'!$A$166,'Données projet'!$B$166,DO43+DN44-DW43)))</f>
        <v>409.80000000000007</v>
      </c>
      <c r="DP44" s="17">
        <f>DO44*VLOOKUP('Données projet'!$B$14,Paramètres!$A$1:$I$89,3,0)*VLOOKUP('Données projet'!$B$14,Paramètres!$A$1:$I$89,5,0)</f>
        <v>229.07820000000004</v>
      </c>
      <c r="DQ44" s="13">
        <f t="shared" si="43"/>
        <v>56.083320258718402</v>
      </c>
      <c r="DR44" s="20">
        <f t="shared" si="16"/>
        <v>496.65631445060126</v>
      </c>
      <c r="DS44" s="59">
        <f t="shared" si="17"/>
        <v>777.4650675370624</v>
      </c>
      <c r="DT44" s="59">
        <f ca="1">AVERAGE(OFFSET($DS$3,0,0,'Données projet'!$E$14+1,1))-AVERAGE(OFFSET($H$3,0,0,'Données projet'!$E$14+1,1))</f>
        <v>532.64469322244281</v>
      </c>
      <c r="DU44" s="59">
        <f t="shared" si="44"/>
        <v>525.88014011096413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9.1844141277404763</v>
      </c>
      <c r="EB44" s="21">
        <f>EXP(-LN(2)/25)*EB43+(1-EXP(-LN(2)/25))/(LN(2)/25)*Calculateur!DW44*Calculateur!DY44*VLOOKUP('Données projet'!$B$14,Paramètres!$A$1:$I$89,3,0)*0.475*44/12</f>
        <v>28.570902599141863</v>
      </c>
      <c r="EC44" s="21">
        <f>EXP(-LN(2)/2)*EC43+(1-EXP(-LN(2)/2))/(LN(2)/2)*DW44*DZ44*VLOOKUP('Données projet'!$B$14,Paramètres!$A$1:$I$89,3,0)*0.475*44/12</f>
        <v>0.80592255312011341</v>
      </c>
      <c r="ED44" s="22">
        <f t="shared" si="18"/>
        <v>38.561239280002454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66.584205387216656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8.3000000000000007</v>
      </c>
      <c r="EJ44" s="12">
        <f>IF('Données projet'!$A$192&gt;35,EJ43+EI44-ER43,IF(A44&lt;'Données projet'!$A$192,$EG$205^A44,IF(A44='Données projet'!$A$192,'Données projet'!$B$192,EJ43+EI44-ER43)))</f>
        <v>124.29999999999995</v>
      </c>
      <c r="EK44" s="17">
        <f>EJ44*VLOOKUP('Données projet'!$B$15,Paramètres!$A$1:$I$89,3,0)*VLOOKUP('Données projet'!$B$15,Paramètres!$A$1:$I$89,5,0)</f>
        <v>112.46663999999996</v>
      </c>
      <c r="EL44" s="13">
        <f t="shared" si="45"/>
        <v>29.911391992758421</v>
      </c>
      <c r="EM44" s="20">
        <f t="shared" si="19"/>
        <v>247.97507238738748</v>
      </c>
      <c r="EN44" s="59">
        <f t="shared" si="20"/>
        <v>528.78382547384854</v>
      </c>
      <c r="EO44" s="59">
        <f ca="1">AVERAGE(OFFSET($EN$3,0,0,'Données projet'!$E$15+1,1))-AVERAGE(OFFSET($H$3,0,0,'Données projet'!$E$15+1,1))</f>
        <v>398.27843768730202</v>
      </c>
      <c r="EP44" s="59">
        <f t="shared" si="46"/>
        <v>252.3617347568813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0</v>
      </c>
      <c r="EW44" s="21">
        <f>EXP(-LN(2)/25)*EW43+(1-EXP(-LN(2)/25))/(LN(2)/25)*Calculateur!ER44*Calculateur!ET44*VLOOKUP('Données projet'!$B$15,Paramètres!$A$1:$I$89,3,0)*0.475*44/12</f>
        <v>2.2894945192556255</v>
      </c>
      <c r="EX44" s="21">
        <f>EXP(-LN(2)/2)*EX43+(1-EXP(-LN(2)/2))/(LN(2)/2)*ER44*EU44*VLOOKUP('Données projet'!$B$15,Paramètres!$A$1:$I$89,3,0)*0.475*44/12</f>
        <v>0.13676655746839841</v>
      </c>
      <c r="EY44" s="22">
        <f t="shared" si="21"/>
        <v>2.4262610767240238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66.584205387216656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8.3000000000000007</v>
      </c>
      <c r="FE44" s="12">
        <f>IF('Données projet'!$A$218&gt;35,FE43+FD44-FM43,IF(A44&lt;'Données projet'!$A$218,$FB$205^A44,IF(A44='Données projet'!$A$218,'Données projet'!$B$218,FE43+FD44-FM43)))</f>
        <v>124.29999999999995</v>
      </c>
      <c r="FF44" s="17">
        <f>FE44*VLOOKUP('Données projet'!$B$16,Paramètres!$A$1:$I$89,3,0)*VLOOKUP('Données projet'!$B$16,Paramètres!$A$1:$I$89,5,0)</f>
        <v>120.22295999999996</v>
      </c>
      <c r="FG44" s="13">
        <f t="shared" si="47"/>
        <v>31.726995433347049</v>
      </c>
      <c r="FH44" s="20">
        <f t="shared" si="22"/>
        <v>264.64617237974602</v>
      </c>
      <c r="FI44" s="59">
        <f t="shared" si="23"/>
        <v>545.4549254662071</v>
      </c>
      <c r="FJ44" s="59">
        <f ca="1">AVERAGE(OFFSET($FI$3,0,0,'Données projet'!$E$16+1,1))-AVERAGE(OFFSET($H$3,0,0,'Données projet'!$E$16+1,1))</f>
        <v>422.28024471365825</v>
      </c>
      <c r="FK44" s="59">
        <f t="shared" si="48"/>
        <v>266.49730479813206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0</v>
      </c>
      <c r="FR44" s="21">
        <f>EXP(-LN(2)/25)*FR43+(1-EXP(-LN(2)/25))/(LN(2)/25)*Calculateur!FM44*Calculateur!FO44*VLOOKUP('Données projet'!$B$16,Paramètres!$A$1:$I$89,3,0)*0.475*44/12</f>
        <v>2.4473906929973928</v>
      </c>
      <c r="FS44" s="21">
        <f>EXP(-LN(2)/2)*FS43+(1-EXP(-LN(2)/2))/(LN(2)/2)*FM44*FP44*VLOOKUP('Données projet'!$B$16,Paramètres!$A$1:$I$89,3,0)*0.475*44/12</f>
        <v>0.14619873384552931</v>
      </c>
      <c r="FT44" s="22">
        <f t="shared" si="24"/>
        <v>2.593589426842922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66.584205387216656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11.9</v>
      </c>
      <c r="FZ44" s="12">
        <f>IF('Données projet'!$A$244&gt;35,FZ43+FY44-GH43,IF(A44&lt;'Données projet'!$A$244,$FW$205^A44,IF(A44='Données projet'!$A$244,'Données projet'!$B$244,FZ43+FY44-GH43)))</f>
        <v>217.40000000000003</v>
      </c>
      <c r="GA44" s="17">
        <f>FZ44*VLOOKUP('Données projet'!$B$17,Paramètres!$A$1:$I$89,3,0)*VLOOKUP('Données projet'!$B$17,Paramètres!$A$1:$I$89,5,0)</f>
        <v>169.57200000000003</v>
      </c>
      <c r="GB44" s="13">
        <f t="shared" si="49"/>
        <v>42.994151764076129</v>
      </c>
      <c r="GC44" s="20">
        <f t="shared" si="25"/>
        <v>370.21938098909931</v>
      </c>
      <c r="GD44" s="59">
        <f t="shared" si="26"/>
        <v>651.02813407556039</v>
      </c>
      <c r="GE44" s="59">
        <f ca="1">AVERAGE(OFFSET($GD$3,0,0,'Données projet'!$E$17+1,1))-AVERAGE(OFFSET($H$3,0,0,'Données projet'!$E$17+1,1))</f>
        <v>300.95722646933314</v>
      </c>
      <c r="GF44" s="59">
        <f t="shared" si="50"/>
        <v>269.52365224623759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>
        <f>EXP(-LN(2)/35)*GL43+(1-EXP(-LN(2)/35))/(LN(2)/35)*GH44*GI44*VLOOKUP('Données projet'!$B$17,Paramètres!$A$1:$I$89,3,0)*0.475*44/12</f>
        <v>0.71566863333042652</v>
      </c>
      <c r="GM44" s="21">
        <f>EXP(-LN(2)/25)*GM43+(1-EXP(-LN(2)/25))/(LN(2)/25)*Calculateur!GH44*Calculateur!GJ44*VLOOKUP('Données projet'!$B$17,Paramètres!$A$1:$I$89,3,0)*0.475*44/12</f>
        <v>4.5990946506266788</v>
      </c>
      <c r="GN44" s="21">
        <f>EXP(-LN(2)/2)*GN43+(1-EXP(-LN(2)/2))/(LN(2)/2)*GH44*GK44*VLOOKUP('Données projet'!$B$17,Paramètres!$A$1:$I$89,3,0)*0.475*44/12</f>
        <v>0.19575728906697143</v>
      </c>
      <c r="GO44" s="21">
        <f t="shared" si="27"/>
        <v>5.5105205730240767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66.584205387216656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1.4000000000000001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5.1333333333333337</v>
      </c>
      <c r="H45" s="67">
        <f t="shared" si="1"/>
        <v>236.13333333333335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66.643461787175738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11.2</v>
      </c>
      <c r="N45" s="13">
        <f>IF('Données projet'!$A$36&gt;35,N44+M45-V44,IF(A45&lt;'Données projet'!$A$36,$K$205^A45,IF(A45='Données projet'!$A$36,'Données projet'!$B$36,N44+M45-V44)))</f>
        <v>169.39999999999998</v>
      </c>
      <c r="O45" s="13">
        <f>N45*VLOOKUP('Données projet'!$B$9,Paramètres!$A$1:$I$89,3,0)*VLOOKUP('Données projet'!$B$9,Paramètres!$A$1:$I$89,5,0)</f>
        <v>153.27311999999998</v>
      </c>
      <c r="P45" s="13">
        <f t="shared" si="33"/>
        <v>39.321476829336504</v>
      </c>
      <c r="Q45" s="20">
        <f t="shared" si="53"/>
        <v>335.43558947776097</v>
      </c>
      <c r="R45" s="59">
        <f t="shared" si="0"/>
        <v>616.4616160307387</v>
      </c>
      <c r="S45" s="59">
        <f ca="1">AVERAGE(OFFSET($R$3,0,0,'Données projet'!$E$9+1,1))-AVERAGE(OFFSET($H$3,0,0,'Données projet'!$E$9+1,1))</f>
        <v>479.46542424895119</v>
      </c>
      <c r="T45" s="59">
        <f t="shared" si="34"/>
        <v>337.96395820277337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1.8990915468393723</v>
      </c>
      <c r="AA45" s="21">
        <f>EXP(-LN(2)/25)*AA44+(1-EXP(-LN(2)/25))/(LN(2)/25)*Calculateur!V45*Calculateur!X45*VLOOKUP('Données projet'!$B$9,Paramètres!$A$1:$I$89,3,0)*0.475*44/12</f>
        <v>8.089528328910248</v>
      </c>
      <c r="AB45" s="21">
        <f>EXP(-LN(2)/2)*AB44+(1-EXP(-LN(2)/2))/(LN(2)/2)*V45*Y45*VLOOKUP('Données projet'!$B$9,Paramètres!$A$1:$I$89,3,0)*0.475*44/12</f>
        <v>0.33677088709541553</v>
      </c>
      <c r="AC45" s="22">
        <f t="shared" si="3"/>
        <v>10.325390762845036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66.643461787175738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11.2</v>
      </c>
      <c r="AI45" s="13">
        <f>IF('Données projet'!$A$62&gt;35,AI44+AH45-AQ44,IF(A45&lt;'Données projet'!$A$62,$AF$205^A45,IF(A45='Données projet'!$A$62,'Données projet'!$B$62,AI44+AH45-AQ44)))</f>
        <v>169.39999999999998</v>
      </c>
      <c r="AJ45" s="13">
        <f>AI45*VLOOKUP('Données projet'!$B$10,Paramètres!$A$1:$I$89,3,0)*VLOOKUP('Données projet'!$B$10,Paramètres!$A$1:$I$89,5,0)</f>
        <v>163.84368000000001</v>
      </c>
      <c r="AK45" s="13">
        <f t="shared" si="35"/>
        <v>41.708266739938274</v>
      </c>
      <c r="AL45" s="20">
        <f t="shared" si="4"/>
        <v>358.00297390539248</v>
      </c>
      <c r="AM45" s="59">
        <f t="shared" si="5"/>
        <v>639.02900045837021</v>
      </c>
      <c r="AN45" s="59">
        <f ca="1">AVERAGE(OFFSET($AM$3,0,0,'Données projet'!$E$10+1,1))-AVERAGE(OFFSET($H$3,0,0,'Données projet'!$E$10+1,1))</f>
        <v>508.94560627895089</v>
      </c>
      <c r="AO45" s="59">
        <f t="shared" si="36"/>
        <v>357.86868650263034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2.0300633776558814</v>
      </c>
      <c r="AV45" s="21">
        <f>EXP(-LN(2)/25)*AV44+(1-EXP(-LN(2)/25))/(LN(2)/25)*Calculateur!AQ45*Calculateur!AS45*VLOOKUP('Données projet'!$B$10,Paramètres!$A$1:$I$89,3,0)*0.475*44/12</f>
        <v>8.6474268343523359</v>
      </c>
      <c r="AW45" s="21">
        <f>EXP(-LN(2)/2)*AW44+(1-EXP(-LN(2)/2))/(LN(2)/2)*AQ45*AT45*VLOOKUP('Données projet'!$B$10,Paramètres!$A$1:$I$89,3,0)*0.475*44/12</f>
        <v>0.35999646551578884</v>
      </c>
      <c r="AX45" s="21">
        <f t="shared" si="6"/>
        <v>11.037486677524006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66.643461787175738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11</v>
      </c>
      <c r="BD45" s="12">
        <f>IF('Données projet'!$A$88&gt;35,BD44+BC45-BL44,IF(A45&lt;'Données projet'!$A$88,$BA$205^A45,IF(A45='Données projet'!$A$88,'Données projet'!$B$88,BD44+BC45-BL44)))</f>
        <v>231.00000000000006</v>
      </c>
      <c r="BE45" s="13">
        <f>BD45*VLOOKUP('Données projet'!$B$11,Paramètres!$A$1:$I$89,3,0)*VLOOKUP('Données projet'!$B$11,Paramètres!$A$1:$I$89,5,0)</f>
        <v>180.18000000000006</v>
      </c>
      <c r="BF45" s="13">
        <f t="shared" si="37"/>
        <v>45.362230520410691</v>
      </c>
      <c r="BG45" s="20">
        <f t="shared" si="7"/>
        <v>392.81938482304872</v>
      </c>
      <c r="BH45" s="59">
        <f t="shared" si="8"/>
        <v>673.8454113760265</v>
      </c>
      <c r="BI45" s="59">
        <f ca="1">AVERAGE(OFFSET($BH$3,0,0,'Données projet'!$E$11+1,1))-AVERAGE(OFFSET($H$3,0,0,'Données projet'!$E$11+1,1))</f>
        <v>383.03154033422328</v>
      </c>
      <c r="BJ45" s="59">
        <f t="shared" si="38"/>
        <v>373.27897156169877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1.1401565629115693</v>
      </c>
      <c r="BQ45" s="21">
        <f>EXP(-LN(2)/25)*BQ44+(1-EXP(-LN(2)/25))/(LN(2)/25)*Calculateur!BL45*Calculateur!BN45*VLOOKUP('Données projet'!$B$11,Paramètres!$A$1:$I$89,3,0)*0.475*44/12</f>
        <v>6.0016207513151638</v>
      </c>
      <c r="BR45" s="21">
        <f>EXP(-LN(2)/2)*BR44+(1-EXP(-LN(2)/2))/(LN(2)/2)*BL45*BO45*VLOOKUP('Données projet'!$B$11,Paramètres!$A$1:$I$89,3,0)*0.475*44/12</f>
        <v>0.20423718119846618</v>
      </c>
      <c r="BS45" s="22">
        <f t="shared" si="9"/>
        <v>7.3460144954251989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66.643461787175738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11.2</v>
      </c>
      <c r="BY45" s="12">
        <f>IF('Données projet'!$A$114&gt;35,BY44+BX45-CG44,IF(A45&lt;'Données projet'!$A$114,$BV$205^A45,IF(A45='Données projet'!$A$114,'Données projet'!$B$114,BY44+BX45-CG44)))</f>
        <v>169.39999999999998</v>
      </c>
      <c r="BZ45" s="13">
        <f>BY45*VLOOKUP('Données projet'!$B$12,Paramètres!$A$1:$I$89,3,0)*VLOOKUP('Données projet'!$B$12,Paramètres!$A$1:$I$89,5,0)</f>
        <v>142.70256000000001</v>
      </c>
      <c r="CA45" s="13">
        <f t="shared" si="39"/>
        <v>36.91543341153259</v>
      </c>
      <c r="CB45" s="20">
        <f t="shared" si="10"/>
        <v>312.83467185841931</v>
      </c>
      <c r="CC45" s="59">
        <f t="shared" si="11"/>
        <v>593.86069841139704</v>
      </c>
      <c r="CD45" s="59">
        <f ca="1">AVERAGE(OFFSET($CC$3,0,0,'Données projet'!$E$12+1,1))-AVERAGE(OFFSET($H$3,0,0,'Données projet'!$E$12+1,1))</f>
        <v>449.94334483948603</v>
      </c>
      <c r="CE45" s="59">
        <f t="shared" si="40"/>
        <v>318.02929110264176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1.7681197160228641</v>
      </c>
      <c r="CL45" s="21">
        <f>EXP(-LN(2)/25)*CL44+(1-EXP(-LN(2)/25))/(LN(2)/25)*Calculateur!CG45*Calculateur!CI45*VLOOKUP('Données projet'!$B$12,Paramètres!$A$1:$I$89,3,0)*0.475*44/12</f>
        <v>7.5316298234681671</v>
      </c>
      <c r="CM45" s="21">
        <f>EXP(-LN(2)/2)*CM44+(1-EXP(-LN(2)/2))/(LN(2)/2)*CG45*CJ45*VLOOKUP('Données projet'!$B$12,Paramètres!$A$1:$I$89,3,0)*0.475*44/12</f>
        <v>0.31354530867504216</v>
      </c>
      <c r="CN45" s="22">
        <f t="shared" si="12"/>
        <v>9.613294848166074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66.643461787175738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11</v>
      </c>
      <c r="CT45" s="12">
        <f>IF('Données projet'!$A$140&gt;35,CT44+CS45-DB44,IF(A45&lt;'Données projet'!$A$140,$CQ$205^A45,IF(A45='Données projet'!$A$140,'Données projet'!$B$140,CT44+CS45-DB44)))</f>
        <v>157.00000000000006</v>
      </c>
      <c r="CU45" s="17">
        <f>CT45*VLOOKUP('Données projet'!$B$13,Paramètres!$A$1:$I$89,3,0)*VLOOKUP('Données projet'!$B$13,Paramètres!$A$1:$I$89,5,0)</f>
        <v>134.70600000000007</v>
      </c>
      <c r="CV45" s="13">
        <f t="shared" si="41"/>
        <v>35.081517028838533</v>
      </c>
      <c r="CW45" s="20">
        <f t="shared" si="13"/>
        <v>295.71325882522723</v>
      </c>
      <c r="CX45" s="59">
        <f t="shared" si="14"/>
        <v>576.73928537820495</v>
      </c>
      <c r="CY45" s="59">
        <f ca="1">AVERAGE(OFFSET($CX$3,0,0,'Données projet'!$E$13+1,1))-AVERAGE(OFFSET($H$3,0,0,'Données projet'!$E$13+1,1))</f>
        <v>565.32667500225568</v>
      </c>
      <c r="CZ45" s="59">
        <f t="shared" si="42"/>
        <v>275.06957234480944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3.1413083216196784</v>
      </c>
      <c r="DH45" s="21">
        <f>EXP(-LN(2)/2)*DH44+(1-EXP(-LN(2)/2))/(LN(2)/2)*DB45*DE45*VLOOKUP('Données projet'!$B$13,Paramètres!$A$1:$I$89,3,0)*0.475*44/12</f>
        <v>0.1106801298656243</v>
      </c>
      <c r="DI45" s="22">
        <f t="shared" si="15"/>
        <v>3.2519884514853028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66.643461787175738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22.8</v>
      </c>
      <c r="DO45" s="12">
        <f>IF('Données projet'!$A$166&gt;35,DO44+DN45-DW44,IF(A45&lt;'Données projet'!$A$166,$DL$205^A45,IF(A45='Données projet'!$A$166,'Données projet'!$B$166,DO44+DN45-DW44)))</f>
        <v>432.60000000000008</v>
      </c>
      <c r="DP45" s="17">
        <f>DO45*VLOOKUP('Données projet'!$B$14,Paramètres!$A$1:$I$89,3,0)*VLOOKUP('Données projet'!$B$14,Paramètres!$A$1:$I$89,5,0)</f>
        <v>241.82340000000005</v>
      </c>
      <c r="DQ45" s="13">
        <f t="shared" si="43"/>
        <v>58.831670892221915</v>
      </c>
      <c r="DR45" s="20">
        <f t="shared" si="16"/>
        <v>523.64091513728647</v>
      </c>
      <c r="DS45" s="59">
        <f t="shared" si="17"/>
        <v>804.66694169026414</v>
      </c>
      <c r="DT45" s="59">
        <f ca="1">AVERAGE(OFFSET($DS$3,0,0,'Données projet'!$E$14+1,1))-AVERAGE(OFFSET($H$3,0,0,'Données projet'!$E$14+1,1))</f>
        <v>532.64469322244281</v>
      </c>
      <c r="DU45" s="59">
        <f t="shared" si="44"/>
        <v>525.88014011096413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9.004313368634957</v>
      </c>
      <c r="EB45" s="21">
        <f>EXP(-LN(2)/25)*EB44+(1-EXP(-LN(2)/25))/(LN(2)/25)*Calculateur!DW45*Calculateur!DY45*VLOOKUP('Données projet'!$B$14,Paramètres!$A$1:$I$89,3,0)*0.475*44/12</f>
        <v>27.78962976508986</v>
      </c>
      <c r="EC45" s="21">
        <f>EXP(-LN(2)/2)*EC44+(1-EXP(-LN(2)/2))/(LN(2)/2)*DW45*DZ45*VLOOKUP('Données projet'!$B$14,Paramètres!$A$1:$I$89,3,0)*0.475*44/12</f>
        <v>0.56987330242240775</v>
      </c>
      <c r="ED45" s="22">
        <f t="shared" si="18"/>
        <v>37.363816436147225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66.643461787175738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8.3000000000000007</v>
      </c>
      <c r="EJ45" s="12">
        <f>IF('Données projet'!$A$192&gt;35,EJ44+EI45-ER44,IF(A45&lt;'Données projet'!$A$192,$EG$205^A45,IF(A45='Données projet'!$A$192,'Données projet'!$B$192,EJ44+EI45-ER44)))</f>
        <v>132.59999999999997</v>
      </c>
      <c r="EK45" s="17">
        <f>EJ45*VLOOKUP('Données projet'!$B$15,Paramètres!$A$1:$I$89,3,0)*VLOOKUP('Données projet'!$B$15,Paramètres!$A$1:$I$89,5,0)</f>
        <v>119.97647999999997</v>
      </c>
      <c r="EL45" s="13">
        <f t="shared" si="45"/>
        <v>31.669513577784763</v>
      </c>
      <c r="EM45" s="20">
        <f t="shared" si="19"/>
        <v>264.11677214797504</v>
      </c>
      <c r="EN45" s="59">
        <f t="shared" si="20"/>
        <v>545.14279870095277</v>
      </c>
      <c r="EO45" s="59">
        <f ca="1">AVERAGE(OFFSET($EN$3,0,0,'Données projet'!$E$15+1,1))-AVERAGE(OFFSET($H$3,0,0,'Données projet'!$E$15+1,1))</f>
        <v>398.27843768730202</v>
      </c>
      <c r="EP45" s="59">
        <f t="shared" si="46"/>
        <v>252.3617347568813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0</v>
      </c>
      <c r="EW45" s="21">
        <f>EXP(-LN(2)/25)*EW44+(1-EXP(-LN(2)/25))/(LN(2)/25)*Calculateur!ER45*Calculateur!ET45*VLOOKUP('Données projet'!$B$15,Paramètres!$A$1:$I$89,3,0)*0.475*44/12</f>
        <v>2.2268881712272965</v>
      </c>
      <c r="EX45" s="21">
        <f>EXP(-LN(2)/2)*EX44+(1-EXP(-LN(2)/2))/(LN(2)/2)*ER45*EU45*VLOOKUP('Données projet'!$B$15,Paramètres!$A$1:$I$89,3,0)*0.475*44/12</f>
        <v>9.6708560225444176E-2</v>
      </c>
      <c r="EY45" s="22">
        <f t="shared" si="21"/>
        <v>2.3235967314527408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66.643461787175738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8.3000000000000007</v>
      </c>
      <c r="FE45" s="12">
        <f>IF('Données projet'!$A$218&gt;35,FE44+FD45-FM44,IF(A45&lt;'Données projet'!$A$218,$FB$205^A45,IF(A45='Données projet'!$A$218,'Données projet'!$B$218,FE44+FD45-FM44)))</f>
        <v>132.59999999999997</v>
      </c>
      <c r="FF45" s="17">
        <f>FE45*VLOOKUP('Données projet'!$B$16,Paramètres!$A$1:$I$89,3,0)*VLOOKUP('Données projet'!$B$16,Paramètres!$A$1:$I$89,5,0)</f>
        <v>128.25071999999997</v>
      </c>
      <c r="FG45" s="13">
        <f t="shared" si="47"/>
        <v>33.591833937449593</v>
      </c>
      <c r="FH45" s="20">
        <f t="shared" si="22"/>
        <v>281.875781441058</v>
      </c>
      <c r="FI45" s="59">
        <f t="shared" si="23"/>
        <v>562.90180799403572</v>
      </c>
      <c r="FJ45" s="59">
        <f ca="1">AVERAGE(OFFSET($FI$3,0,0,'Données projet'!$E$16+1,1))-AVERAGE(OFFSET($H$3,0,0,'Données projet'!$E$16+1,1))</f>
        <v>422.28024471365825</v>
      </c>
      <c r="FK45" s="59">
        <f t="shared" si="48"/>
        <v>266.49730479813206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0</v>
      </c>
      <c r="FR45" s="21">
        <f>EXP(-LN(2)/25)*FR44+(1-EXP(-LN(2)/25))/(LN(2)/25)*Calculateur!FM45*Calculateur!FO45*VLOOKUP('Données projet'!$B$16,Paramètres!$A$1:$I$89,3,0)*0.475*44/12</f>
        <v>2.380466665794696</v>
      </c>
      <c r="FS45" s="21">
        <f>EXP(-LN(2)/2)*FS44+(1-EXP(-LN(2)/2))/(LN(2)/2)*FM45*FP45*VLOOKUP('Données projet'!$B$16,Paramètres!$A$1:$I$89,3,0)*0.475*44/12</f>
        <v>0.103378116103061</v>
      </c>
      <c r="FT45" s="22">
        <f t="shared" si="24"/>
        <v>2.4838447818977571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66.643461787175738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11.9</v>
      </c>
      <c r="FZ45" s="12">
        <f>IF('Données projet'!$A$244&gt;35,FZ44+FY45-GH44,IF(A45&lt;'Données projet'!$A$244,$FW$205^A45,IF(A45='Données projet'!$A$244,'Données projet'!$B$244,FZ44+FY45-GH44)))</f>
        <v>229.30000000000004</v>
      </c>
      <c r="GA45" s="17">
        <f>FZ45*VLOOKUP('Données projet'!$B$17,Paramètres!$A$1:$I$89,3,0)*VLOOKUP('Données projet'!$B$17,Paramètres!$A$1:$I$89,5,0)</f>
        <v>178.85400000000004</v>
      </c>
      <c r="GB45" s="13">
        <f t="shared" si="49"/>
        <v>45.067127581452645</v>
      </c>
      <c r="GC45" s="20">
        <f t="shared" si="25"/>
        <v>389.99596387103003</v>
      </c>
      <c r="GD45" s="59">
        <f t="shared" si="26"/>
        <v>671.02199042400775</v>
      </c>
      <c r="GE45" s="59">
        <f ca="1">AVERAGE(OFFSET($GD$3,0,0,'Données projet'!$E$17+1,1))-AVERAGE(OFFSET($H$3,0,0,'Données projet'!$E$17+1,1))</f>
        <v>300.95722646933314</v>
      </c>
      <c r="GF45" s="59">
        <f t="shared" si="50"/>
        <v>269.52365224623759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>
        <f>EXP(-LN(2)/35)*GL44+(1-EXP(-LN(2)/35))/(LN(2)/35)*GH45*GI45*VLOOKUP('Données projet'!$B$17,Paramètres!$A$1:$I$89,3,0)*0.475*44/12</f>
        <v>0.70163480794558097</v>
      </c>
      <c r="GM45" s="21">
        <f>EXP(-LN(2)/25)*GM44+(1-EXP(-LN(2)/25))/(LN(2)/25)*Calculateur!GH45*Calculateur!GJ45*VLOOKUP('Données projet'!$B$17,Paramètres!$A$1:$I$89,3,0)*0.475*44/12</f>
        <v>4.473332165549416</v>
      </c>
      <c r="GN45" s="21">
        <f>EXP(-LN(2)/2)*GN44+(1-EXP(-LN(2)/2))/(LN(2)/2)*GH45*GK45*VLOOKUP('Données projet'!$B$17,Paramètres!$A$1:$I$89,3,0)*0.475*44/12</f>
        <v>0.1384213065659507</v>
      </c>
      <c r="GO45" s="21">
        <f t="shared" si="27"/>
        <v>5.3133882800609475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66.643461787175738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1.4000000000000001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5.1333333333333337</v>
      </c>
      <c r="H46" s="67">
        <f t="shared" si="1"/>
        <v>236.13333333333335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66.701690221072994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11.2</v>
      </c>
      <c r="N46" s="13">
        <f>IF('Données projet'!$A$36&gt;35,N45+M46-V45,IF(A46&lt;'Données projet'!$A$36,$K$205^A46,IF(A46='Données projet'!$A$36,'Données projet'!$B$36,N45+M46-V45)))</f>
        <v>180.59999999999997</v>
      </c>
      <c r="O46" s="13">
        <f>N46*VLOOKUP('Données projet'!$B$9,Paramètres!$A$1:$I$89,3,0)*VLOOKUP('Données projet'!$B$9,Paramètres!$A$1:$I$89,5,0)</f>
        <v>163.40687999999997</v>
      </c>
      <c r="P46" s="13">
        <f t="shared" si="33"/>
        <v>41.610001881769797</v>
      </c>
      <c r="Q46" s="20">
        <f t="shared" si="53"/>
        <v>357.07106927741569</v>
      </c>
      <c r="R46" s="59">
        <f t="shared" si="0"/>
        <v>638.3106000880166</v>
      </c>
      <c r="S46" s="59">
        <f ca="1">AVERAGE(OFFSET($R$3,0,0,'Données projet'!$E$9+1,1))-AVERAGE(OFFSET($H$3,0,0,'Données projet'!$E$9+1,1))</f>
        <v>479.46542424895119</v>
      </c>
      <c r="T46" s="59">
        <f t="shared" si="34"/>
        <v>337.96395820277337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1.86185151993732</v>
      </c>
      <c r="AA46" s="21">
        <f>EXP(-LN(2)/25)*AA45+(1-EXP(-LN(2)/25))/(LN(2)/25)*Calculateur!V46*Calculateur!X46*VLOOKUP('Données projet'!$B$9,Paramètres!$A$1:$I$89,3,0)*0.475*44/12</f>
        <v>7.8683197513463909</v>
      </c>
      <c r="AB46" s="21">
        <f>EXP(-LN(2)/2)*AB45+(1-EXP(-LN(2)/2))/(LN(2)/2)*V46*Y46*VLOOKUP('Données projet'!$B$9,Paramètres!$A$1:$I$89,3,0)*0.475*44/12</f>
        <v>0.2381329779713775</v>
      </c>
      <c r="AC46" s="22">
        <f t="shared" si="3"/>
        <v>9.9683042492550875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66.701690221072994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11.2</v>
      </c>
      <c r="AI46" s="13">
        <f>IF('Données projet'!$A$62&gt;35,AI45+AH46-AQ45,IF(A46&lt;'Données projet'!$A$62,$AF$205^A46,IF(A46='Données projet'!$A$62,'Données projet'!$B$62,AI45+AH46-AQ45)))</f>
        <v>180.59999999999997</v>
      </c>
      <c r="AJ46" s="13">
        <f>AI46*VLOOKUP('Données projet'!$B$10,Paramètres!$A$1:$I$89,3,0)*VLOOKUP('Données projet'!$B$10,Paramètres!$A$1:$I$89,5,0)</f>
        <v>174.67631999999998</v>
      </c>
      <c r="AK46" s="13">
        <f t="shared" si="35"/>
        <v>44.13570388178811</v>
      </c>
      <c r="AL46" s="20">
        <f t="shared" si="4"/>
        <v>381.09760826078087</v>
      </c>
      <c r="AM46" s="59">
        <f t="shared" si="5"/>
        <v>662.3371390713819</v>
      </c>
      <c r="AN46" s="59">
        <f ca="1">AVERAGE(OFFSET($AM$3,0,0,'Données projet'!$E$10+1,1))-AVERAGE(OFFSET($H$3,0,0,'Données projet'!$E$10+1,1))</f>
        <v>508.94560627895089</v>
      </c>
      <c r="AO46" s="59">
        <f t="shared" si="36"/>
        <v>357.86868650263034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1.9902550730364463</v>
      </c>
      <c r="AV46" s="21">
        <f>EXP(-LN(2)/25)*AV45+(1-EXP(-LN(2)/25))/(LN(2)/25)*Calculateur!AQ46*Calculateur!AS46*VLOOKUP('Données projet'!$B$10,Paramètres!$A$1:$I$89,3,0)*0.475*44/12</f>
        <v>8.4109624928185589</v>
      </c>
      <c r="AW46" s="21">
        <f>EXP(-LN(2)/2)*AW45+(1-EXP(-LN(2)/2))/(LN(2)/2)*AQ46*AT46*VLOOKUP('Données projet'!$B$10,Paramètres!$A$1:$I$89,3,0)*0.475*44/12</f>
        <v>0.2545559419694034</v>
      </c>
      <c r="AX46" s="21">
        <f t="shared" si="6"/>
        <v>10.655773507824408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66.701690221072994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11</v>
      </c>
      <c r="BD46" s="12">
        <f>IF('Données projet'!$A$88&gt;35,BD45+BC46-BL45,IF(A46&lt;'Données projet'!$A$88,$BA$205^A46,IF(A46='Données projet'!$A$88,'Données projet'!$B$88,BD45+BC46-BL45)))</f>
        <v>242.00000000000006</v>
      </c>
      <c r="BE46" s="13">
        <f>BD46*VLOOKUP('Données projet'!$B$11,Paramètres!$A$1:$I$89,3,0)*VLOOKUP('Données projet'!$B$11,Paramètres!$A$1:$I$89,5,0)</f>
        <v>188.76000000000005</v>
      </c>
      <c r="BF46" s="13">
        <f t="shared" si="37"/>
        <v>47.265702073783714</v>
      </c>
      <c r="BG46" s="20">
        <f t="shared" si="7"/>
        <v>411.07809777850667</v>
      </c>
      <c r="BH46" s="59">
        <f t="shared" si="8"/>
        <v>692.3176285891077</v>
      </c>
      <c r="BI46" s="59">
        <f ca="1">AVERAGE(OFFSET($BH$3,0,0,'Données projet'!$E$11+1,1))-AVERAGE(OFFSET($H$3,0,0,'Données projet'!$E$11+1,1))</f>
        <v>383.03154033422328</v>
      </c>
      <c r="BJ46" s="59">
        <f t="shared" si="38"/>
        <v>373.27897156169877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1.1177987881397091</v>
      </c>
      <c r="BQ46" s="21">
        <f>EXP(-LN(2)/25)*BQ45+(1-EXP(-LN(2)/25))/(LN(2)/25)*Calculateur!BL46*Calculateur!BN46*VLOOKUP('Données projet'!$B$11,Paramètres!$A$1:$I$89,3,0)*0.475*44/12</f>
        <v>5.8375061162589326</v>
      </c>
      <c r="BR46" s="21">
        <f>EXP(-LN(2)/2)*BR45+(1-EXP(-LN(2)/2))/(LN(2)/2)*BL46*BO46*VLOOKUP('Données projet'!$B$11,Paramètres!$A$1:$I$89,3,0)*0.475*44/12</f>
        <v>0.14441749579586108</v>
      </c>
      <c r="BS46" s="22">
        <f t="shared" si="9"/>
        <v>7.0997224001945023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66.701690221072994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11.2</v>
      </c>
      <c r="BY46" s="12">
        <f>IF('Données projet'!$A$114&gt;35,BY45+BX46-CG45,IF(A46&lt;'Données projet'!$A$114,$BV$205^A46,IF(A46='Données projet'!$A$114,'Données projet'!$B$114,BY45+BX46-CG45)))</f>
        <v>180.59999999999997</v>
      </c>
      <c r="BZ46" s="13">
        <f>BY46*VLOOKUP('Données projet'!$B$12,Paramètres!$A$1:$I$89,3,0)*VLOOKUP('Données projet'!$B$12,Paramètres!$A$1:$I$89,5,0)</f>
        <v>152.13744</v>
      </c>
      <c r="CA46" s="13">
        <f t="shared" si="39"/>
        <v>39.063925813036093</v>
      </c>
      <c r="CB46" s="20">
        <f t="shared" si="10"/>
        <v>333.00904545770453</v>
      </c>
      <c r="CC46" s="59">
        <f t="shared" si="11"/>
        <v>614.24857626830544</v>
      </c>
      <c r="CD46" s="59">
        <f ca="1">AVERAGE(OFFSET($CC$3,0,0,'Données projet'!$E$12+1,1))-AVERAGE(OFFSET($H$3,0,0,'Données projet'!$E$12+1,1))</f>
        <v>449.94334483948603</v>
      </c>
      <c r="CE46" s="59">
        <f t="shared" si="40"/>
        <v>318.02929110264176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1.7334479668381948</v>
      </c>
      <c r="CL46" s="21">
        <f>EXP(-LN(2)/25)*CL45+(1-EXP(-LN(2)/25))/(LN(2)/25)*Calculateur!CG46*Calculateur!CI46*VLOOKUP('Données projet'!$B$12,Paramètres!$A$1:$I$89,3,0)*0.475*44/12</f>
        <v>7.3256770098742319</v>
      </c>
      <c r="CM46" s="21">
        <f>EXP(-LN(2)/2)*CM45+(1-EXP(-LN(2)/2))/(LN(2)/2)*CG46*CJ46*VLOOKUP('Données projet'!$B$12,Paramètres!$A$1:$I$89,3,0)*0.475*44/12</f>
        <v>0.22171001397335155</v>
      </c>
      <c r="CN46" s="22">
        <f t="shared" si="12"/>
        <v>9.2808349906857792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66.701690221072994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11</v>
      </c>
      <c r="CT46" s="12">
        <f>IF('Données projet'!$A$140&gt;35,CT45+CS46-DB45,IF(A46&lt;'Données projet'!$A$140,$CQ$205^A46,IF(A46='Données projet'!$A$140,'Données projet'!$B$140,CT45+CS46-DB45)))</f>
        <v>168.00000000000006</v>
      </c>
      <c r="CU46" s="17">
        <f>CT46*VLOOKUP('Données projet'!$B$13,Paramètres!$A$1:$I$89,3,0)*VLOOKUP('Données projet'!$B$13,Paramètres!$A$1:$I$89,5,0)</f>
        <v>144.14400000000006</v>
      </c>
      <c r="CV46" s="13">
        <f t="shared" si="41"/>
        <v>37.244720006976252</v>
      </c>
      <c r="CW46" s="20">
        <f t="shared" si="13"/>
        <v>315.91868734548376</v>
      </c>
      <c r="CX46" s="59">
        <f t="shared" si="14"/>
        <v>597.15821815608479</v>
      </c>
      <c r="CY46" s="59">
        <f ca="1">AVERAGE(OFFSET($CX$3,0,0,'Données projet'!$E$13+1,1))-AVERAGE(OFFSET($H$3,0,0,'Données projet'!$E$13+1,1))</f>
        <v>565.32667500225568</v>
      </c>
      <c r="CZ46" s="59">
        <f t="shared" si="42"/>
        <v>275.06957234480944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3.0554090803707634</v>
      </c>
      <c r="DH46" s="21">
        <f>EXP(-LN(2)/2)*DH45+(1-EXP(-LN(2)/2))/(LN(2)/2)*DB46*DE46*VLOOKUP('Données projet'!$B$13,Paramètres!$A$1:$I$89,3,0)*0.475*44/12</f>
        <v>7.8262670370590662E-2</v>
      </c>
      <c r="DI46" s="22">
        <f t="shared" si="15"/>
        <v>3.1336717507413541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66.701690221072994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22.8</v>
      </c>
      <c r="DO46" s="12">
        <f>IF('Données projet'!$A$166&gt;35,DO45+DN46-DW45,IF(A46&lt;'Données projet'!$A$166,$DL$205^A46,IF(A46='Données projet'!$A$166,'Données projet'!$B$166,DO45+DN46-DW45)))</f>
        <v>455.40000000000009</v>
      </c>
      <c r="DP46" s="17">
        <f>DO46*VLOOKUP('Données projet'!$B$14,Paramètres!$A$1:$I$89,3,0)*VLOOKUP('Données projet'!$B$14,Paramètres!$A$1:$I$89,5,0)</f>
        <v>254.56860000000006</v>
      </c>
      <c r="DQ46" s="13">
        <f t="shared" si="43"/>
        <v>61.563204302796244</v>
      </c>
      <c r="DR46" s="20">
        <f t="shared" si="16"/>
        <v>550.59622582737018</v>
      </c>
      <c r="DS46" s="59">
        <f t="shared" si="17"/>
        <v>831.83575663797114</v>
      </c>
      <c r="DT46" s="59">
        <f ca="1">AVERAGE(OFFSET($DS$3,0,0,'Données projet'!$E$14+1,1))-AVERAGE(OFFSET($H$3,0,0,'Données projet'!$E$14+1,1))</f>
        <v>532.64469322244281</v>
      </c>
      <c r="DU46" s="59">
        <f t="shared" si="44"/>
        <v>525.88014011096413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8.8277442755648821</v>
      </c>
      <c r="EB46" s="21">
        <f>EXP(-LN(2)/25)*EB45+(1-EXP(-LN(2)/25))/(LN(2)/25)*Calculateur!DW46*Calculateur!DY46*VLOOKUP('Données projet'!$B$14,Paramètres!$A$1:$I$89,3,0)*0.475*44/12</f>
        <v>27.029720877770362</v>
      </c>
      <c r="EC46" s="21">
        <f>EXP(-LN(2)/2)*EC45+(1-EXP(-LN(2)/2))/(LN(2)/2)*DW46*DZ46*VLOOKUP('Données projet'!$B$14,Paramètres!$A$1:$I$89,3,0)*0.475*44/12</f>
        <v>0.4029612765600567</v>
      </c>
      <c r="ED46" s="22">
        <f t="shared" si="18"/>
        <v>36.260426429895297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66.701690221072994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8.3000000000000007</v>
      </c>
      <c r="EJ46" s="12">
        <f>IF('Données projet'!$A$192&gt;35,EJ45+EI46-ER45,IF(A46&lt;'Données projet'!$A$192,$EG$205^A46,IF(A46='Données projet'!$A$192,'Données projet'!$B$192,EJ45+EI46-ER45)))</f>
        <v>140.89999999999998</v>
      </c>
      <c r="EK46" s="17">
        <f>EJ46*VLOOKUP('Données projet'!$B$15,Paramètres!$A$1:$I$89,3,0)*VLOOKUP('Données projet'!$B$15,Paramètres!$A$1:$I$89,5,0)</f>
        <v>127.48631999999998</v>
      </c>
      <c r="EL46" s="13">
        <f t="shared" si="45"/>
        <v>33.414863287066048</v>
      </c>
      <c r="EM46" s="20">
        <f t="shared" si="19"/>
        <v>280.23622755830667</v>
      </c>
      <c r="EN46" s="59">
        <f t="shared" si="20"/>
        <v>561.47575836890769</v>
      </c>
      <c r="EO46" s="59">
        <f ca="1">AVERAGE(OFFSET($EN$3,0,0,'Données projet'!$E$15+1,1))-AVERAGE(OFFSET($H$3,0,0,'Données projet'!$E$15+1,1))</f>
        <v>398.27843768730202</v>
      </c>
      <c r="EP46" s="59">
        <f t="shared" si="46"/>
        <v>252.3617347568813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0</v>
      </c>
      <c r="EW46" s="21">
        <f>EXP(-LN(2)/25)*EW45+(1-EXP(-LN(2)/25))/(LN(2)/25)*Calculateur!ER46*Calculateur!ET46*VLOOKUP('Données projet'!$B$15,Paramètres!$A$1:$I$89,3,0)*0.475*44/12</f>
        <v>2.1659937970781269</v>
      </c>
      <c r="EX46" s="21">
        <f>EXP(-LN(2)/2)*EX45+(1-EXP(-LN(2)/2))/(LN(2)/2)*ER46*EU46*VLOOKUP('Données projet'!$B$15,Paramètres!$A$1:$I$89,3,0)*0.475*44/12</f>
        <v>6.8383278734199207E-2</v>
      </c>
      <c r="EY46" s="22">
        <f t="shared" si="21"/>
        <v>2.234377075812326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66.701690221072994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8.3000000000000007</v>
      </c>
      <c r="FE46" s="12">
        <f>IF('Données projet'!$A$218&gt;35,FE45+FD46-FM45,IF(A46&lt;'Données projet'!$A$218,$FB$205^A46,IF(A46='Données projet'!$A$218,'Données projet'!$B$218,FE45+FD46-FM45)))</f>
        <v>140.89999999999998</v>
      </c>
      <c r="FF46" s="17">
        <f>FE46*VLOOKUP('Données projet'!$B$16,Paramètres!$A$1:$I$89,3,0)*VLOOKUP('Données projet'!$B$16,Paramètres!$A$1:$I$89,5,0)</f>
        <v>136.27848</v>
      </c>
      <c r="FG46" s="13">
        <f t="shared" si="47"/>
        <v>35.443125320657884</v>
      </c>
      <c r="FH46" s="20">
        <f t="shared" si="22"/>
        <v>299.08179593347916</v>
      </c>
      <c r="FI46" s="59">
        <f t="shared" si="23"/>
        <v>580.32132674408012</v>
      </c>
      <c r="FJ46" s="59">
        <f ca="1">AVERAGE(OFFSET($FI$3,0,0,'Données projet'!$E$16+1,1))-AVERAGE(OFFSET($H$3,0,0,'Données projet'!$E$16+1,1))</f>
        <v>422.28024471365825</v>
      </c>
      <c r="FK46" s="59">
        <f t="shared" si="48"/>
        <v>266.49730479813206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0</v>
      </c>
      <c r="FR46" s="21">
        <f>EXP(-LN(2)/25)*FR45+(1-EXP(-LN(2)/25))/(LN(2)/25)*Calculateur!FM46*Calculateur!FO46*VLOOKUP('Données projet'!$B$16,Paramètres!$A$1:$I$89,3,0)*0.475*44/12</f>
        <v>2.3153726796352387</v>
      </c>
      <c r="FS46" s="21">
        <f>EXP(-LN(2)/2)*FS45+(1-EXP(-LN(2)/2))/(LN(2)/2)*FM46*FP46*VLOOKUP('Données projet'!$B$16,Paramètres!$A$1:$I$89,3,0)*0.475*44/12</f>
        <v>7.3099366922764655E-2</v>
      </c>
      <c r="FT46" s="22">
        <f t="shared" si="24"/>
        <v>2.3884720465580034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66.701690221072994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11.9</v>
      </c>
      <c r="FZ46" s="12">
        <f>IF('Données projet'!$A$244&gt;35,FZ45+FY46-GH45,IF(A46&lt;'Données projet'!$A$244,$FW$205^A46,IF(A46='Données projet'!$A$244,'Données projet'!$B$244,FZ45+FY46-GH45)))</f>
        <v>241.20000000000005</v>
      </c>
      <c r="GA46" s="17">
        <f>FZ46*VLOOKUP('Données projet'!$B$17,Paramètres!$A$1:$I$89,3,0)*VLOOKUP('Données projet'!$B$17,Paramètres!$A$1:$I$89,5,0)</f>
        <v>188.13600000000005</v>
      </c>
      <c r="GB46" s="13">
        <f t="shared" si="49"/>
        <v>47.127612753105332</v>
      </c>
      <c r="GC46" s="20">
        <f t="shared" si="25"/>
        <v>409.75079221165856</v>
      </c>
      <c r="GD46" s="59">
        <f t="shared" si="26"/>
        <v>690.99032302225953</v>
      </c>
      <c r="GE46" s="59">
        <f ca="1">AVERAGE(OFFSET($GD$3,0,0,'Données projet'!$E$17+1,1))-AVERAGE(OFFSET($H$3,0,0,'Données projet'!$E$17+1,1))</f>
        <v>300.95722646933314</v>
      </c>
      <c r="GF46" s="59">
        <f t="shared" si="50"/>
        <v>269.52365224623759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>
        <f>EXP(-LN(2)/35)*GL45+(1-EXP(-LN(2)/35))/(LN(2)/35)*GH46*GI46*VLOOKUP('Données projet'!$B$17,Paramètres!$A$1:$I$89,3,0)*0.475*44/12</f>
        <v>0.68787617731674389</v>
      </c>
      <c r="GM46" s="21">
        <f>EXP(-LN(2)/25)*GM45+(1-EXP(-LN(2)/25))/(LN(2)/25)*Calculateur!GH46*Calculateur!GJ46*VLOOKUP('Données projet'!$B$17,Paramètres!$A$1:$I$89,3,0)*0.475*44/12</f>
        <v>4.3510086622401527</v>
      </c>
      <c r="GN46" s="21">
        <f>EXP(-LN(2)/2)*GN45+(1-EXP(-LN(2)/2))/(LN(2)/2)*GH46*GK46*VLOOKUP('Données projet'!$B$17,Paramètres!$A$1:$I$89,3,0)*0.475*44/12</f>
        <v>9.7878644533485715E-2</v>
      </c>
      <c r="GO46" s="21">
        <f t="shared" si="27"/>
        <v>5.1367634840903822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66.701690221072994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1.4000000000000001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5.1333333333333337</v>
      </c>
      <c r="H47" s="67">
        <f t="shared" si="1"/>
        <v>236.13333333333335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66.758908521821411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11.2</v>
      </c>
      <c r="N47" s="13">
        <f>IF('Données projet'!$A$36&gt;35,N46+M47-V46,IF(A47&lt;'Données projet'!$A$36,$K$205^A47,IF(A47='Données projet'!$A$36,'Données projet'!$B$36,N46+M47-V46)))</f>
        <v>191.79999999999995</v>
      </c>
      <c r="O47" s="13">
        <f>N47*VLOOKUP('Données projet'!$B$9,Paramètres!$A$1:$I$89,3,0)*VLOOKUP('Données projet'!$B$9,Paramètres!$A$1:$I$89,5,0)</f>
        <v>173.54063999999997</v>
      </c>
      <c r="P47" s="13">
        <f t="shared" si="33"/>
        <v>43.882055316228445</v>
      </c>
      <c r="Q47" s="20">
        <f t="shared" si="53"/>
        <v>378.6778610090978</v>
      </c>
      <c r="R47" s="59">
        <f t="shared" si="0"/>
        <v>660.12719225577621</v>
      </c>
      <c r="S47" s="59">
        <f ca="1">AVERAGE(OFFSET($R$3,0,0,'Données projet'!$E$9+1,1))-AVERAGE(OFFSET($H$3,0,0,'Données projet'!$E$9+1,1))</f>
        <v>479.46542424895119</v>
      </c>
      <c r="T47" s="59">
        <f t="shared" si="34"/>
        <v>337.96395820277337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1.8253417472486435</v>
      </c>
      <c r="AA47" s="21">
        <f>EXP(-LN(2)/25)*AA46+(1-EXP(-LN(2)/25))/(LN(2)/25)*Calculateur!V47*Calculateur!X47*VLOOKUP('Données projet'!$B$9,Paramètres!$A$1:$I$89,3,0)*0.475*44/12</f>
        <v>7.6531601339688713</v>
      </c>
      <c r="AB47" s="21">
        <f>EXP(-LN(2)/2)*AB46+(1-EXP(-LN(2)/2))/(LN(2)/2)*V47*Y47*VLOOKUP('Données projet'!$B$9,Paramètres!$A$1:$I$89,3,0)*0.475*44/12</f>
        <v>0.16838544354770779</v>
      </c>
      <c r="AC47" s="22">
        <f t="shared" si="3"/>
        <v>9.6468873247652223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66.758908521821411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11.2</v>
      </c>
      <c r="AI47" s="13">
        <f>IF('Données projet'!$A$62&gt;35,AI46+AH47-AQ46,IF(A47&lt;'Données projet'!$A$62,$AF$205^A47,IF(A47='Données projet'!$A$62,'Données projet'!$B$62,AI46+AH47-AQ46)))</f>
        <v>191.79999999999995</v>
      </c>
      <c r="AJ47" s="13">
        <f>AI47*VLOOKUP('Données projet'!$B$10,Paramètres!$A$1:$I$89,3,0)*VLOOKUP('Données projet'!$B$10,Paramètres!$A$1:$I$89,5,0)</f>
        <v>185.50895999999995</v>
      </c>
      <c r="AK47" s="13">
        <f t="shared" si="35"/>
        <v>46.545669588393835</v>
      </c>
      <c r="AL47" s="20">
        <f t="shared" si="4"/>
        <v>404.16181319978574</v>
      </c>
      <c r="AM47" s="59">
        <f t="shared" si="5"/>
        <v>685.61114444646421</v>
      </c>
      <c r="AN47" s="59">
        <f ca="1">AVERAGE(OFFSET($AM$3,0,0,'Données projet'!$E$10+1,1))-AVERAGE(OFFSET($H$3,0,0,'Données projet'!$E$10+1,1))</f>
        <v>508.94560627895089</v>
      </c>
      <c r="AO47" s="59">
        <f t="shared" si="36"/>
        <v>357.86868650263034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1.95122738498993</v>
      </c>
      <c r="AV47" s="21">
        <f>EXP(-LN(2)/25)*AV46+(1-EXP(-LN(2)/25))/(LN(2)/25)*Calculateur!AQ47*Calculateur!AS47*VLOOKUP('Données projet'!$B$10,Paramètres!$A$1:$I$89,3,0)*0.475*44/12</f>
        <v>8.1809642811391416</v>
      </c>
      <c r="AW47" s="21">
        <f>EXP(-LN(2)/2)*AW46+(1-EXP(-LN(2)/2))/(LN(2)/2)*AQ47*AT47*VLOOKUP('Données projet'!$B$10,Paramètres!$A$1:$I$89,3,0)*0.475*44/12</f>
        <v>0.17999823275789442</v>
      </c>
      <c r="AX47" s="21">
        <f t="shared" si="6"/>
        <v>10.312189898886965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66.758908521821411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11</v>
      </c>
      <c r="BD47" s="12">
        <f>IF('Données projet'!$A$88&gt;35,BD46+BC47-BL46,IF(A47&lt;'Données projet'!$A$88,$BA$205^A47,IF(A47='Données projet'!$A$88,'Données projet'!$B$88,BD46+BC47-BL46)))</f>
        <v>253.00000000000006</v>
      </c>
      <c r="BE47" s="13">
        <f>BD47*VLOOKUP('Données projet'!$B$11,Paramètres!$A$1:$I$89,3,0)*VLOOKUP('Données projet'!$B$11,Paramètres!$A$1:$I$89,5,0)</f>
        <v>197.34000000000006</v>
      </c>
      <c r="BF47" s="13">
        <f t="shared" si="37"/>
        <v>49.15912547427002</v>
      </c>
      <c r="BG47" s="20">
        <f t="shared" si="7"/>
        <v>429.3193102010203</v>
      </c>
      <c r="BH47" s="59">
        <f t="shared" si="8"/>
        <v>710.76864144769877</v>
      </c>
      <c r="BI47" s="59">
        <f ca="1">AVERAGE(OFFSET($BH$3,0,0,'Données projet'!$E$11+1,1))-AVERAGE(OFFSET($H$3,0,0,'Données projet'!$E$11+1,1))</f>
        <v>383.03154033422328</v>
      </c>
      <c r="BJ47" s="59">
        <f t="shared" si="38"/>
        <v>373.27897156169877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1.095879435694229</v>
      </c>
      <c r="BQ47" s="21">
        <f>EXP(-LN(2)/25)*BQ46+(1-EXP(-LN(2)/25))/(LN(2)/25)*Calculateur!BL47*Calculateur!BN47*VLOOKUP('Données projet'!$B$11,Paramètres!$A$1:$I$89,3,0)*0.475*44/12</f>
        <v>5.6778792045287272</v>
      </c>
      <c r="BR47" s="21">
        <f>EXP(-LN(2)/2)*BR46+(1-EXP(-LN(2)/2))/(LN(2)/2)*BL47*BO47*VLOOKUP('Données projet'!$B$11,Paramètres!$A$1:$I$89,3,0)*0.475*44/12</f>
        <v>0.10211859059923309</v>
      </c>
      <c r="BS47" s="22">
        <f t="shared" si="9"/>
        <v>6.8758772308221898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66.758908521821411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11.2</v>
      </c>
      <c r="BY47" s="12">
        <f>IF('Données projet'!$A$114&gt;35,BY46+BX47-CG46,IF(A47&lt;'Données projet'!$A$114,$BV$205^A47,IF(A47='Données projet'!$A$114,'Données projet'!$B$114,BY46+BX47-CG46)))</f>
        <v>191.79999999999995</v>
      </c>
      <c r="BZ47" s="13">
        <f>BY47*VLOOKUP('Données projet'!$B$12,Paramètres!$A$1:$I$89,3,0)*VLOOKUP('Données projet'!$B$12,Paramètres!$A$1:$I$89,5,0)</f>
        <v>161.57231999999999</v>
      </c>
      <c r="CA47" s="13">
        <f t="shared" si="39"/>
        <v>41.196954479055741</v>
      </c>
      <c r="CB47" s="20">
        <f t="shared" si="10"/>
        <v>353.15648638435545</v>
      </c>
      <c r="CC47" s="59">
        <f t="shared" si="11"/>
        <v>634.60581763103391</v>
      </c>
      <c r="CD47" s="59">
        <f ca="1">AVERAGE(OFFSET($CC$3,0,0,'Données projet'!$E$12+1,1))-AVERAGE(OFFSET($H$3,0,0,'Données projet'!$E$12+1,1))</f>
        <v>449.94334483948603</v>
      </c>
      <c r="CE47" s="59">
        <f t="shared" si="40"/>
        <v>318.02929110264176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1.6994561095073579</v>
      </c>
      <c r="CL47" s="21">
        <f>EXP(-LN(2)/25)*CL46+(1-EXP(-LN(2)/25))/(LN(2)/25)*Calculateur!CG47*Calculateur!CI47*VLOOKUP('Données projet'!$B$12,Paramètres!$A$1:$I$89,3,0)*0.475*44/12</f>
        <v>7.1253559867986098</v>
      </c>
      <c r="CM47" s="21">
        <f>EXP(-LN(2)/2)*CM46+(1-EXP(-LN(2)/2))/(LN(2)/2)*CG47*CJ47*VLOOKUP('Données projet'!$B$12,Paramètres!$A$1:$I$89,3,0)*0.475*44/12</f>
        <v>0.15677265433752111</v>
      </c>
      <c r="CN47" s="22">
        <f t="shared" si="12"/>
        <v>8.9815847506434885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66.758908521821411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11</v>
      </c>
      <c r="CT47" s="12">
        <f>IF('Données projet'!$A$140&gt;35,CT46+CS47-DB46,IF(A47&lt;'Données projet'!$A$140,$CQ$205^A47,IF(A47='Données projet'!$A$140,'Données projet'!$B$140,CT46+CS47-DB46)))</f>
        <v>179.00000000000006</v>
      </c>
      <c r="CU47" s="17">
        <f>CT47*VLOOKUP('Données projet'!$B$13,Paramètres!$A$1:$I$89,3,0)*VLOOKUP('Données projet'!$B$13,Paramètres!$A$1:$I$89,5,0)</f>
        <v>153.58200000000008</v>
      </c>
      <c r="CV47" s="13">
        <f t="shared" si="41"/>
        <v>39.391486561628568</v>
      </c>
      <c r="CW47" s="20">
        <f t="shared" si="13"/>
        <v>336.09548909483652</v>
      </c>
      <c r="CX47" s="59">
        <f t="shared" si="14"/>
        <v>617.54482034151499</v>
      </c>
      <c r="CY47" s="59">
        <f ca="1">AVERAGE(OFFSET($CX$3,0,0,'Données projet'!$E$13+1,1))-AVERAGE(OFFSET($H$3,0,0,'Données projet'!$E$13+1,1))</f>
        <v>565.32667500225568</v>
      </c>
      <c r="CZ47" s="59">
        <f t="shared" si="42"/>
        <v>275.06957234480944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0</v>
      </c>
      <c r="DG47" s="21">
        <f>EXP(-LN(2)/25)*DG46+(1-EXP(-LN(2)/25))/(LN(2)/25)*Calculateur!DB47*Calculateur!DD47*VLOOKUP('Données projet'!$B$13,Paramètres!$A$1:$I$89,3,0)*0.475*44/12</f>
        <v>2.9718587583910447</v>
      </c>
      <c r="DH47" s="21">
        <f>EXP(-LN(2)/2)*DH46+(1-EXP(-LN(2)/2))/(LN(2)/2)*DB47*DE47*VLOOKUP('Données projet'!$B$13,Paramètres!$A$1:$I$89,3,0)*0.475*44/12</f>
        <v>5.5340064932812148E-2</v>
      </c>
      <c r="DI47" s="22">
        <f t="shared" si="15"/>
        <v>3.0271988233238569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66.758908521821411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22.8</v>
      </c>
      <c r="DO47" s="12">
        <f>IF('Données projet'!$A$166&gt;35,DO46+DN47-DW46,IF(A47&lt;'Données projet'!$A$166,$DL$205^A47,IF(A47='Données projet'!$A$166,'Données projet'!$B$166,DO46+DN47-DW46)))</f>
        <v>478.2000000000001</v>
      </c>
      <c r="DP47" s="17">
        <f>DO47*VLOOKUP('Données projet'!$B$14,Paramètres!$A$1:$I$89,3,0)*VLOOKUP('Données projet'!$B$14,Paramètres!$A$1:$I$89,5,0)</f>
        <v>267.31380000000007</v>
      </c>
      <c r="DQ47" s="13">
        <f t="shared" si="43"/>
        <v>64.278858533693665</v>
      </c>
      <c r="DR47" s="20">
        <f t="shared" si="16"/>
        <v>577.52388027951656</v>
      </c>
      <c r="DS47" s="59">
        <f t="shared" si="17"/>
        <v>858.97321152619497</v>
      </c>
      <c r="DT47" s="59">
        <f ca="1">AVERAGE(OFFSET($DS$3,0,0,'Données projet'!$E$14+1,1))-AVERAGE(OFFSET($H$3,0,0,'Données projet'!$E$14+1,1))</f>
        <v>532.64469322244281</v>
      </c>
      <c r="DU47" s="59">
        <f t="shared" si="44"/>
        <v>525.88014011096413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8.6546375947133978</v>
      </c>
      <c r="EB47" s="21">
        <f>EXP(-LN(2)/25)*EB46+(1-EXP(-LN(2)/25))/(LN(2)/25)*Calculateur!DW47*Calculateur!DY47*VLOOKUP('Données projet'!$B$14,Paramètres!$A$1:$I$89,3,0)*0.475*44/12</f>
        <v>26.290591738936488</v>
      </c>
      <c r="EC47" s="21">
        <f>EXP(-LN(2)/2)*EC46+(1-EXP(-LN(2)/2))/(LN(2)/2)*DW47*DZ47*VLOOKUP('Données projet'!$B$14,Paramètres!$A$1:$I$89,3,0)*0.475*44/12</f>
        <v>0.28493665121120387</v>
      </c>
      <c r="ED47" s="22">
        <f t="shared" si="18"/>
        <v>35.230165984861088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66.758908521821411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8.3000000000000007</v>
      </c>
      <c r="EJ47" s="12">
        <f>IF('Données projet'!$A$192&gt;35,EJ46+EI47-ER46,IF(A47&lt;'Données projet'!$A$192,$EG$205^A47,IF(A47='Données projet'!$A$192,'Données projet'!$B$192,EJ46+EI47-ER46)))</f>
        <v>149.19999999999999</v>
      </c>
      <c r="EK47" s="17">
        <f>EJ47*VLOOKUP('Données projet'!$B$15,Paramètres!$A$1:$I$89,3,0)*VLOOKUP('Données projet'!$B$15,Paramètres!$A$1:$I$89,5,0)</f>
        <v>134.99615999999997</v>
      </c>
      <c r="EL47" s="13">
        <f t="shared" si="45"/>
        <v>35.148279172043118</v>
      </c>
      <c r="EM47" s="20">
        <f t="shared" si="19"/>
        <v>296.33489822464168</v>
      </c>
      <c r="EN47" s="59">
        <f t="shared" si="20"/>
        <v>577.78422947132015</v>
      </c>
      <c r="EO47" s="59">
        <f ca="1">AVERAGE(OFFSET($EN$3,0,0,'Données projet'!$E$15+1,1))-AVERAGE(OFFSET($H$3,0,0,'Données projet'!$E$15+1,1))</f>
        <v>398.27843768730202</v>
      </c>
      <c r="EP47" s="59">
        <f t="shared" si="46"/>
        <v>252.3617347568813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0</v>
      </c>
      <c r="EW47" s="21">
        <f>EXP(-LN(2)/25)*EW46+(1-EXP(-LN(2)/25))/(LN(2)/25)*Calculateur!ER47*Calculateur!ET47*VLOOKUP('Données projet'!$B$15,Paramètres!$A$1:$I$89,3,0)*0.475*44/12</f>
        <v>2.106764582792362</v>
      </c>
      <c r="EX47" s="21">
        <f>EXP(-LN(2)/2)*EX46+(1-EXP(-LN(2)/2))/(LN(2)/2)*ER47*EU47*VLOOKUP('Données projet'!$B$15,Paramètres!$A$1:$I$89,3,0)*0.475*44/12</f>
        <v>4.8354280112722088E-2</v>
      </c>
      <c r="EY47" s="22">
        <f t="shared" si="21"/>
        <v>2.1551188629050841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66.758908521821411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8.3000000000000007</v>
      </c>
      <c r="FE47" s="12">
        <f>IF('Données projet'!$A$218&gt;35,FE46+FD47-FM46,IF(A47&lt;'Données projet'!$A$218,$FB$205^A47,IF(A47='Données projet'!$A$218,'Données projet'!$B$218,FE46+FD47-FM46)))</f>
        <v>149.19999999999999</v>
      </c>
      <c r="FF47" s="17">
        <f>FE47*VLOOKUP('Données projet'!$B$16,Paramètres!$A$1:$I$89,3,0)*VLOOKUP('Données projet'!$B$16,Paramètres!$A$1:$I$89,5,0)</f>
        <v>144.30624</v>
      </c>
      <c r="FG47" s="13">
        <f t="shared" si="47"/>
        <v>37.281758503629554</v>
      </c>
      <c r="FH47" s="20">
        <f t="shared" si="22"/>
        <v>316.26576406048815</v>
      </c>
      <c r="FI47" s="59">
        <f t="shared" si="23"/>
        <v>597.71509530716662</v>
      </c>
      <c r="FJ47" s="59">
        <f ca="1">AVERAGE(OFFSET($FI$3,0,0,'Données projet'!$E$16+1,1))-AVERAGE(OFFSET($H$3,0,0,'Données projet'!$E$16+1,1))</f>
        <v>422.28024471365825</v>
      </c>
      <c r="FK47" s="59">
        <f t="shared" si="48"/>
        <v>266.49730479813206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0</v>
      </c>
      <c r="FR47" s="21">
        <f>EXP(-LN(2)/25)*FR46+(1-EXP(-LN(2)/25))/(LN(2)/25)*Calculateur!FM47*Calculateur!FO47*VLOOKUP('Données projet'!$B$16,Paramètres!$A$1:$I$89,3,0)*0.475*44/12</f>
        <v>2.2520586919504559</v>
      </c>
      <c r="FS47" s="21">
        <f>EXP(-LN(2)/2)*FS46+(1-EXP(-LN(2)/2))/(LN(2)/2)*FM47*FP47*VLOOKUP('Données projet'!$B$16,Paramètres!$A$1:$I$89,3,0)*0.475*44/12</f>
        <v>5.1689058051530498E-2</v>
      </c>
      <c r="FT47" s="22">
        <f t="shared" si="24"/>
        <v>2.3037477500019863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66.758908521821411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11.9</v>
      </c>
      <c r="FZ47" s="12">
        <f>IF('Données projet'!$A$244&gt;35,FZ46+FY47-GH46,IF(A47&lt;'Données projet'!$A$244,$FW$205^A47,IF(A47='Données projet'!$A$244,'Données projet'!$B$244,FZ46+FY47-GH46)))</f>
        <v>253.10000000000005</v>
      </c>
      <c r="GA47" s="17">
        <f>FZ47*VLOOKUP('Données projet'!$B$17,Paramètres!$A$1:$I$89,3,0)*VLOOKUP('Données projet'!$B$17,Paramètres!$A$1:$I$89,5,0)</f>
        <v>197.41800000000003</v>
      </c>
      <c r="GB47" s="13">
        <f t="shared" si="49"/>
        <v>49.176293855374077</v>
      </c>
      <c r="GC47" s="20">
        <f t="shared" si="25"/>
        <v>429.48506179810988</v>
      </c>
      <c r="GD47" s="59">
        <f t="shared" si="26"/>
        <v>710.93439304478829</v>
      </c>
      <c r="GE47" s="59">
        <f ca="1">AVERAGE(OFFSET($GD$3,0,0,'Données projet'!$E$17+1,1))-AVERAGE(OFFSET($H$3,0,0,'Données projet'!$E$17+1,1))</f>
        <v>300.95722646933314</v>
      </c>
      <c r="GF47" s="59">
        <f t="shared" si="50"/>
        <v>269.52365224623759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>
        <f>EXP(-LN(2)/35)*GL46+(1-EXP(-LN(2)/35))/(LN(2)/35)*GH47*GI47*VLOOKUP('Données projet'!$B$17,Paramètres!$A$1:$I$89,3,0)*0.475*44/12</f>
        <v>0.67438734504260234</v>
      </c>
      <c r="GM47" s="21">
        <f>EXP(-LN(2)/25)*GM46+(1-EXP(-LN(2)/25))/(LN(2)/25)*Calculateur!GH47*Calculateur!GJ47*VLOOKUP('Données projet'!$B$17,Paramètres!$A$1:$I$89,3,0)*0.475*44/12</f>
        <v>4.2320301015615946</v>
      </c>
      <c r="GN47" s="21">
        <f>EXP(-LN(2)/2)*GN46+(1-EXP(-LN(2)/2))/(LN(2)/2)*GH47*GK47*VLOOKUP('Données projet'!$B$17,Paramètres!$A$1:$I$89,3,0)*0.475*44/12</f>
        <v>6.9210653282975348E-2</v>
      </c>
      <c r="GO47" s="21">
        <f t="shared" si="27"/>
        <v>4.9756280998871718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66.758908521821411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1.4000000000000001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5.1333333333333337</v>
      </c>
      <c r="H48" s="67">
        <f t="shared" si="1"/>
        <v>236.13333333333335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66.815134212972794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11.2</v>
      </c>
      <c r="N48" s="13">
        <f>IF('Données projet'!$A$36&gt;35,N47+M48-V47,IF(A48&lt;'Données projet'!$A$36,$K$205^A48,IF(A48='Données projet'!$A$36,'Données projet'!$B$36,N47+M48-V47)))</f>
        <v>202.99999999999994</v>
      </c>
      <c r="O48" s="13">
        <f>N48*VLOOKUP('Données projet'!$B$9,Paramètres!$A$1:$I$89,3,0)*VLOOKUP('Données projet'!$B$9,Paramètres!$A$1:$I$89,5,0)</f>
        <v>183.67439999999993</v>
      </c>
      <c r="P48" s="13">
        <f t="shared" si="33"/>
        <v>46.138708549418673</v>
      </c>
      <c r="Q48" s="20">
        <f t="shared" si="53"/>
        <v>400.25783072357075</v>
      </c>
      <c r="R48" s="59">
        <f t="shared" si="0"/>
        <v>681.91332283780434</v>
      </c>
      <c r="S48" s="59">
        <f ca="1">AVERAGE(OFFSET($R$3,0,0,'Données projet'!$E$9+1,1))-AVERAGE(OFFSET($H$3,0,0,'Données projet'!$E$9+1,1))</f>
        <v>479.46542424895119</v>
      </c>
      <c r="T48" s="59">
        <f t="shared" si="34"/>
        <v>337.96395820277337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1.7895479089336295</v>
      </c>
      <c r="AA48" s="21">
        <f>EXP(-LN(2)/25)*AA47+(1-EXP(-LN(2)/25))/(LN(2)/25)*Calculateur!V48*Calculateur!X48*VLOOKUP('Données projet'!$B$9,Paramètres!$A$1:$I$89,3,0)*0.475*44/12</f>
        <v>7.4438840676432925</v>
      </c>
      <c r="AB48" s="21">
        <f>EXP(-LN(2)/2)*AB47+(1-EXP(-LN(2)/2))/(LN(2)/2)*V48*Y48*VLOOKUP('Données projet'!$B$9,Paramètres!$A$1:$I$89,3,0)*0.475*44/12</f>
        <v>0.11906648898568878</v>
      </c>
      <c r="AC48" s="22">
        <f t="shared" si="3"/>
        <v>9.3524984655626113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66.815134212972794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11.2</v>
      </c>
      <c r="AI48" s="13">
        <f>IF('Données projet'!$A$62&gt;35,AI47+AH48-AQ47,IF(A48&lt;'Données projet'!$A$62,$AF$205^A48,IF(A48='Données projet'!$A$62,'Données projet'!$B$62,AI47+AH48-AQ47)))</f>
        <v>202.99999999999994</v>
      </c>
      <c r="AJ48" s="13">
        <f>AI48*VLOOKUP('Données projet'!$B$10,Paramètres!$A$1:$I$89,3,0)*VLOOKUP('Données projet'!$B$10,Paramètres!$A$1:$I$89,5,0)</f>
        <v>196.34159999999994</v>
      </c>
      <c r="AK48" s="13">
        <f t="shared" si="35"/>
        <v>48.939300310809159</v>
      </c>
      <c r="AL48" s="20">
        <f t="shared" si="4"/>
        <v>427.19756804132584</v>
      </c>
      <c r="AM48" s="59">
        <f t="shared" si="5"/>
        <v>708.85306015555943</v>
      </c>
      <c r="AN48" s="59">
        <f ca="1">AVERAGE(OFFSET($AM$3,0,0,'Données projet'!$E$10+1,1))-AVERAGE(OFFSET($H$3,0,0,'Données projet'!$E$10+1,1))</f>
        <v>508.94560627895089</v>
      </c>
      <c r="AO48" s="59">
        <f t="shared" si="36"/>
        <v>357.86868650263034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1.9129650061014667</v>
      </c>
      <c r="AV48" s="21">
        <f>EXP(-LN(2)/25)*AV47+(1-EXP(-LN(2)/25))/(LN(2)/25)*Calculateur!AQ48*Calculateur!AS48*VLOOKUP('Données projet'!$B$10,Paramètres!$A$1:$I$89,3,0)*0.475*44/12</f>
        <v>7.9572553826531784</v>
      </c>
      <c r="AW48" s="21">
        <f>EXP(-LN(2)/2)*AW47+(1-EXP(-LN(2)/2))/(LN(2)/2)*AQ48*AT48*VLOOKUP('Données projet'!$B$10,Paramètres!$A$1:$I$89,3,0)*0.475*44/12</f>
        <v>0.1272779709847017</v>
      </c>
      <c r="AX48" s="21">
        <f t="shared" si="6"/>
        <v>9.9974983597393479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66.815134212972794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11</v>
      </c>
      <c r="BD48" s="12">
        <f>IF('Données projet'!$A$88&gt;35,BD47+BC48-BL47,IF(A48&lt;'Données projet'!$A$88,$BA$205^A48,IF(A48='Données projet'!$A$88,'Données projet'!$B$88,BD47+BC48-BL47)))</f>
        <v>264.00000000000006</v>
      </c>
      <c r="BE48" s="13">
        <f>BD48*VLOOKUP('Données projet'!$B$11,Paramètres!$A$1:$I$89,3,0)*VLOOKUP('Données projet'!$B$11,Paramètres!$A$1:$I$89,5,0)</f>
        <v>205.92000000000004</v>
      </c>
      <c r="BF48" s="13">
        <f t="shared" si="37"/>
        <v>51.042987531485686</v>
      </c>
      <c r="BG48" s="20">
        <f t="shared" si="7"/>
        <v>447.54386995067097</v>
      </c>
      <c r="BH48" s="59">
        <f t="shared" si="8"/>
        <v>729.19936206490456</v>
      </c>
      <c r="BI48" s="59">
        <f ca="1">AVERAGE(OFFSET($BH$3,0,0,'Données projet'!$E$11+1,1))-AVERAGE(OFFSET($H$3,0,0,'Données projet'!$E$11+1,1))</f>
        <v>383.03154033422328</v>
      </c>
      <c r="BJ48" s="59">
        <f t="shared" si="38"/>
        <v>373.27897156169877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1.0743899083807198</v>
      </c>
      <c r="BQ48" s="21">
        <f>EXP(-LN(2)/25)*BQ47+(1-EXP(-LN(2)/25))/(LN(2)/25)*Calculateur!BL48*Calculateur!BN48*VLOOKUP('Données projet'!$B$11,Paramètres!$A$1:$I$89,3,0)*0.475*44/12</f>
        <v>5.5226172990941986</v>
      </c>
      <c r="BR48" s="21">
        <f>EXP(-LN(2)/2)*BR47+(1-EXP(-LN(2)/2))/(LN(2)/2)*BL48*BO48*VLOOKUP('Données projet'!$B$11,Paramètres!$A$1:$I$89,3,0)*0.475*44/12</f>
        <v>7.2208747897930539E-2</v>
      </c>
      <c r="BS48" s="22">
        <f t="shared" si="9"/>
        <v>6.6692159553728496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66.815134212972794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11.2</v>
      </c>
      <c r="BY48" s="12">
        <f>IF('Données projet'!$A$114&gt;35,BY47+BX48-CG47,IF(A48&lt;'Données projet'!$A$114,$BV$205^A48,IF(A48='Données projet'!$A$114,'Données projet'!$B$114,BY47+BX48-CG47)))</f>
        <v>202.99999999999994</v>
      </c>
      <c r="BZ48" s="13">
        <f>BY48*VLOOKUP('Données projet'!$B$12,Paramètres!$A$1:$I$89,3,0)*VLOOKUP('Données projet'!$B$12,Paramètres!$A$1:$I$89,5,0)</f>
        <v>171.00719999999995</v>
      </c>
      <c r="CA48" s="13">
        <f t="shared" si="39"/>
        <v>43.315525267338089</v>
      </c>
      <c r="CB48" s="20">
        <f t="shared" si="10"/>
        <v>373.27874650728046</v>
      </c>
      <c r="CC48" s="59">
        <f t="shared" si="11"/>
        <v>654.93423862151406</v>
      </c>
      <c r="CD48" s="59">
        <f ca="1">AVERAGE(OFFSET($CC$3,0,0,'Données projet'!$E$12+1,1))-AVERAGE(OFFSET($H$3,0,0,'Données projet'!$E$12+1,1))</f>
        <v>449.94334483948603</v>
      </c>
      <c r="CE48" s="59">
        <f t="shared" si="40"/>
        <v>318.02929110264176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1.6661308117657931</v>
      </c>
      <c r="CL48" s="21">
        <f>EXP(-LN(2)/25)*CL47+(1-EXP(-LN(2)/25))/(LN(2)/25)*Calculateur!CG48*Calculateur!CI48*VLOOKUP('Données projet'!$B$12,Paramètres!$A$1:$I$89,3,0)*0.475*44/12</f>
        <v>6.9305127526334154</v>
      </c>
      <c r="CM48" s="21">
        <f>EXP(-LN(2)/2)*CM47+(1-EXP(-LN(2)/2))/(LN(2)/2)*CG48*CJ48*VLOOKUP('Données projet'!$B$12,Paramètres!$A$1:$I$89,3,0)*0.475*44/12</f>
        <v>0.11085500698667579</v>
      </c>
      <c r="CN48" s="22">
        <f t="shared" si="12"/>
        <v>8.7074985713858837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66.815134212972794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11</v>
      </c>
      <c r="CT48" s="12">
        <f>IF('Données projet'!$A$140&gt;35,CT47+CS48-DB47,IF(A48&lt;'Données projet'!$A$140,$CQ$205^A48,IF(A48='Données projet'!$A$140,'Données projet'!$B$140,CT47+CS48-DB47)))</f>
        <v>190.00000000000006</v>
      </c>
      <c r="CU48" s="17">
        <f>CT48*VLOOKUP('Données projet'!$B$13,Paramètres!$A$1:$I$89,3,0)*VLOOKUP('Données projet'!$B$13,Paramètres!$A$1:$I$89,5,0)</f>
        <v>163.02000000000007</v>
      </c>
      <c r="CV48" s="13">
        <f t="shared" si="41"/>
        <v>41.52294175893757</v>
      </c>
      <c r="CW48" s="20">
        <f t="shared" si="13"/>
        <v>356.24562356348309</v>
      </c>
      <c r="CX48" s="59">
        <f t="shared" si="14"/>
        <v>637.90111567771669</v>
      </c>
      <c r="CY48" s="59">
        <f ca="1">AVERAGE(OFFSET($CX$3,0,0,'Données projet'!$E$13+1,1))-AVERAGE(OFFSET($H$3,0,0,'Données projet'!$E$13+1,1))</f>
        <v>565.32667500225568</v>
      </c>
      <c r="CZ48" s="59">
        <f t="shared" si="42"/>
        <v>275.06957234480944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0</v>
      </c>
      <c r="DG48" s="21">
        <f>EXP(-LN(2)/25)*DG47+(1-EXP(-LN(2)/25))/(LN(2)/25)*Calculateur!DB48*Calculateur!DD48*VLOOKUP('Données projet'!$B$13,Paramètres!$A$1:$I$89,3,0)*0.475*44/12</f>
        <v>2.8905931243595817</v>
      </c>
      <c r="DH48" s="21">
        <f>EXP(-LN(2)/2)*DH47+(1-EXP(-LN(2)/2))/(LN(2)/2)*DB48*DE48*VLOOKUP('Données projet'!$B$13,Paramètres!$A$1:$I$89,3,0)*0.475*44/12</f>
        <v>3.9131335185295331E-2</v>
      </c>
      <c r="DI48" s="22">
        <f t="shared" si="15"/>
        <v>2.929724459544877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66.815134212972794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22.8</v>
      </c>
      <c r="DO48" s="12">
        <f>IF('Données projet'!$A$166&gt;35,DO47+DN48-DW47,IF(A48&lt;'Données projet'!$A$166,$DL$205^A48,IF(A48='Données projet'!$A$166,'Données projet'!$B$166,DO47+DN48-DW47)))</f>
        <v>501.00000000000011</v>
      </c>
      <c r="DP48" s="17">
        <f>DO48*VLOOKUP('Données projet'!$B$14,Paramètres!$A$1:$I$89,3,0)*VLOOKUP('Données projet'!$B$14,Paramètres!$A$1:$I$89,5,0)</f>
        <v>280.05900000000008</v>
      </c>
      <c r="DQ48" s="13">
        <f t="shared" si="43"/>
        <v>66.979477124262175</v>
      </c>
      <c r="DR48" s="20">
        <f t="shared" si="16"/>
        <v>604.42534765809012</v>
      </c>
      <c r="DS48" s="59">
        <f t="shared" si="17"/>
        <v>886.08083977232377</v>
      </c>
      <c r="DT48" s="59">
        <f ca="1">AVERAGE(OFFSET($DS$3,0,0,'Données projet'!$E$14+1,1))-AVERAGE(OFFSET($H$3,0,0,'Données projet'!$E$14+1,1))</f>
        <v>532.64469322244281</v>
      </c>
      <c r="DU48" s="59">
        <f t="shared" si="44"/>
        <v>525.88014011096413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8.4849254302887616</v>
      </c>
      <c r="EB48" s="21">
        <f>EXP(-LN(2)/25)*EB47+(1-EXP(-LN(2)/25))/(LN(2)/25)*Calculateur!DW48*Calculateur!DY48*VLOOKUP('Données projet'!$B$14,Paramètres!$A$1:$I$89,3,0)*0.475*44/12</f>
        <v>25.571674125273137</v>
      </c>
      <c r="EC48" s="21">
        <f>EXP(-LN(2)/2)*EC47+(1-EXP(-LN(2)/2))/(LN(2)/2)*DW48*DZ48*VLOOKUP('Données projet'!$B$14,Paramètres!$A$1:$I$89,3,0)*0.475*44/12</f>
        <v>0.20148063828002835</v>
      </c>
      <c r="ED48" s="22">
        <f t="shared" si="18"/>
        <v>34.258080193841934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66.815134212972794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8.3000000000000007</v>
      </c>
      <c r="EJ48" s="12">
        <f>IF('Données projet'!$A$192&gt;35,EJ47+EI48-ER47,IF(A48&lt;'Données projet'!$A$192,$EG$205^A48,IF(A48='Données projet'!$A$192,'Données projet'!$B$192,EJ47+EI48-ER47)))</f>
        <v>157.5</v>
      </c>
      <c r="EK48" s="17">
        <f>EJ48*VLOOKUP('Données projet'!$B$15,Paramètres!$A$1:$I$89,3,0)*VLOOKUP('Données projet'!$B$15,Paramètres!$A$1:$I$89,5,0)</f>
        <v>142.506</v>
      </c>
      <c r="EL48" s="13">
        <f t="shared" si="45"/>
        <v>36.870500776307537</v>
      </c>
      <c r="EM48" s="20">
        <f t="shared" si="19"/>
        <v>312.41407218540223</v>
      </c>
      <c r="EN48" s="59">
        <f t="shared" si="20"/>
        <v>594.06956429963589</v>
      </c>
      <c r="EO48" s="59">
        <f ca="1">AVERAGE(OFFSET($EN$3,0,0,'Données projet'!$E$15+1,1))-AVERAGE(OFFSET($H$3,0,0,'Données projet'!$E$15+1,1))</f>
        <v>398.27843768730202</v>
      </c>
      <c r="EP48" s="59">
        <f t="shared" si="46"/>
        <v>252.3617347568813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0</v>
      </c>
      <c r="EW48" s="21">
        <f>EXP(-LN(2)/25)*EW47+(1-EXP(-LN(2)/25))/(LN(2)/25)*Calculateur!ER48*Calculateur!ET48*VLOOKUP('Données projet'!$B$15,Paramètres!$A$1:$I$89,3,0)*0.475*44/12</f>
        <v>2.0491549944859706</v>
      </c>
      <c r="EX48" s="21">
        <f>EXP(-LN(2)/2)*EX47+(1-EXP(-LN(2)/2))/(LN(2)/2)*ER48*EU48*VLOOKUP('Données projet'!$B$15,Paramètres!$A$1:$I$89,3,0)*0.475*44/12</f>
        <v>3.4191639367099604E-2</v>
      </c>
      <c r="EY48" s="22">
        <f t="shared" si="21"/>
        <v>2.0833466338530702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66.815134212972794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8.3000000000000007</v>
      </c>
      <c r="FE48" s="12">
        <f>IF('Données projet'!$A$218&gt;35,FE47+FD48-FM47,IF(A48&lt;'Données projet'!$A$218,$FB$205^A48,IF(A48='Données projet'!$A$218,'Données projet'!$B$218,FE47+FD48-FM47)))</f>
        <v>157.5</v>
      </c>
      <c r="FF48" s="17">
        <f>FE48*VLOOKUP('Données projet'!$B$16,Paramètres!$A$1:$I$89,3,0)*VLOOKUP('Données projet'!$B$16,Paramètres!$A$1:$I$89,5,0)</f>
        <v>152.334</v>
      </c>
      <c r="FG48" s="13">
        <f t="shared" si="47"/>
        <v>39.108517919805784</v>
      </c>
      <c r="FH48" s="20">
        <f t="shared" si="22"/>
        <v>333.42905204366178</v>
      </c>
      <c r="FI48" s="59">
        <f t="shared" si="23"/>
        <v>615.08454415789538</v>
      </c>
      <c r="FJ48" s="59">
        <f ca="1">AVERAGE(OFFSET($FI$3,0,0,'Données projet'!$E$16+1,1))-AVERAGE(OFFSET($H$3,0,0,'Données projet'!$E$16+1,1))</f>
        <v>422.28024471365825</v>
      </c>
      <c r="FK48" s="59">
        <f t="shared" si="48"/>
        <v>266.49730479813206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>
        <f>EXP(-LN(2)/35)*FQ47+(1-EXP(-LN(2)/35))/(LN(2)/35)*FM48*FN48*VLOOKUP('Données projet'!$B$16,Paramètres!$A$1:$I$89,3,0)*0.475*44/12</f>
        <v>0</v>
      </c>
      <c r="FR48" s="21">
        <f>EXP(-LN(2)/25)*FR47+(1-EXP(-LN(2)/25))/(LN(2)/25)*Calculateur!FM48*Calculateur!FO48*VLOOKUP('Données projet'!$B$16,Paramètres!$A$1:$I$89,3,0)*0.475*44/12</f>
        <v>2.1904760285884515</v>
      </c>
      <c r="FS48" s="21">
        <f>EXP(-LN(2)/2)*FS47+(1-EXP(-LN(2)/2))/(LN(2)/2)*FM48*FP48*VLOOKUP('Données projet'!$B$16,Paramètres!$A$1:$I$89,3,0)*0.475*44/12</f>
        <v>3.6549683461382328E-2</v>
      </c>
      <c r="FT48" s="22">
        <f t="shared" si="24"/>
        <v>2.227025712049834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66.815134212972794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>
        <f>VLOOKUP(A48,'Données projet'!$A$243:$I$263,2,0)</f>
        <v>265</v>
      </c>
      <c r="FX48" s="12">
        <f>VLOOKUP(A48,'Données projet'!$A$243:$I$263,9,0)</f>
        <v>11.9</v>
      </c>
      <c r="FY48" s="12">
        <f t="array" ref="FY48">INDEX(FX:FX,MIN(IF(ISNUMBER(FX48:FX244),ROW(FX48:FX244),"")))</f>
        <v>11.9</v>
      </c>
      <c r="FZ48" s="12">
        <f>IF('Données projet'!$A$244&gt;35,FZ47+FY48-GH47,IF(A48&lt;'Données projet'!$A$244,$FW$205^A48,IF(A48='Données projet'!$A$244,'Données projet'!$B$244,FZ47+FY48-GH47)))</f>
        <v>265.00000000000006</v>
      </c>
      <c r="GA48" s="17">
        <f>FZ48*VLOOKUP('Données projet'!$B$17,Paramètres!$A$1:$I$89,3,0)*VLOOKUP('Données projet'!$B$17,Paramètres!$A$1:$I$89,5,0)</f>
        <v>206.70000000000005</v>
      </c>
      <c r="GB48" s="13">
        <f t="shared" si="49"/>
        <v>51.213789254671468</v>
      </c>
      <c r="GC48" s="20">
        <f t="shared" si="25"/>
        <v>449.19984961855289</v>
      </c>
      <c r="GD48" s="59">
        <f t="shared" si="26"/>
        <v>730.85534173278643</v>
      </c>
      <c r="GE48" s="59">
        <f ca="1">AVERAGE(OFFSET($GD$3,0,0,'Données projet'!$E$17+1,1))-AVERAGE(OFFSET($H$3,0,0,'Données projet'!$E$17+1,1))</f>
        <v>300.95722646933314</v>
      </c>
      <c r="GF48" s="59">
        <f t="shared" si="50"/>
        <v>269.52365224623759</v>
      </c>
      <c r="GG48" s="15">
        <f>IF(ISNA(VLOOKUP(A48,'Données projet'!$A$243:$I$263,3,0)),0,VLOOKUP(A48,'Données projet'!$A$243:$I$263,3,0))</f>
        <v>4</v>
      </c>
      <c r="GH48" s="15">
        <f>IF(ISNA(VLOOKUP(A48,'Données projet'!$A$243:$I$263,4,0)),0,VLOOKUP(A48,'Données projet'!$A$243:$I$263,4,0))</f>
        <v>63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>
        <f>EXP(-LN(2)/35)*GL47+(1-EXP(-LN(2)/35))/(LN(2)/35)*GH48*GI48*VLOOKUP('Données projet'!$B$17,Paramètres!$A$1:$I$89,3,0)*0.475*44/12</f>
        <v>0.66116302054198139</v>
      </c>
      <c r="GM48" s="21">
        <f>EXP(-LN(2)/25)*GM47+(1-EXP(-LN(2)/25))/(LN(2)/25)*Calculateur!GH48*Calculateur!GJ48*VLOOKUP('Données projet'!$B$17,Paramètres!$A$1:$I$89,3,0)*0.475*44/12</f>
        <v>4.1163050158816024</v>
      </c>
      <c r="GN48" s="21">
        <f>EXP(-LN(2)/2)*GN47+(1-EXP(-LN(2)/2))/(LN(2)/2)*GH48*GK48*VLOOKUP('Données projet'!$B$17,Paramètres!$A$1:$I$89,3,0)*0.475*44/12</f>
        <v>4.8939322266742857E-2</v>
      </c>
      <c r="GO48" s="21">
        <f t="shared" si="27"/>
        <v>4.8264073586903269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66.815134212972794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1.4000000000000001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5.1333333333333337</v>
      </c>
      <c r="H49" s="67">
        <f t="shared" si="1"/>
        <v>236.13333333333335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66.870384514084506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11.2</v>
      </c>
      <c r="N49" s="13">
        <f>IF('Données projet'!$A$36&gt;35,N48+M49-V48,IF(A49&lt;'Données projet'!$A$36,$K$205^A49,IF(A49='Données projet'!$A$36,'Données projet'!$B$36,N48+M49-V48)))</f>
        <v>214.19999999999993</v>
      </c>
      <c r="O49" s="13">
        <f>N49*VLOOKUP('Données projet'!$B$9,Paramètres!$A$1:$I$89,3,0)*VLOOKUP('Données projet'!$B$9,Paramètres!$A$1:$I$89,5,0)</f>
        <v>193.80815999999993</v>
      </c>
      <c r="P49" s="13">
        <f t="shared" si="33"/>
        <v>48.380908095574689</v>
      </c>
      <c r="Q49" s="20">
        <f t="shared" si="53"/>
        <v>421.81262693312578</v>
      </c>
      <c r="R49" s="59">
        <f t="shared" si="0"/>
        <v>703.67070348476898</v>
      </c>
      <c r="S49" s="59">
        <f ca="1">AVERAGE(OFFSET($R$3,0,0,'Données projet'!$E$9+1,1))-AVERAGE(OFFSET($H$3,0,0,'Données projet'!$E$9+1,1))</f>
        <v>479.46542424895119</v>
      </c>
      <c r="T49" s="59">
        <f t="shared" si="34"/>
        <v>337.96395820277337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1.7544559659558872</v>
      </c>
      <c r="AA49" s="21">
        <f>EXP(-LN(2)/25)*AA48+(1-EXP(-LN(2)/25))/(LN(2)/25)*Calculateur!V49*Calculateur!X49*VLOOKUP('Données projet'!$B$9,Paramètres!$A$1:$I$89,3,0)*0.475*44/12</f>
        <v>7.2403306663567371</v>
      </c>
      <c r="AB49" s="21">
        <f>EXP(-LN(2)/2)*AB48+(1-EXP(-LN(2)/2))/(LN(2)/2)*V49*Y49*VLOOKUP('Données projet'!$B$9,Paramètres!$A$1:$I$89,3,0)*0.475*44/12</f>
        <v>8.419272177385391E-2</v>
      </c>
      <c r="AC49" s="22">
        <f t="shared" si="3"/>
        <v>9.0789793540864796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66.870384514084506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11.2</v>
      </c>
      <c r="AI49" s="13">
        <f>IF('Données projet'!$A$62&gt;35,AI48+AH49-AQ48,IF(A49&lt;'Données projet'!$A$62,$AF$205^A49,IF(A49='Données projet'!$A$62,'Données projet'!$B$62,AI48+AH49-AQ48)))</f>
        <v>214.19999999999993</v>
      </c>
      <c r="AJ49" s="13">
        <f>AI49*VLOOKUP('Données projet'!$B$10,Paramètres!$A$1:$I$89,3,0)*VLOOKUP('Données projet'!$B$10,Paramètres!$A$1:$I$89,5,0)</f>
        <v>207.17423999999991</v>
      </c>
      <c r="AK49" s="13">
        <f t="shared" si="35"/>
        <v>51.317600016110937</v>
      </c>
      <c r="AL49" s="20">
        <f t="shared" si="4"/>
        <v>450.20662136139305</v>
      </c>
      <c r="AM49" s="59">
        <f t="shared" si="5"/>
        <v>732.0646979130363</v>
      </c>
      <c r="AN49" s="59">
        <f ca="1">AVERAGE(OFFSET($AM$3,0,0,'Données projet'!$E$10+1,1))-AVERAGE(OFFSET($H$3,0,0,'Données projet'!$E$10+1,1))</f>
        <v>508.94560627895089</v>
      </c>
      <c r="AO49" s="59">
        <f t="shared" si="36"/>
        <v>357.86868650263034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1.8754529291252593</v>
      </c>
      <c r="AV49" s="21">
        <f>EXP(-LN(2)/25)*AV48+(1-EXP(-LN(2)/25))/(LN(2)/25)*Calculateur!AQ49*Calculateur!AS49*VLOOKUP('Données projet'!$B$10,Paramètres!$A$1:$I$89,3,0)*0.475*44/12</f>
        <v>7.739663815760653</v>
      </c>
      <c r="AW49" s="21">
        <f>EXP(-LN(2)/2)*AW48+(1-EXP(-LN(2)/2))/(LN(2)/2)*AQ49*AT49*VLOOKUP('Données projet'!$B$10,Paramètres!$A$1:$I$89,3,0)*0.475*44/12</f>
        <v>8.9999116378947211E-2</v>
      </c>
      <c r="AX49" s="21">
        <f t="shared" si="6"/>
        <v>9.7051158612648596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66.870384514084506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11</v>
      </c>
      <c r="BD49" s="12">
        <f>IF('Données projet'!$A$88&gt;35,BD48+BC49-BL48,IF(A49&lt;'Données projet'!$A$88,$BA$205^A49,IF(A49='Données projet'!$A$88,'Données projet'!$B$88,BD48+BC49-BL48)))</f>
        <v>275.00000000000006</v>
      </c>
      <c r="BE49" s="13">
        <f>BD49*VLOOKUP('Données projet'!$B$11,Paramètres!$A$1:$I$89,3,0)*VLOOKUP('Données projet'!$B$11,Paramètres!$A$1:$I$89,5,0)</f>
        <v>214.50000000000006</v>
      </c>
      <c r="BF49" s="13">
        <f t="shared" si="37"/>
        <v>52.917732192436588</v>
      </c>
      <c r="BG49" s="20">
        <f t="shared" si="7"/>
        <v>465.75255023516047</v>
      </c>
      <c r="BH49" s="59">
        <f t="shared" si="8"/>
        <v>747.61062678680366</v>
      </c>
      <c r="BI49" s="59">
        <f ca="1">AVERAGE(OFFSET($BH$3,0,0,'Données projet'!$E$11+1,1))-AVERAGE(OFFSET($H$3,0,0,'Données projet'!$E$11+1,1))</f>
        <v>383.03154033422328</v>
      </c>
      <c r="BJ49" s="59">
        <f t="shared" si="38"/>
        <v>373.27897156169877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1.0533217775905113</v>
      </c>
      <c r="BQ49" s="21">
        <f>EXP(-LN(2)/25)*BQ48+(1-EXP(-LN(2)/25))/(LN(2)/25)*Calculateur!BL49*Calculateur!BN49*VLOOKUP('Données projet'!$B$11,Paramètres!$A$1:$I$89,3,0)*0.475*44/12</f>
        <v>5.3716010386286461</v>
      </c>
      <c r="BR49" s="21">
        <f>EXP(-LN(2)/2)*BR48+(1-EXP(-LN(2)/2))/(LN(2)/2)*BL49*BO49*VLOOKUP('Données projet'!$B$11,Paramètres!$A$1:$I$89,3,0)*0.475*44/12</f>
        <v>5.1059295299616544E-2</v>
      </c>
      <c r="BS49" s="22">
        <f t="shared" si="9"/>
        <v>6.4759821115187739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66.870384514084506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11.2</v>
      </c>
      <c r="BY49" s="12">
        <f>IF('Données projet'!$A$114&gt;35,BY48+BX49-CG48,IF(A49&lt;'Données projet'!$A$114,$BV$205^A49,IF(A49='Données projet'!$A$114,'Données projet'!$B$114,BY48+BX49-CG48)))</f>
        <v>214.19999999999993</v>
      </c>
      <c r="BZ49" s="13">
        <f>BY49*VLOOKUP('Données projet'!$B$12,Paramètres!$A$1:$I$89,3,0)*VLOOKUP('Données projet'!$B$12,Paramètres!$A$1:$I$89,5,0)</f>
        <v>180.44207999999995</v>
      </c>
      <c r="CA49" s="13">
        <f t="shared" si="39"/>
        <v>45.420526775820029</v>
      </c>
      <c r="CB49" s="20">
        <f t="shared" si="10"/>
        <v>393.37737346788646</v>
      </c>
      <c r="CC49" s="59">
        <f t="shared" si="11"/>
        <v>675.23545001952971</v>
      </c>
      <c r="CD49" s="59">
        <f ca="1">AVERAGE(OFFSET($CC$3,0,0,'Données projet'!$E$12+1,1))-AVERAGE(OFFSET($H$3,0,0,'Données projet'!$E$12+1,1))</f>
        <v>449.94334483948603</v>
      </c>
      <c r="CE49" s="59">
        <f t="shared" si="40"/>
        <v>318.02929110264176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1.6334590027865159</v>
      </c>
      <c r="CL49" s="21">
        <f>EXP(-LN(2)/25)*CL48+(1-EXP(-LN(2)/25))/(LN(2)/25)*Calculateur!CG49*Calculateur!CI49*VLOOKUP('Données projet'!$B$12,Paramètres!$A$1:$I$89,3,0)*0.475*44/12</f>
        <v>6.7409975169528291</v>
      </c>
      <c r="CM49" s="21">
        <f>EXP(-LN(2)/2)*CM48+(1-EXP(-LN(2)/2))/(LN(2)/2)*CG49*CJ49*VLOOKUP('Données projet'!$B$12,Paramètres!$A$1:$I$89,3,0)*0.475*44/12</f>
        <v>7.8386327168760553E-2</v>
      </c>
      <c r="CN49" s="22">
        <f t="shared" si="12"/>
        <v>8.4528428469081049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66.870384514084506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11</v>
      </c>
      <c r="CT49" s="12">
        <f>IF('Données projet'!$A$140&gt;35,CT48+CS49-DB48,IF(A49&lt;'Données projet'!$A$140,$CQ$205^A49,IF(A49='Données projet'!$A$140,'Données projet'!$B$140,CT48+CS49-DB48)))</f>
        <v>201.00000000000006</v>
      </c>
      <c r="CU49" s="17">
        <f>CT49*VLOOKUP('Données projet'!$B$13,Paramètres!$A$1:$I$89,3,0)*VLOOKUP('Données projet'!$B$13,Paramètres!$A$1:$I$89,5,0)</f>
        <v>172.45800000000006</v>
      </c>
      <c r="CV49" s="13">
        <f t="shared" si="41"/>
        <v>43.640073035750284</v>
      </c>
      <c r="CW49" s="20">
        <f t="shared" si="13"/>
        <v>376.37081053726519</v>
      </c>
      <c r="CX49" s="59">
        <f t="shared" si="14"/>
        <v>658.22888708890832</v>
      </c>
      <c r="CY49" s="59">
        <f ca="1">AVERAGE(OFFSET($CX$3,0,0,'Données projet'!$E$13+1,1))-AVERAGE(OFFSET($H$3,0,0,'Données projet'!$E$13+1,1))</f>
        <v>565.32667500225568</v>
      </c>
      <c r="CZ49" s="59">
        <f t="shared" si="42"/>
        <v>275.06957234480944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0</v>
      </c>
      <c r="DG49" s="21">
        <f>EXP(-LN(2)/25)*DG48+(1-EXP(-LN(2)/25))/(LN(2)/25)*Calculateur!DB49*Calculateur!DD49*VLOOKUP('Données projet'!$B$13,Paramètres!$A$1:$I$89,3,0)*0.475*44/12</f>
        <v>2.8115497033642831</v>
      </c>
      <c r="DH49" s="21">
        <f>EXP(-LN(2)/2)*DH48+(1-EXP(-LN(2)/2))/(LN(2)/2)*DB49*DE49*VLOOKUP('Données projet'!$B$13,Paramètres!$A$1:$I$89,3,0)*0.475*44/12</f>
        <v>2.7670032466406074E-2</v>
      </c>
      <c r="DI49" s="22">
        <f t="shared" si="15"/>
        <v>2.8392197358306892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66.870384514084506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22.8</v>
      </c>
      <c r="DO49" s="12">
        <f>IF('Données projet'!$A$166&gt;35,DO48+DN49-DW48,IF(A49&lt;'Données projet'!$A$166,$DL$205^A49,IF(A49='Données projet'!$A$166,'Données projet'!$B$166,DO48+DN49-DW48)))</f>
        <v>523.80000000000007</v>
      </c>
      <c r="DP49" s="17">
        <f>DO49*VLOOKUP('Données projet'!$B$14,Paramètres!$A$1:$I$89,3,0)*VLOOKUP('Données projet'!$B$14,Paramètres!$A$1:$I$89,5,0)</f>
        <v>292.80420000000004</v>
      </c>
      <c r="DQ49" s="13">
        <f t="shared" si="43"/>
        <v>69.665822496730271</v>
      </c>
      <c r="DR49" s="20">
        <f t="shared" si="16"/>
        <v>631.30195584847183</v>
      </c>
      <c r="DS49" s="59">
        <f t="shared" si="17"/>
        <v>913.16003240011503</v>
      </c>
      <c r="DT49" s="59">
        <f ca="1">AVERAGE(OFFSET($DS$3,0,0,'Données projet'!$E$14+1,1))-AVERAGE(OFFSET($H$3,0,0,'Données projet'!$E$14+1,1))</f>
        <v>532.64469322244281</v>
      </c>
      <c r="DU49" s="59">
        <f t="shared" si="44"/>
        <v>525.88014011096413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8.3185412178942943</v>
      </c>
      <c r="EB49" s="21">
        <f>EXP(-LN(2)/25)*EB48+(1-EXP(-LN(2)/25))/(LN(2)/25)*Calculateur!DW49*Calculateur!DY49*VLOOKUP('Données projet'!$B$14,Paramètres!$A$1:$I$89,3,0)*0.475*44/12</f>
        <v>24.872415351561646</v>
      </c>
      <c r="EC49" s="21">
        <f>EXP(-LN(2)/2)*EC48+(1-EXP(-LN(2)/2))/(LN(2)/2)*DW49*DZ49*VLOOKUP('Données projet'!$B$14,Paramètres!$A$1:$I$89,3,0)*0.475*44/12</f>
        <v>0.14246832560560194</v>
      </c>
      <c r="ED49" s="22">
        <f t="shared" si="18"/>
        <v>33.33342489506154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66.870384514084506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8.3000000000000007</v>
      </c>
      <c r="EJ49" s="12">
        <f>IF('Données projet'!$A$192&gt;35,EJ48+EI49-ER48,IF(A49&lt;'Données projet'!$A$192,$EG$205^A49,IF(A49='Données projet'!$A$192,'Données projet'!$B$192,EJ48+EI49-ER48)))</f>
        <v>165.8</v>
      </c>
      <c r="EK49" s="17">
        <f>EJ49*VLOOKUP('Données projet'!$B$15,Paramètres!$A$1:$I$89,3,0)*VLOOKUP('Données projet'!$B$15,Paramètres!$A$1:$I$89,5,0)</f>
        <v>150.01584</v>
      </c>
      <c r="EL49" s="13">
        <f t="shared" si="45"/>
        <v>38.582185295570788</v>
      </c>
      <c r="EM49" s="20">
        <f t="shared" si="19"/>
        <v>328.47489405645246</v>
      </c>
      <c r="EN49" s="59">
        <f t="shared" si="20"/>
        <v>610.33297060809559</v>
      </c>
      <c r="EO49" s="59">
        <f ca="1">AVERAGE(OFFSET($EN$3,0,0,'Données projet'!$E$15+1,1))-AVERAGE(OFFSET($H$3,0,0,'Données projet'!$E$15+1,1))</f>
        <v>398.27843768730202</v>
      </c>
      <c r="EP49" s="59">
        <f t="shared" si="46"/>
        <v>252.3617347568813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0</v>
      </c>
      <c r="EW49" s="21">
        <f>EXP(-LN(2)/25)*EW48+(1-EXP(-LN(2)/25))/(LN(2)/25)*Calculateur!ER49*Calculateur!ET49*VLOOKUP('Données projet'!$B$15,Paramètres!$A$1:$I$89,3,0)*0.475*44/12</f>
        <v>1.993120743401374</v>
      </c>
      <c r="EX49" s="21">
        <f>EXP(-LN(2)/2)*EX48+(1-EXP(-LN(2)/2))/(LN(2)/2)*ER49*EU49*VLOOKUP('Données projet'!$B$15,Paramètres!$A$1:$I$89,3,0)*0.475*44/12</f>
        <v>2.4177140056361044E-2</v>
      </c>
      <c r="EY49" s="22">
        <f t="shared" si="21"/>
        <v>2.0172978834577351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66.870384514084506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8.3000000000000007</v>
      </c>
      <c r="FE49" s="12">
        <f>IF('Données projet'!$A$218&gt;35,FE48+FD49-FM48,IF(A49&lt;'Données projet'!$A$218,$FB$205^A49,IF(A49='Données projet'!$A$218,'Données projet'!$B$218,FE48+FD49-FM48)))</f>
        <v>165.8</v>
      </c>
      <c r="FF49" s="17">
        <f>FE49*VLOOKUP('Données projet'!$B$16,Paramètres!$A$1:$I$89,3,0)*VLOOKUP('Données projet'!$B$16,Paramètres!$A$1:$I$89,5,0)</f>
        <v>160.36176</v>
      </c>
      <c r="FG49" s="13">
        <f t="shared" si="47"/>
        <v>40.924100656281027</v>
      </c>
      <c r="FH49" s="20">
        <f t="shared" si="22"/>
        <v>350.57287397635611</v>
      </c>
      <c r="FI49" s="59">
        <f t="shared" si="23"/>
        <v>632.43095052799936</v>
      </c>
      <c r="FJ49" s="59">
        <f ca="1">AVERAGE(OFFSET($FI$3,0,0,'Données projet'!$E$16+1,1))-AVERAGE(OFFSET($H$3,0,0,'Données projet'!$E$16+1,1))</f>
        <v>422.28024471365825</v>
      </c>
      <c r="FK49" s="59">
        <f t="shared" si="48"/>
        <v>266.49730479813206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0</v>
      </c>
      <c r="FR49" s="21">
        <f>EXP(-LN(2)/25)*FR48+(1-EXP(-LN(2)/25))/(LN(2)/25)*Calculateur!FM49*Calculateur!FO49*VLOOKUP('Données projet'!$B$16,Paramètres!$A$1:$I$89,3,0)*0.475*44/12</f>
        <v>2.1305773463945723</v>
      </c>
      <c r="FS49" s="21">
        <f>EXP(-LN(2)/2)*FS48+(1-EXP(-LN(2)/2))/(LN(2)/2)*FM49*FP49*VLOOKUP('Données projet'!$B$16,Paramètres!$A$1:$I$89,3,0)*0.475*44/12</f>
        <v>2.5844529025765249E-2</v>
      </c>
      <c r="FT49" s="22">
        <f t="shared" si="24"/>
        <v>2.1564218754203375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66.870384514084506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8.1</v>
      </c>
      <c r="FZ49" s="12">
        <f>IF('Données projet'!$A$244&gt;35,FZ48+FY49-GH48,IF(A49&lt;'Données projet'!$A$244,$FW$205^A49,IF(A49='Données projet'!$A$244,'Données projet'!$B$244,FZ48+FY49-GH48)))</f>
        <v>210.10000000000008</v>
      </c>
      <c r="GA49" s="17">
        <f>FZ49*VLOOKUP('Données projet'!$B$17,Paramètres!$A$1:$I$89,3,0)*VLOOKUP('Données projet'!$B$17,Paramètres!$A$1:$I$89,5,0)</f>
        <v>163.87800000000007</v>
      </c>
      <c r="GB49" s="13">
        <f t="shared" si="49"/>
        <v>41.715986257165973</v>
      </c>
      <c r="GC49" s="20">
        <f t="shared" si="25"/>
        <v>358.07619273123083</v>
      </c>
      <c r="GD49" s="59">
        <f t="shared" si="26"/>
        <v>639.93426928287408</v>
      </c>
      <c r="GE49" s="59">
        <f ca="1">AVERAGE(OFFSET($GD$3,0,0,'Données projet'!$E$17+1,1))-AVERAGE(OFFSET($H$3,0,0,'Données projet'!$E$17+1,1))</f>
        <v>300.95722646933314</v>
      </c>
      <c r="GF49" s="59">
        <f t="shared" si="50"/>
        <v>269.52365224623759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>
        <f>EXP(-LN(2)/35)*GL48+(1-EXP(-LN(2)/35))/(LN(2)/35)*GH49*GI49*VLOOKUP('Données projet'!$B$17,Paramètres!$A$1:$I$89,3,0)*0.475*44/12</f>
        <v>0.6481980169787761</v>
      </c>
      <c r="GM49" s="21">
        <f>EXP(-LN(2)/25)*GM48+(1-EXP(-LN(2)/25))/(LN(2)/25)*Calculateur!GH49*Calculateur!GJ49*VLOOKUP('Données projet'!$B$17,Paramètres!$A$1:$I$89,3,0)*0.475*44/12</f>
        <v>4.0037444387552474</v>
      </c>
      <c r="GN49" s="21">
        <f>EXP(-LN(2)/2)*GN48+(1-EXP(-LN(2)/2))/(LN(2)/2)*GH49*GK49*VLOOKUP('Données projet'!$B$17,Paramètres!$A$1:$I$89,3,0)*0.475*44/12</f>
        <v>3.4605326641487674E-2</v>
      </c>
      <c r="GO49" s="21">
        <f t="shared" si="27"/>
        <v>4.686547782375512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66.870384514084506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1.4000000000000001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5.1333333333333337</v>
      </c>
      <c r="H50" s="67">
        <f t="shared" si="1"/>
        <v>236.13333333333335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66.924676345993106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11.2</v>
      </c>
      <c r="N50" s="13">
        <f>IF('Données projet'!$A$36&gt;35,N49+M50-V49,IF(A50&lt;'Données projet'!$A$36,$K$205^A50,IF(A50='Données projet'!$A$36,'Données projet'!$B$36,N49+M50-V49)))</f>
        <v>225.39999999999992</v>
      </c>
      <c r="O50" s="13">
        <f>N50*VLOOKUP('Données projet'!$B$9,Paramètres!$A$1:$I$89,3,0)*VLOOKUP('Données projet'!$B$9,Paramètres!$A$1:$I$89,5,0)</f>
        <v>203.94191999999993</v>
      </c>
      <c r="P50" s="13">
        <f t="shared" si="33"/>
        <v>50.609495896501116</v>
      </c>
      <c r="Q50" s="20">
        <f t="shared" si="53"/>
        <v>443.3437160197393</v>
      </c>
      <c r="R50" s="59">
        <f t="shared" si="0"/>
        <v>725.40086262171394</v>
      </c>
      <c r="S50" s="59">
        <f ca="1">AVERAGE(OFFSET($R$3,0,0,'Données projet'!$E$9+1,1))-AVERAGE(OFFSET($H$3,0,0,'Données projet'!$E$9+1,1))</f>
        <v>479.46542424895119</v>
      </c>
      <c r="T50" s="59">
        <f t="shared" si="34"/>
        <v>337.96395820277337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1.7200521545759666</v>
      </c>
      <c r="AA50" s="21">
        <f>EXP(-LN(2)/25)*AA49+(1-EXP(-LN(2)/25))/(LN(2)/25)*Calculateur!V50*Calculateur!X50*VLOOKUP('Données projet'!$B$9,Paramètres!$A$1:$I$89,3,0)*0.475*44/12</f>
        <v>7.0423434435327703</v>
      </c>
      <c r="AB50" s="21">
        <f>EXP(-LN(2)/2)*AB49+(1-EXP(-LN(2)/2))/(LN(2)/2)*V50*Y50*VLOOKUP('Données projet'!$B$9,Paramètres!$A$1:$I$89,3,0)*0.475*44/12</f>
        <v>5.9533244492844396E-2</v>
      </c>
      <c r="AC50" s="22">
        <f t="shared" si="3"/>
        <v>8.8219288426015812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66.924676345993106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11.2</v>
      </c>
      <c r="AI50" s="13">
        <f>IF('Données projet'!$A$62&gt;35,AI49+AH50-AQ49,IF(A50&lt;'Données projet'!$A$62,$AF$205^A50,IF(A50='Données projet'!$A$62,'Données projet'!$B$62,AI49+AH50-AQ49)))</f>
        <v>225.39999999999992</v>
      </c>
      <c r="AJ50" s="13">
        <f>AI50*VLOOKUP('Données projet'!$B$10,Paramètres!$A$1:$I$89,3,0)*VLOOKUP('Données projet'!$B$10,Paramètres!$A$1:$I$89,5,0)</f>
        <v>218.00687999999994</v>
      </c>
      <c r="AK50" s="13">
        <f t="shared" si="35"/>
        <v>53.681461751463267</v>
      </c>
      <c r="AL50" s="20">
        <f t="shared" si="4"/>
        <v>473.1905285504651</v>
      </c>
      <c r="AM50" s="59">
        <f t="shared" si="5"/>
        <v>755.2476751524398</v>
      </c>
      <c r="AN50" s="59">
        <f ca="1">AVERAGE(OFFSET($AM$3,0,0,'Données projet'!$E$10+1,1))-AVERAGE(OFFSET($H$3,0,0,'Données projet'!$E$10+1,1))</f>
        <v>508.94560627895089</v>
      </c>
      <c r="AO50" s="59">
        <f t="shared" si="36"/>
        <v>357.86868650263034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1.8386764410984477</v>
      </c>
      <c r="AV50" s="21">
        <f>EXP(-LN(2)/25)*AV49+(1-EXP(-LN(2)/25))/(LN(2)/25)*Calculateur!AQ50*Calculateur!AS50*VLOOKUP('Données projet'!$B$10,Paramètres!$A$1:$I$89,3,0)*0.475*44/12</f>
        <v>7.5280223017074475</v>
      </c>
      <c r="AW50" s="21">
        <f>EXP(-LN(2)/2)*AW49+(1-EXP(-LN(2)/2))/(LN(2)/2)*AQ50*AT50*VLOOKUP('Données projet'!$B$10,Paramètres!$A$1:$I$89,3,0)*0.475*44/12</f>
        <v>6.363898549235085E-2</v>
      </c>
      <c r="AX50" s="21">
        <f t="shared" si="6"/>
        <v>9.4303377282982446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66.924676345993106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11</v>
      </c>
      <c r="BD50" s="12">
        <f>IF('Données projet'!$A$88&gt;35,BD49+BC50-BL49,IF(A50&lt;'Données projet'!$A$88,$BA$205^A50,IF(A50='Données projet'!$A$88,'Données projet'!$B$88,BD49+BC50-BL49)))</f>
        <v>286.00000000000006</v>
      </c>
      <c r="BE50" s="13">
        <f>BD50*VLOOKUP('Données projet'!$B$11,Paramètres!$A$1:$I$89,3,0)*VLOOKUP('Données projet'!$B$11,Paramètres!$A$1:$I$89,5,0)</f>
        <v>223.08000000000004</v>
      </c>
      <c r="BF50" s="13">
        <f t="shared" si="37"/>
        <v>54.783765878062667</v>
      </c>
      <c r="BG50" s="20">
        <f t="shared" si="7"/>
        <v>483.94605890429256</v>
      </c>
      <c r="BH50" s="59">
        <f t="shared" si="8"/>
        <v>766.00320550626725</v>
      </c>
      <c r="BI50" s="59">
        <f ca="1">AVERAGE(OFFSET($BH$3,0,0,'Données projet'!$E$11+1,1))-AVERAGE(OFFSET($H$3,0,0,'Données projet'!$E$11+1,1))</f>
        <v>383.03154033422328</v>
      </c>
      <c r="BJ50" s="59">
        <f t="shared" si="38"/>
        <v>373.27897156169877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1.0326667799948077</v>
      </c>
      <c r="BQ50" s="21">
        <f>EXP(-LN(2)/25)*BQ49+(1-EXP(-LN(2)/25))/(LN(2)/25)*Calculateur!BL50*Calculateur!BN50*VLOOKUP('Données projet'!$B$11,Paramètres!$A$1:$I$89,3,0)*0.475*44/12</f>
        <v>5.224714325747124</v>
      </c>
      <c r="BR50" s="21">
        <f>EXP(-LN(2)/2)*BR49+(1-EXP(-LN(2)/2))/(LN(2)/2)*BL50*BO50*VLOOKUP('Données projet'!$B$11,Paramètres!$A$1:$I$89,3,0)*0.475*44/12</f>
        <v>3.610437394896527E-2</v>
      </c>
      <c r="BS50" s="22">
        <f t="shared" si="9"/>
        <v>6.2934854796908963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66.924676345993106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11.2</v>
      </c>
      <c r="BY50" s="12">
        <f>IF('Données projet'!$A$114&gt;35,BY49+BX50-CG49,IF(A50&lt;'Données projet'!$A$114,$BV$205^A50,IF(A50='Données projet'!$A$114,'Données projet'!$B$114,BY49+BX50-CG49)))</f>
        <v>225.39999999999992</v>
      </c>
      <c r="BZ50" s="13">
        <f>BY50*VLOOKUP('Données projet'!$B$12,Paramètres!$A$1:$I$89,3,0)*VLOOKUP('Données projet'!$B$12,Paramètres!$A$1:$I$89,5,0)</f>
        <v>189.87695999999994</v>
      </c>
      <c r="CA50" s="13">
        <f t="shared" si="39"/>
        <v>47.5127494286954</v>
      </c>
      <c r="CB50" s="20">
        <f t="shared" si="10"/>
        <v>413.45374392164439</v>
      </c>
      <c r="CC50" s="59">
        <f t="shared" si="11"/>
        <v>695.51089052361908</v>
      </c>
      <c r="CD50" s="59">
        <f ca="1">AVERAGE(OFFSET($CC$3,0,0,'Données projet'!$E$12+1,1))-AVERAGE(OFFSET($H$3,0,0,'Données projet'!$E$12+1,1))</f>
        <v>449.94334483948603</v>
      </c>
      <c r="CE50" s="59">
        <f t="shared" si="40"/>
        <v>318.02929110264176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1.6014278680534864</v>
      </c>
      <c r="CL50" s="21">
        <f>EXP(-LN(2)/25)*CL49+(1-EXP(-LN(2)/25))/(LN(2)/25)*Calculateur!CG50*Calculateur!CI50*VLOOKUP('Données projet'!$B$12,Paramètres!$A$1:$I$89,3,0)*0.475*44/12</f>
        <v>6.5566645853581011</v>
      </c>
      <c r="CM50" s="21">
        <f>EXP(-LN(2)/2)*CM49+(1-EXP(-LN(2)/2))/(LN(2)/2)*CG50*CJ50*VLOOKUP('Données projet'!$B$12,Paramètres!$A$1:$I$89,3,0)*0.475*44/12</f>
        <v>5.5427503493337894E-2</v>
      </c>
      <c r="CN50" s="22">
        <f t="shared" si="12"/>
        <v>8.2135199569049249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66.924676345993106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11</v>
      </c>
      <c r="CT50" s="12">
        <f>IF('Données projet'!$A$140&gt;35,CT49+CS50-DB49,IF(A50&lt;'Données projet'!$A$140,$CQ$205^A50,IF(A50='Données projet'!$A$140,'Données projet'!$B$140,CT49+CS50-DB49)))</f>
        <v>212.00000000000006</v>
      </c>
      <c r="CU50" s="17">
        <f>CT50*VLOOKUP('Données projet'!$B$13,Paramètres!$A$1:$I$89,3,0)*VLOOKUP('Données projet'!$B$13,Paramètres!$A$1:$I$89,5,0)</f>
        <v>181.89600000000007</v>
      </c>
      <c r="CV50" s="13">
        <f t="shared" si="41"/>
        <v>45.743753647228822</v>
      </c>
      <c r="CW50" s="20">
        <f t="shared" si="13"/>
        <v>396.47257093559028</v>
      </c>
      <c r="CX50" s="59">
        <f t="shared" si="14"/>
        <v>678.52971753756492</v>
      </c>
      <c r="CY50" s="59">
        <f ca="1">AVERAGE(OFFSET($CX$3,0,0,'Données projet'!$E$13+1,1))-AVERAGE(OFFSET($H$3,0,0,'Données projet'!$E$13+1,1))</f>
        <v>565.32667500225568</v>
      </c>
      <c r="CZ50" s="59">
        <f t="shared" si="42"/>
        <v>275.06957234480944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0</v>
      </c>
      <c r="DG50" s="21">
        <f>EXP(-LN(2)/25)*DG49+(1-EXP(-LN(2)/25))/(LN(2)/25)*Calculateur!DB50*Calculateur!DD50*VLOOKUP('Données projet'!$B$13,Paramètres!$A$1:$I$89,3,0)*0.475*44/12</f>
        <v>2.7346677288728136</v>
      </c>
      <c r="DH50" s="21">
        <f>EXP(-LN(2)/2)*DH49+(1-EXP(-LN(2)/2))/(LN(2)/2)*DB50*DE50*VLOOKUP('Données projet'!$B$13,Paramètres!$A$1:$I$89,3,0)*0.475*44/12</f>
        <v>1.9565667592647665E-2</v>
      </c>
      <c r="DI50" s="22">
        <f t="shared" si="15"/>
        <v>2.7542333964654615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66.924676345993106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22.8</v>
      </c>
      <c r="DO50" s="12">
        <f>IF('Données projet'!$A$166&gt;35,DO49+DN50-DW49,IF(A50&lt;'Données projet'!$A$166,$DL$205^A50,IF(A50='Données projet'!$A$166,'Données projet'!$B$166,DO49+DN50-DW49)))</f>
        <v>546.6</v>
      </c>
      <c r="DP50" s="17">
        <f>DO50*VLOOKUP('Données projet'!$B$14,Paramètres!$A$1:$I$89,3,0)*VLOOKUP('Données projet'!$B$14,Paramètres!$A$1:$I$89,5,0)</f>
        <v>305.54940000000005</v>
      </c>
      <c r="DQ50" s="13">
        <f t="shared" si="43"/>
        <v>72.338586946416783</v>
      </c>
      <c r="DR50" s="20">
        <f t="shared" si="16"/>
        <v>658.15491059834255</v>
      </c>
      <c r="DS50" s="59">
        <f t="shared" si="17"/>
        <v>940.2120572003173</v>
      </c>
      <c r="DT50" s="59">
        <f ca="1">AVERAGE(OFFSET($DS$3,0,0,'Données projet'!$E$14+1,1))-AVERAGE(OFFSET($H$3,0,0,'Données projet'!$E$14+1,1))</f>
        <v>532.64469322244281</v>
      </c>
      <c r="DU50" s="59">
        <f t="shared" si="44"/>
        <v>525.88014011096413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8.1554196984205323</v>
      </c>
      <c r="EB50" s="21">
        <f>EXP(-LN(2)/25)*EB49+(1-EXP(-LN(2)/25))/(LN(2)/25)*Calculateur!DW50*Calculateur!DY50*VLOOKUP('Données projet'!$B$14,Paramètres!$A$1:$I$89,3,0)*0.475*44/12</f>
        <v>24.192277845789715</v>
      </c>
      <c r="EC50" s="21">
        <f>EXP(-LN(2)/2)*EC49+(1-EXP(-LN(2)/2))/(LN(2)/2)*DW50*DZ50*VLOOKUP('Données projet'!$B$14,Paramètres!$A$1:$I$89,3,0)*0.475*44/12</f>
        <v>0.10074031914001418</v>
      </c>
      <c r="ED50" s="22">
        <f t="shared" si="18"/>
        <v>32.448437863350264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66.924676345993106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8.3000000000000007</v>
      </c>
      <c r="EJ50" s="12">
        <f>IF('Données projet'!$A$192&gt;35,EJ49+EI50-ER49,IF(A50&lt;'Données projet'!$A$192,$EG$205^A50,IF(A50='Données projet'!$A$192,'Données projet'!$B$192,EJ49+EI50-ER49)))</f>
        <v>174.10000000000002</v>
      </c>
      <c r="EK50" s="17">
        <f>EJ50*VLOOKUP('Données projet'!$B$15,Paramètres!$A$1:$I$89,3,0)*VLOOKUP('Données projet'!$B$15,Paramètres!$A$1:$I$89,5,0)</f>
        <v>157.52568000000002</v>
      </c>
      <c r="EL50" s="13">
        <f t="shared" si="45"/>
        <v>40.283920409774808</v>
      </c>
      <c r="EM50" s="20">
        <f t="shared" si="19"/>
        <v>344.51838738035781</v>
      </c>
      <c r="EN50" s="59">
        <f t="shared" si="20"/>
        <v>626.57553398233244</v>
      </c>
      <c r="EO50" s="59">
        <f ca="1">AVERAGE(OFFSET($EN$3,0,0,'Données projet'!$E$15+1,1))-AVERAGE(OFFSET($H$3,0,0,'Données projet'!$E$15+1,1))</f>
        <v>398.27843768730202</v>
      </c>
      <c r="EP50" s="59">
        <f t="shared" si="46"/>
        <v>252.3617347568813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0</v>
      </c>
      <c r="EW50" s="21">
        <f>EXP(-LN(2)/25)*EW49+(1-EXP(-LN(2)/25))/(LN(2)/25)*Calculateur!ER50*Calculateur!ET50*VLOOKUP('Données projet'!$B$15,Paramètres!$A$1:$I$89,3,0)*0.475*44/12</f>
        <v>1.9386187518593989</v>
      </c>
      <c r="EX50" s="21">
        <f>EXP(-LN(2)/2)*EX49+(1-EXP(-LN(2)/2))/(LN(2)/2)*ER50*EU50*VLOOKUP('Données projet'!$B$15,Paramètres!$A$1:$I$89,3,0)*0.475*44/12</f>
        <v>1.7095819683549802E-2</v>
      </c>
      <c r="EY50" s="22">
        <f t="shared" si="21"/>
        <v>1.9557145715429487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66.924676345993106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8.3000000000000007</v>
      </c>
      <c r="FE50" s="12">
        <f>IF('Données projet'!$A$218&gt;35,FE49+FD50-FM49,IF(A50&lt;'Données projet'!$A$218,$FB$205^A50,IF(A50='Données projet'!$A$218,'Données projet'!$B$218,FE49+FD50-FM49)))</f>
        <v>174.10000000000002</v>
      </c>
      <c r="FF50" s="17">
        <f>FE50*VLOOKUP('Données projet'!$B$16,Paramètres!$A$1:$I$89,3,0)*VLOOKUP('Données projet'!$B$16,Paramètres!$A$1:$I$89,5,0)</f>
        <v>168.38952</v>
      </c>
      <c r="FG50" s="13">
        <f t="shared" si="47"/>
        <v>42.729130064815024</v>
      </c>
      <c r="FH50" s="20">
        <f t="shared" si="22"/>
        <v>367.69831552955276</v>
      </c>
      <c r="FI50" s="59">
        <f t="shared" si="23"/>
        <v>649.75546213152745</v>
      </c>
      <c r="FJ50" s="59">
        <f ca="1">AVERAGE(OFFSET($FI$3,0,0,'Données projet'!$E$16+1,1))-AVERAGE(OFFSET($H$3,0,0,'Données projet'!$E$16+1,1))</f>
        <v>422.28024471365825</v>
      </c>
      <c r="FK50" s="59">
        <f t="shared" si="48"/>
        <v>266.49730479813206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0</v>
      </c>
      <c r="FR50" s="21">
        <f>EXP(-LN(2)/25)*FR49+(1-EXP(-LN(2)/25))/(LN(2)/25)*Calculateur!FM50*Calculateur!FO50*VLOOKUP('Données projet'!$B$16,Paramètres!$A$1:$I$89,3,0)*0.475*44/12</f>
        <v>2.0723165968152197</v>
      </c>
      <c r="FS50" s="21">
        <f>EXP(-LN(2)/2)*FS49+(1-EXP(-LN(2)/2))/(LN(2)/2)*FM50*FP50*VLOOKUP('Données projet'!$B$16,Paramètres!$A$1:$I$89,3,0)*0.475*44/12</f>
        <v>1.8274841730691164E-2</v>
      </c>
      <c r="FT50" s="22">
        <f t="shared" si="24"/>
        <v>2.090591438545911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66.924676345993106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8.1</v>
      </c>
      <c r="FZ50" s="12">
        <f>IF('Données projet'!$A$244&gt;35,FZ49+FY50-GH49,IF(A50&lt;'Données projet'!$A$244,$FW$205^A50,IF(A50='Données projet'!$A$244,'Données projet'!$B$244,FZ49+FY50-GH49)))</f>
        <v>218.20000000000007</v>
      </c>
      <c r="GA50" s="17">
        <f>FZ50*VLOOKUP('Données projet'!$B$17,Paramètres!$A$1:$I$89,3,0)*VLOOKUP('Données projet'!$B$17,Paramètres!$A$1:$I$89,5,0)</f>
        <v>170.19600000000005</v>
      </c>
      <c r="GB50" s="13">
        <f t="shared" si="49"/>
        <v>43.13391812093576</v>
      </c>
      <c r="GC50" s="20">
        <f t="shared" si="25"/>
        <v>371.54960739396319</v>
      </c>
      <c r="GD50" s="59">
        <f t="shared" si="26"/>
        <v>653.60675399593788</v>
      </c>
      <c r="GE50" s="59">
        <f ca="1">AVERAGE(OFFSET($GD$3,0,0,'Données projet'!$E$17+1,1))-AVERAGE(OFFSET($H$3,0,0,'Données projet'!$E$17+1,1))</f>
        <v>300.95722646933314</v>
      </c>
      <c r="GF50" s="59">
        <f t="shared" si="50"/>
        <v>269.52365224623759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>
        <f>EXP(-LN(2)/35)*GL49+(1-EXP(-LN(2)/35))/(LN(2)/35)*GH50*GI50*VLOOKUP('Données projet'!$B$17,Paramètres!$A$1:$I$89,3,0)*0.475*44/12</f>
        <v>0.63548724922757394</v>
      </c>
      <c r="GM50" s="21">
        <f>EXP(-LN(2)/25)*GM49+(1-EXP(-LN(2)/25))/(LN(2)/25)*Calculateur!GH50*Calculateur!GJ50*VLOOKUP('Données projet'!$B$17,Paramètres!$A$1:$I$89,3,0)*0.475*44/12</f>
        <v>3.8942618365297159</v>
      </c>
      <c r="GN50" s="21">
        <f>EXP(-LN(2)/2)*GN49+(1-EXP(-LN(2)/2))/(LN(2)/2)*GH50*GK50*VLOOKUP('Données projet'!$B$17,Paramètres!$A$1:$I$89,3,0)*0.475*44/12</f>
        <v>2.4469661133371429E-2</v>
      </c>
      <c r="GO50" s="21">
        <f t="shared" si="27"/>
        <v>4.554218746890661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66.924676345993106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1.4000000000000001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5.1333333333333337</v>
      </c>
      <c r="H51" s="67">
        <f t="shared" si="1"/>
        <v>236.13333333333335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66.978026335996447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11.2</v>
      </c>
      <c r="N51" s="13">
        <f>IF('Données projet'!$A$36&gt;35,N50+M51-V50,IF(A51&lt;'Données projet'!$A$36,$K$205^A51,IF(A51='Données projet'!$A$36,'Données projet'!$B$36,N50+M51-V50)))</f>
        <v>236.59999999999991</v>
      </c>
      <c r="O51" s="13">
        <f>N51*VLOOKUP('Données projet'!$B$9,Paramètres!$A$1:$I$89,3,0)*VLOOKUP('Données projet'!$B$9,Paramètres!$A$1:$I$89,5,0)</f>
        <v>214.07567999999992</v>
      </c>
      <c r="P51" s="13">
        <f t="shared" si="33"/>
        <v>52.825225496078176</v>
      </c>
      <c r="Q51" s="20">
        <f t="shared" si="53"/>
        <v>464.85241040566939</v>
      </c>
      <c r="R51" s="59">
        <f t="shared" si="0"/>
        <v>747.10517363765643</v>
      </c>
      <c r="S51" s="59">
        <f ca="1">AVERAGE(OFFSET($R$3,0,0,'Données projet'!$E$9+1,1))-AVERAGE(OFFSET($H$3,0,0,'Données projet'!$E$9+1,1))</f>
        <v>479.46542424895119</v>
      </c>
      <c r="T51" s="59">
        <f t="shared" si="34"/>
        <v>337.96395820277337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1.6863229809529534</v>
      </c>
      <c r="AA51" s="21">
        <f>EXP(-LN(2)/25)*AA50+(1-EXP(-LN(2)/25))/(LN(2)/25)*Calculateur!V51*Calculateur!X51*VLOOKUP('Données projet'!$B$9,Paramètres!$A$1:$I$89,3,0)*0.475*44/12</f>
        <v>6.8497701917286209</v>
      </c>
      <c r="AB51" s="21">
        <f>EXP(-LN(2)/2)*AB50+(1-EXP(-LN(2)/2))/(LN(2)/2)*V51*Y51*VLOOKUP('Données projet'!$B$9,Paramètres!$A$1:$I$89,3,0)*0.475*44/12</f>
        <v>4.2096360886926962E-2</v>
      </c>
      <c r="AC51" s="22">
        <f t="shared" si="3"/>
        <v>8.5781895335685014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66.978026335996447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11.2</v>
      </c>
      <c r="AI51" s="13">
        <f>IF('Données projet'!$A$62&gt;35,AI50+AH51-AQ50,IF(A51&lt;'Données projet'!$A$62,$AF$205^A51,IF(A51='Données projet'!$A$62,'Données projet'!$B$62,AI50+AH51-AQ50)))</f>
        <v>236.59999999999991</v>
      </c>
      <c r="AJ51" s="13">
        <f>AI51*VLOOKUP('Données projet'!$B$10,Paramètres!$A$1:$I$89,3,0)*VLOOKUP('Données projet'!$B$10,Paramètres!$A$1:$I$89,5,0)</f>
        <v>228.83951999999994</v>
      </c>
      <c r="AK51" s="13">
        <f t="shared" si="35"/>
        <v>56.031684800405088</v>
      </c>
      <c r="AL51" s="20">
        <f t="shared" si="4"/>
        <v>496.15068169403884</v>
      </c>
      <c r="AM51" s="59">
        <f t="shared" si="5"/>
        <v>778.40344492602583</v>
      </c>
      <c r="AN51" s="59">
        <f ca="1">AVERAGE(OFFSET($AM$3,0,0,'Données projet'!$E$10+1,1))-AVERAGE(OFFSET($H$3,0,0,'Données projet'!$E$10+1,1))</f>
        <v>508.94560627895089</v>
      </c>
      <c r="AO51" s="59">
        <f t="shared" si="36"/>
        <v>357.86868650263034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1.8026211175703992</v>
      </c>
      <c r="AV51" s="21">
        <f>EXP(-LN(2)/25)*AV50+(1-EXP(-LN(2)/25))/(LN(2)/25)*Calculateur!AQ51*Calculateur!AS51*VLOOKUP('Données projet'!$B$10,Paramètres!$A$1:$I$89,3,0)*0.475*44/12</f>
        <v>7.3221681359857698</v>
      </c>
      <c r="AW51" s="21">
        <f>EXP(-LN(2)/2)*AW50+(1-EXP(-LN(2)/2))/(LN(2)/2)*AQ51*AT51*VLOOKUP('Données projet'!$B$10,Paramètres!$A$1:$I$89,3,0)*0.475*44/12</f>
        <v>4.4999558189473605E-2</v>
      </c>
      <c r="AX51" s="21">
        <f t="shared" si="6"/>
        <v>9.1697888117456436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66.978026335996447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11</v>
      </c>
      <c r="BD51" s="12">
        <f>IF('Données projet'!$A$88&gt;35,BD50+BC51-BL50,IF(A51&lt;'Données projet'!$A$88,$BA$205^A51,IF(A51='Données projet'!$A$88,'Données projet'!$B$88,BD50+BC51-BL50)))</f>
        <v>297.00000000000006</v>
      </c>
      <c r="BE51" s="13">
        <f>BD51*VLOOKUP('Données projet'!$B$11,Paramètres!$A$1:$I$89,3,0)*VLOOKUP('Données projet'!$B$11,Paramètres!$A$1:$I$89,5,0)</f>
        <v>231.66000000000005</v>
      </c>
      <c r="BF51" s="13">
        <f t="shared" si="37"/>
        <v>56.641461975682823</v>
      </c>
      <c r="BG51" s="20">
        <f t="shared" si="7"/>
        <v>502.12504627431434</v>
      </c>
      <c r="BH51" s="59">
        <f t="shared" si="8"/>
        <v>784.37780950630133</v>
      </c>
      <c r="BI51" s="59">
        <f ca="1">AVERAGE(OFFSET($BH$3,0,0,'Données projet'!$E$11+1,1))-AVERAGE(OFFSET($H$3,0,0,'Données projet'!$E$11+1,1))</f>
        <v>383.03154033422328</v>
      </c>
      <c r="BJ51" s="59">
        <f t="shared" si="38"/>
        <v>373.27897156169877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1.0124168143036514</v>
      </c>
      <c r="BQ51" s="21">
        <f>EXP(-LN(2)/25)*BQ50+(1-EXP(-LN(2)/25))/(LN(2)/25)*Calculateur!BL51*Calculateur!BN51*VLOOKUP('Données projet'!$B$11,Paramètres!$A$1:$I$89,3,0)*0.475*44/12</f>
        <v>5.081844237753784</v>
      </c>
      <c r="BR51" s="21">
        <f>EXP(-LN(2)/2)*BR50+(1-EXP(-LN(2)/2))/(LN(2)/2)*BL51*BO51*VLOOKUP('Données projet'!$B$11,Paramètres!$A$1:$I$89,3,0)*0.475*44/12</f>
        <v>2.5529647649808272E-2</v>
      </c>
      <c r="BS51" s="22">
        <f t="shared" si="9"/>
        <v>6.1197906997072433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66.978026335996447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11.2</v>
      </c>
      <c r="BY51" s="12">
        <f>IF('Données projet'!$A$114&gt;35,BY50+BX51-CG50,IF(A51&lt;'Données projet'!$A$114,$BV$205^A51,IF(A51='Données projet'!$A$114,'Données projet'!$B$114,BY50+BX51-CG50)))</f>
        <v>236.59999999999991</v>
      </c>
      <c r="BZ51" s="13">
        <f>BY51*VLOOKUP('Données projet'!$B$12,Paramètres!$A$1:$I$89,3,0)*VLOOKUP('Données projet'!$B$12,Paramètres!$A$1:$I$89,5,0)</f>
        <v>199.31183999999993</v>
      </c>
      <c r="CA51" s="13">
        <f t="shared" si="39"/>
        <v>49.592900661217925</v>
      </c>
      <c r="CB51" s="20">
        <f t="shared" si="10"/>
        <v>433.50908998495447</v>
      </c>
      <c r="CC51" s="59">
        <f t="shared" si="11"/>
        <v>715.76185321694152</v>
      </c>
      <c r="CD51" s="59">
        <f ca="1">AVERAGE(OFFSET($CC$3,0,0,'Données projet'!$E$12+1,1))-AVERAGE(OFFSET($H$3,0,0,'Données projet'!$E$12+1,1))</f>
        <v>449.94334483948603</v>
      </c>
      <c r="CE51" s="59">
        <f t="shared" si="40"/>
        <v>318.02929110264176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1.5700248443355085</v>
      </c>
      <c r="CL51" s="21">
        <f>EXP(-LN(2)/25)*CL50+(1-EXP(-LN(2)/25))/(LN(2)/25)*Calculateur!CG51*Calculateur!CI51*VLOOKUP('Données projet'!$B$12,Paramètres!$A$1:$I$89,3,0)*0.475*44/12</f>
        <v>6.3773722474714791</v>
      </c>
      <c r="CM51" s="21">
        <f>EXP(-LN(2)/2)*CM50+(1-EXP(-LN(2)/2))/(LN(2)/2)*CG51*CJ51*VLOOKUP('Données projet'!$B$12,Paramètres!$A$1:$I$89,3,0)*0.475*44/12</f>
        <v>3.9193163584380276E-2</v>
      </c>
      <c r="CN51" s="22">
        <f t="shared" si="12"/>
        <v>7.9865902553913672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66.978026335996447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11</v>
      </c>
      <c r="CT51" s="12">
        <f>IF('Données projet'!$A$140&gt;35,CT50+CS51-DB50,IF(A51&lt;'Données projet'!$A$140,$CQ$205^A51,IF(A51='Données projet'!$A$140,'Données projet'!$B$140,CT50+CS51-DB50)))</f>
        <v>223.00000000000006</v>
      </c>
      <c r="CU51" s="17">
        <f>CT51*VLOOKUP('Données projet'!$B$13,Paramètres!$A$1:$I$89,3,0)*VLOOKUP('Données projet'!$B$13,Paramètres!$A$1:$I$89,5,0)</f>
        <v>191.33400000000006</v>
      </c>
      <c r="CV51" s="13">
        <f t="shared" si="41"/>
        <v>47.834761109304836</v>
      </c>
      <c r="CW51" s="20">
        <f t="shared" si="13"/>
        <v>416.55225893203936</v>
      </c>
      <c r="CX51" s="59">
        <f t="shared" si="14"/>
        <v>698.80502216402635</v>
      </c>
      <c r="CY51" s="59">
        <f ca="1">AVERAGE(OFFSET($CX$3,0,0,'Données projet'!$E$13+1,1))-AVERAGE(OFFSET($H$3,0,0,'Données projet'!$E$13+1,1))</f>
        <v>565.32667500225568</v>
      </c>
      <c r="CZ51" s="59">
        <f t="shared" si="42"/>
        <v>275.06957234480944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0</v>
      </c>
      <c r="DG51" s="21">
        <f>EXP(-LN(2)/25)*DG50+(1-EXP(-LN(2)/25))/(LN(2)/25)*Calculateur!DB51*Calculateur!DD51*VLOOKUP('Données projet'!$B$13,Paramètres!$A$1:$I$89,3,0)*0.475*44/12</f>
        <v>2.6598880960168607</v>
      </c>
      <c r="DH51" s="21">
        <f>EXP(-LN(2)/2)*DH50+(1-EXP(-LN(2)/2))/(LN(2)/2)*DB51*DE51*VLOOKUP('Données projet'!$B$13,Paramètres!$A$1:$I$89,3,0)*0.475*44/12</f>
        <v>1.3835016233203037E-2</v>
      </c>
      <c r="DI51" s="22">
        <f t="shared" si="15"/>
        <v>2.6737231122500638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66.978026335996447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22.8</v>
      </c>
      <c r="DO51" s="12">
        <f>IF('Données projet'!$A$166&gt;35,DO50+DN51-DW50,IF(A51&lt;'Données projet'!$A$166,$DL$205^A51,IF(A51='Données projet'!$A$166,'Données projet'!$B$166,DO50+DN51-DW50)))</f>
        <v>569.4</v>
      </c>
      <c r="DP51" s="17">
        <f>DO51*VLOOKUP('Données projet'!$B$14,Paramètres!$A$1:$I$89,3,0)*VLOOKUP('Données projet'!$B$14,Paramètres!$A$1:$I$89,5,0)</f>
        <v>318.2946</v>
      </c>
      <c r="DQ51" s="13">
        <f t="shared" si="43"/>
        <v>74.998401746556283</v>
      </c>
      <c r="DR51" s="20">
        <f t="shared" si="16"/>
        <v>684.98531137525208</v>
      </c>
      <c r="DS51" s="59">
        <f t="shared" si="17"/>
        <v>967.23807460723901</v>
      </c>
      <c r="DT51" s="59">
        <f ca="1">AVERAGE(OFFSET($DS$3,0,0,'Données projet'!$E$14+1,1))-AVERAGE(OFFSET($H$3,0,0,'Données projet'!$E$14+1,1))</f>
        <v>532.64469322244281</v>
      </c>
      <c r="DU51" s="59">
        <f t="shared" si="44"/>
        <v>525.88014011096413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7.9954968924493492</v>
      </c>
      <c r="EB51" s="21">
        <f>EXP(-LN(2)/25)*EB50+(1-EXP(-LN(2)/25))/(LN(2)/25)*Calculateur!DW51*Calculateur!DY51*VLOOKUP('Données projet'!$B$14,Paramètres!$A$1:$I$89,3,0)*0.475*44/12</f>
        <v>23.530738735879996</v>
      </c>
      <c r="EC51" s="21">
        <f>EXP(-LN(2)/2)*EC50+(1-EXP(-LN(2)/2))/(LN(2)/2)*DW51*DZ51*VLOOKUP('Données projet'!$B$14,Paramètres!$A$1:$I$89,3,0)*0.475*44/12</f>
        <v>7.1234162802800968E-2</v>
      </c>
      <c r="ED51" s="22">
        <f t="shared" si="18"/>
        <v>31.597469791132145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66.978026335996447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8.3000000000000007</v>
      </c>
      <c r="EJ51" s="12">
        <f>IF('Données projet'!$A$192&gt;35,EJ50+EI51-ER50,IF(A51&lt;'Données projet'!$A$192,$EG$205^A51,IF(A51='Données projet'!$A$192,'Données projet'!$B$192,EJ50+EI51-ER50)))</f>
        <v>182.40000000000003</v>
      </c>
      <c r="EK51" s="17">
        <f>EJ51*VLOOKUP('Données projet'!$B$15,Paramètres!$A$1:$I$89,3,0)*VLOOKUP('Données projet'!$B$15,Paramètres!$A$1:$I$89,5,0)</f>
        <v>165.03552000000002</v>
      </c>
      <c r="EL51" s="13">
        <f t="shared" si="45"/>
        <v>41.976234598846517</v>
      </c>
      <c r="EM51" s="20">
        <f t="shared" si="19"/>
        <v>360.54547259299108</v>
      </c>
      <c r="EN51" s="59">
        <f t="shared" si="20"/>
        <v>642.79823582497806</v>
      </c>
      <c r="EO51" s="59">
        <f ca="1">AVERAGE(OFFSET($EN$3,0,0,'Données projet'!$E$15+1,1))-AVERAGE(OFFSET($H$3,0,0,'Données projet'!$E$15+1,1))</f>
        <v>398.27843768730202</v>
      </c>
      <c r="EP51" s="59">
        <f t="shared" si="46"/>
        <v>252.3617347568813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0</v>
      </c>
      <c r="EW51" s="21">
        <f>EXP(-LN(2)/25)*EW50+(1-EXP(-LN(2)/25))/(LN(2)/25)*Calculateur!ER51*Calculateur!ET51*VLOOKUP('Données projet'!$B$15,Paramètres!$A$1:$I$89,3,0)*0.475*44/12</f>
        <v>1.8856071201422742</v>
      </c>
      <c r="EX51" s="21">
        <f>EXP(-LN(2)/2)*EX50+(1-EXP(-LN(2)/2))/(LN(2)/2)*ER51*EU51*VLOOKUP('Données projet'!$B$15,Paramètres!$A$1:$I$89,3,0)*0.475*44/12</f>
        <v>1.2088570028180522E-2</v>
      </c>
      <c r="EY51" s="22">
        <f t="shared" si="21"/>
        <v>1.8976956901704547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66.978026335996447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8.3000000000000007</v>
      </c>
      <c r="FE51" s="12">
        <f>IF('Données projet'!$A$218&gt;35,FE50+FD51-FM50,IF(A51&lt;'Données projet'!$A$218,$FB$205^A51,IF(A51='Données projet'!$A$218,'Données projet'!$B$218,FE50+FD51-FM50)))</f>
        <v>182.40000000000003</v>
      </c>
      <c r="FF51" s="17">
        <f>FE51*VLOOKUP('Données projet'!$B$16,Paramètres!$A$1:$I$89,3,0)*VLOOKUP('Données projet'!$B$16,Paramètres!$A$1:$I$89,5,0)</f>
        <v>176.41728000000003</v>
      </c>
      <c r="FG51" s="13">
        <f t="shared" si="47"/>
        <v>44.524166703747291</v>
      </c>
      <c r="FH51" s="20">
        <f t="shared" si="22"/>
        <v>384.80635300902651</v>
      </c>
      <c r="FI51" s="59">
        <f t="shared" si="23"/>
        <v>667.0591162410135</v>
      </c>
      <c r="FJ51" s="59">
        <f ca="1">AVERAGE(OFFSET($FI$3,0,0,'Données projet'!$E$16+1,1))-AVERAGE(OFFSET($H$3,0,0,'Données projet'!$E$16+1,1))</f>
        <v>422.28024471365825</v>
      </c>
      <c r="FK51" s="59">
        <f t="shared" si="48"/>
        <v>266.49730479813206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0</v>
      </c>
      <c r="FR51" s="21">
        <f>EXP(-LN(2)/25)*FR50+(1-EXP(-LN(2)/25))/(LN(2)/25)*Calculateur!FM51*Calculateur!FO51*VLOOKUP('Données projet'!$B$16,Paramètres!$A$1:$I$89,3,0)*0.475*44/12</f>
        <v>2.0156489904969139</v>
      </c>
      <c r="FS51" s="21">
        <f>EXP(-LN(2)/2)*FS50+(1-EXP(-LN(2)/2))/(LN(2)/2)*FM51*FP51*VLOOKUP('Données projet'!$B$16,Paramètres!$A$1:$I$89,3,0)*0.475*44/12</f>
        <v>1.2922264512882625E-2</v>
      </c>
      <c r="FT51" s="22">
        <f t="shared" si="24"/>
        <v>2.0285712550097967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66.978026335996447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8.1</v>
      </c>
      <c r="FZ51" s="12">
        <f>IF('Données projet'!$A$244&gt;35,FZ50+FY51-GH50,IF(A51&lt;'Données projet'!$A$244,$FW$205^A51,IF(A51='Données projet'!$A$244,'Données projet'!$B$244,FZ50+FY51-GH50)))</f>
        <v>226.30000000000007</v>
      </c>
      <c r="GA51" s="17">
        <f>FZ51*VLOOKUP('Données projet'!$B$17,Paramètres!$A$1:$I$89,3,0)*VLOOKUP('Données projet'!$B$17,Paramètres!$A$1:$I$89,5,0)</f>
        <v>176.51400000000007</v>
      </c>
      <c r="GB51" s="13">
        <f t="shared" si="49"/>
        <v>44.545734849936593</v>
      </c>
      <c r="GC51" s="20">
        <f t="shared" si="25"/>
        <v>385.01237153030632</v>
      </c>
      <c r="GD51" s="59">
        <f t="shared" si="26"/>
        <v>667.26513476229331</v>
      </c>
      <c r="GE51" s="59">
        <f ca="1">AVERAGE(OFFSET($GD$3,0,0,'Données projet'!$E$17+1,1))-AVERAGE(OFFSET($H$3,0,0,'Données projet'!$E$17+1,1))</f>
        <v>300.95722646933314</v>
      </c>
      <c r="GF51" s="59">
        <f t="shared" si="50"/>
        <v>269.52365224623759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>
        <f>EXP(-LN(2)/35)*GL50+(1-EXP(-LN(2)/35))/(LN(2)/35)*GH51*GI51*VLOOKUP('Données projet'!$B$17,Paramètres!$A$1:$I$89,3,0)*0.475*44/12</f>
        <v>0.62302573187916999</v>
      </c>
      <c r="GM51" s="21">
        <f>EXP(-LN(2)/25)*GM50+(1-EXP(-LN(2)/25))/(LN(2)/25)*Calculateur!GH51*Calculateur!GJ51*VLOOKUP('Données projet'!$B$17,Paramètres!$A$1:$I$89,3,0)*0.475*44/12</f>
        <v>3.7877730418194813</v>
      </c>
      <c r="GN51" s="21">
        <f>EXP(-LN(2)/2)*GN50+(1-EXP(-LN(2)/2))/(LN(2)/2)*GH51*GK51*VLOOKUP('Données projet'!$B$17,Paramètres!$A$1:$I$89,3,0)*0.475*44/12</f>
        <v>1.7302663320743837E-2</v>
      </c>
      <c r="GO51" s="21">
        <f t="shared" si="27"/>
        <v>4.4281014370193956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66.978026335996447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1.4000000000000001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5.1333333333333337</v>
      </c>
      <c r="H52" s="67">
        <f t="shared" si="1"/>
        <v>236.13333333333335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67.030450822945937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11.2</v>
      </c>
      <c r="N52" s="13">
        <f>IF('Données projet'!$A$36&gt;35,N51+M52-V51,IF(A52&lt;'Données projet'!$A$36,$K$205^A52,IF(A52='Données projet'!$A$36,'Données projet'!$B$36,N51+M52-V51)))</f>
        <v>247.7999999999999</v>
      </c>
      <c r="O52" s="13">
        <f>N52*VLOOKUP('Données projet'!$B$9,Paramètres!$A$1:$I$89,3,0)*VLOOKUP('Données projet'!$B$9,Paramètres!$A$1:$I$89,5,0)</f>
        <v>224.20943999999992</v>
      </c>
      <c r="P52" s="13">
        <f t="shared" si="33"/>
        <v>55.028775065392324</v>
      </c>
      <c r="Q52" s="20">
        <f t="shared" si="53"/>
        <v>486.33989123889143</v>
      </c>
      <c r="R52" s="59">
        <f t="shared" si="0"/>
        <v>768.78487758969322</v>
      </c>
      <c r="S52" s="59">
        <f ca="1">AVERAGE(OFFSET($R$3,0,0,'Données projet'!$E$9+1,1))-AVERAGE(OFFSET($H$3,0,0,'Données projet'!$E$9+1,1))</f>
        <v>479.46542424895119</v>
      </c>
      <c r="T52" s="59">
        <f t="shared" si="34"/>
        <v>337.96395820277337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1.6532552158519229</v>
      </c>
      <c r="AA52" s="21">
        <f>EXP(-LN(2)/25)*AA51+(1-EXP(-LN(2)/25))/(LN(2)/25)*Calculateur!V52*Calculateur!X52*VLOOKUP('Données projet'!$B$9,Paramètres!$A$1:$I$89,3,0)*0.475*44/12</f>
        <v>6.662462865622043</v>
      </c>
      <c r="AB52" s="21">
        <f>EXP(-LN(2)/2)*AB51+(1-EXP(-LN(2)/2))/(LN(2)/2)*V52*Y52*VLOOKUP('Données projet'!$B$9,Paramètres!$A$1:$I$89,3,0)*0.475*44/12</f>
        <v>2.9766622246422202E-2</v>
      </c>
      <c r="AC52" s="22">
        <f t="shared" si="3"/>
        <v>8.3454847037203876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67.030450822945937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11.2</v>
      </c>
      <c r="AI52" s="13">
        <f>IF('Données projet'!$A$62&gt;35,AI51+AH52-AQ51,IF(A52&lt;'Données projet'!$A$62,$AF$205^A52,IF(A52='Données projet'!$A$62,'Données projet'!$B$62,AI51+AH52-AQ51)))</f>
        <v>247.7999999999999</v>
      </c>
      <c r="AJ52" s="13">
        <f>AI52*VLOOKUP('Données projet'!$B$10,Paramètres!$A$1:$I$89,3,0)*VLOOKUP('Données projet'!$B$10,Paramètres!$A$1:$I$89,5,0)</f>
        <v>239.67215999999991</v>
      </c>
      <c r="AK52" s="13">
        <f t="shared" si="35"/>
        <v>58.368988498598384</v>
      </c>
      <c r="AL52" s="20">
        <f t="shared" si="4"/>
        <v>519.0883336350588</v>
      </c>
      <c r="AM52" s="59">
        <f t="shared" si="5"/>
        <v>801.53331998586054</v>
      </c>
      <c r="AN52" s="59">
        <f ca="1">AVERAGE(OFFSET($AM$3,0,0,'Données projet'!$E$10+1,1))-AVERAGE(OFFSET($H$3,0,0,'Données projet'!$E$10+1,1))</f>
        <v>508.94560627895089</v>
      </c>
      <c r="AO52" s="59">
        <f t="shared" si="36"/>
        <v>357.86868650263034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1.7672728169451597</v>
      </c>
      <c r="AV52" s="21">
        <f>EXP(-LN(2)/25)*AV51+(1-EXP(-LN(2)/25))/(LN(2)/25)*Calculateur!AQ52*Calculateur!AS52*VLOOKUP('Données projet'!$B$10,Paramètres!$A$1:$I$89,3,0)*0.475*44/12</f>
        <v>7.1219430632511518</v>
      </c>
      <c r="AW52" s="21">
        <f>EXP(-LN(2)/2)*AW51+(1-EXP(-LN(2)/2))/(LN(2)/2)*AQ52*AT52*VLOOKUP('Données projet'!$B$10,Paramètres!$A$1:$I$89,3,0)*0.475*44/12</f>
        <v>3.1819492746175425E-2</v>
      </c>
      <c r="AX52" s="21">
        <f t="shared" si="6"/>
        <v>8.9210353729424856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67.030450822945937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11</v>
      </c>
      <c r="BD52" s="12">
        <f>IF('Données projet'!$A$88&gt;35,BD51+BC52-BL51,IF(A52&lt;'Données projet'!$A$88,$BA$205^A52,IF(A52='Données projet'!$A$88,'Données projet'!$B$88,BD51+BC52-BL51)))</f>
        <v>308.00000000000006</v>
      </c>
      <c r="BE52" s="13">
        <f>BD52*VLOOKUP('Données projet'!$B$11,Paramètres!$A$1:$I$89,3,0)*VLOOKUP('Données projet'!$B$11,Paramètres!$A$1:$I$89,5,0)</f>
        <v>240.24000000000007</v>
      </c>
      <c r="BF52" s="13">
        <f t="shared" si="37"/>
        <v>58.491164647183133</v>
      </c>
      <c r="BG52" s="20">
        <f t="shared" si="7"/>
        <v>520.29011176051074</v>
      </c>
      <c r="BH52" s="59">
        <f t="shared" si="8"/>
        <v>802.73509811131248</v>
      </c>
      <c r="BI52" s="59">
        <f ca="1">AVERAGE(OFFSET($BH$3,0,0,'Données projet'!$E$11+1,1))-AVERAGE(OFFSET($H$3,0,0,'Données projet'!$E$11+1,1))</f>
        <v>383.03154033422328</v>
      </c>
      <c r="BJ52" s="59">
        <f t="shared" si="38"/>
        <v>373.27897156169877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0.99256393808843912</v>
      </c>
      <c r="BQ52" s="21">
        <f>EXP(-LN(2)/25)*BQ51+(1-EXP(-LN(2)/25))/(LN(2)/25)*Calculateur!BL52*Calculateur!BN52*VLOOKUP('Données projet'!$B$11,Paramètres!$A$1:$I$89,3,0)*0.475*44/12</f>
        <v>4.9428809398298332</v>
      </c>
      <c r="BR52" s="21">
        <f>EXP(-LN(2)/2)*BR51+(1-EXP(-LN(2)/2))/(LN(2)/2)*BL52*BO52*VLOOKUP('Données projet'!$B$11,Paramètres!$A$1:$I$89,3,0)*0.475*44/12</f>
        <v>1.8052186974482635E-2</v>
      </c>
      <c r="BS52" s="22">
        <f t="shared" si="9"/>
        <v>5.9534970648927557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67.030450822945937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11.2</v>
      </c>
      <c r="BY52" s="12">
        <f>IF('Données projet'!$A$114&gt;35,BY51+BX52-CG51,IF(A52&lt;'Données projet'!$A$114,$BV$205^A52,IF(A52='Données projet'!$A$114,'Données projet'!$B$114,BY51+BX52-CG51)))</f>
        <v>247.7999999999999</v>
      </c>
      <c r="BZ52" s="13">
        <f>BY52*VLOOKUP('Données projet'!$B$12,Paramètres!$A$1:$I$89,3,0)*VLOOKUP('Données projet'!$B$12,Paramètres!$A$1:$I$89,5,0)</f>
        <v>208.74671999999993</v>
      </c>
      <c r="CA52" s="13">
        <f t="shared" si="39"/>
        <v>51.661617147836218</v>
      </c>
      <c r="CB52" s="20">
        <f t="shared" si="10"/>
        <v>453.54452053248133</v>
      </c>
      <c r="CC52" s="59">
        <f t="shared" si="11"/>
        <v>735.98950688328318</v>
      </c>
      <c r="CD52" s="59">
        <f ca="1">AVERAGE(OFFSET($CC$3,0,0,'Données projet'!$E$12+1,1))-AVERAGE(OFFSET($H$3,0,0,'Données projet'!$E$12+1,1))</f>
        <v>449.94334483948603</v>
      </c>
      <c r="CE52" s="59">
        <f t="shared" si="40"/>
        <v>318.02929110264176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1.539237614758687</v>
      </c>
      <c r="CL52" s="21">
        <f>EXP(-LN(2)/25)*CL51+(1-EXP(-LN(2)/25))/(LN(2)/25)*Calculateur!CG52*Calculateur!CI52*VLOOKUP('Données projet'!$B$12,Paramètres!$A$1:$I$89,3,0)*0.475*44/12</f>
        <v>6.2029826679929405</v>
      </c>
      <c r="CM52" s="21">
        <f>EXP(-LN(2)/2)*CM51+(1-EXP(-LN(2)/2))/(LN(2)/2)*CG52*CJ52*VLOOKUP('Données projet'!$B$12,Paramètres!$A$1:$I$89,3,0)*0.475*44/12</f>
        <v>2.7713751746668947E-2</v>
      </c>
      <c r="CN52" s="22">
        <f t="shared" si="12"/>
        <v>7.7699340344982968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67.030450822945937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11</v>
      </c>
      <c r="CT52" s="12">
        <f>IF('Données projet'!$A$140&gt;35,CT51+CS52-DB51,IF(A52&lt;'Données projet'!$A$140,$CQ$205^A52,IF(A52='Données projet'!$A$140,'Données projet'!$B$140,CT51+CS52-DB51)))</f>
        <v>234.00000000000006</v>
      </c>
      <c r="CU52" s="17">
        <f>CT52*VLOOKUP('Données projet'!$B$13,Paramètres!$A$1:$I$89,3,0)*VLOOKUP('Données projet'!$B$13,Paramètres!$A$1:$I$89,5,0)</f>
        <v>200.77200000000008</v>
      </c>
      <c r="CV52" s="13">
        <f t="shared" si="41"/>
        <v>49.913791898945412</v>
      </c>
      <c r="CW52" s="20">
        <f t="shared" si="13"/>
        <v>436.61108755732999</v>
      </c>
      <c r="CX52" s="59">
        <f t="shared" si="14"/>
        <v>719.05607390813179</v>
      </c>
      <c r="CY52" s="59">
        <f ca="1">AVERAGE(OFFSET($CX$3,0,0,'Données projet'!$E$13+1,1))-AVERAGE(OFFSET($H$3,0,0,'Données projet'!$E$13+1,1))</f>
        <v>565.32667500225568</v>
      </c>
      <c r="CZ52" s="59">
        <f t="shared" si="42"/>
        <v>275.06957234480944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0</v>
      </c>
      <c r="DG52" s="21">
        <f>EXP(-LN(2)/25)*DG51+(1-EXP(-LN(2)/25))/(LN(2)/25)*Calculateur!DB52*Calculateur!DD52*VLOOKUP('Données projet'!$B$13,Paramètres!$A$1:$I$89,3,0)*0.475*44/12</f>
        <v>2.5871533161538438</v>
      </c>
      <c r="DH52" s="21">
        <f>EXP(-LN(2)/2)*DH51+(1-EXP(-LN(2)/2))/(LN(2)/2)*DB52*DE52*VLOOKUP('Données projet'!$B$13,Paramètres!$A$1:$I$89,3,0)*0.475*44/12</f>
        <v>9.7828337963238327E-3</v>
      </c>
      <c r="DI52" s="22">
        <f t="shared" si="15"/>
        <v>2.5969361499501677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67.030450822945937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22.8</v>
      </c>
      <c r="DO52" s="12">
        <f>IF('Données projet'!$A$166&gt;35,DO51+DN52-DW51,IF(A52&lt;'Données projet'!$A$166,$DL$205^A52,IF(A52='Données projet'!$A$166,'Données projet'!$B$166,DO51+DN52-DW51)))</f>
        <v>592.19999999999993</v>
      </c>
      <c r="DP52" s="17">
        <f>DO52*VLOOKUP('Données projet'!$B$14,Paramètres!$A$1:$I$89,3,0)*VLOOKUP('Données projet'!$B$14,Paramètres!$A$1:$I$89,5,0)</f>
        <v>331.03979999999996</v>
      </c>
      <c r="DQ52" s="13">
        <f t="shared" si="43"/>
        <v>77.64584475376725</v>
      </c>
      <c r="DR52" s="20">
        <f t="shared" si="16"/>
        <v>711.79416461281119</v>
      </c>
      <c r="DS52" s="59">
        <f t="shared" si="17"/>
        <v>994.23915096361293</v>
      </c>
      <c r="DT52" s="59">
        <f ca="1">AVERAGE(OFFSET($DS$3,0,0,'Données projet'!$E$14+1,1))-AVERAGE(OFFSET($H$3,0,0,'Données projet'!$E$14+1,1))</f>
        <v>532.64469322244281</v>
      </c>
      <c r="DU52" s="59">
        <f t="shared" si="44"/>
        <v>525.88014011096413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7.8387100751599803</v>
      </c>
      <c r="EB52" s="21">
        <f>EXP(-LN(2)/25)*EB51+(1-EXP(-LN(2)/25))/(LN(2)/25)*Calculateur!DW52*Calculateur!DY52*VLOOKUP('Données projet'!$B$14,Paramètres!$A$1:$I$89,3,0)*0.475*44/12</f>
        <v>22.887289447719589</v>
      </c>
      <c r="EC52" s="21">
        <f>EXP(-LN(2)/2)*EC51+(1-EXP(-LN(2)/2))/(LN(2)/2)*DW52*DZ52*VLOOKUP('Données projet'!$B$14,Paramètres!$A$1:$I$89,3,0)*0.475*44/12</f>
        <v>5.0370159570007088E-2</v>
      </c>
      <c r="ED52" s="22">
        <f t="shared" si="18"/>
        <v>30.776369682449577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67.030450822945937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8.3000000000000007</v>
      </c>
      <c r="EJ52" s="12">
        <f>IF('Données projet'!$A$192&gt;35,EJ51+EI52-ER51,IF(A52&lt;'Données projet'!$A$192,$EG$205^A52,IF(A52='Données projet'!$A$192,'Données projet'!$B$192,EJ51+EI52-ER51)))</f>
        <v>190.70000000000005</v>
      </c>
      <c r="EK52" s="17">
        <f>EJ52*VLOOKUP('Données projet'!$B$15,Paramètres!$A$1:$I$89,3,0)*VLOOKUP('Données projet'!$B$15,Paramètres!$A$1:$I$89,5,0)</f>
        <v>172.54536000000004</v>
      </c>
      <c r="EL52" s="13">
        <f t="shared" si="45"/>
        <v>43.65960552772448</v>
      </c>
      <c r="EM52" s="20">
        <f t="shared" si="19"/>
        <v>376.55698162745358</v>
      </c>
      <c r="EN52" s="59">
        <f t="shared" si="20"/>
        <v>659.00196797825538</v>
      </c>
      <c r="EO52" s="59">
        <f ca="1">AVERAGE(OFFSET($EN$3,0,0,'Données projet'!$E$15+1,1))-AVERAGE(OFFSET($H$3,0,0,'Données projet'!$E$15+1,1))</f>
        <v>398.27843768730202</v>
      </c>
      <c r="EP52" s="59">
        <f t="shared" si="46"/>
        <v>252.3617347568813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0</v>
      </c>
      <c r="EW52" s="21">
        <f>EXP(-LN(2)/25)*EW51+(1-EXP(-LN(2)/25))/(LN(2)/25)*Calculateur!ER52*Calculateur!ET52*VLOOKUP('Données projet'!$B$15,Paramètres!$A$1:$I$89,3,0)*0.475*44/12</f>
        <v>1.8340450942822148</v>
      </c>
      <c r="EX52" s="21">
        <f>EXP(-LN(2)/2)*EX51+(1-EXP(-LN(2)/2))/(LN(2)/2)*ER52*EU52*VLOOKUP('Données projet'!$B$15,Paramètres!$A$1:$I$89,3,0)*0.475*44/12</f>
        <v>8.5479098417749009E-3</v>
      </c>
      <c r="EY52" s="22">
        <f t="shared" si="21"/>
        <v>1.8425930041239897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67.030450822945937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8.3000000000000007</v>
      </c>
      <c r="FE52" s="12">
        <f>IF('Données projet'!$A$218&gt;35,FE51+FD52-FM51,IF(A52&lt;'Données projet'!$A$218,$FB$205^A52,IF(A52='Données projet'!$A$218,'Données projet'!$B$218,FE51+FD52-FM51)))</f>
        <v>190.70000000000005</v>
      </c>
      <c r="FF52" s="17">
        <f>FE52*VLOOKUP('Données projet'!$B$16,Paramètres!$A$1:$I$89,3,0)*VLOOKUP('Données projet'!$B$16,Paramètres!$A$1:$I$89,5,0)</f>
        <v>184.44504000000003</v>
      </c>
      <c r="FG52" s="13">
        <f t="shared" si="47"/>
        <v>46.309717231989865</v>
      </c>
      <c r="FH52" s="20">
        <f t="shared" si="22"/>
        <v>401.89786884571572</v>
      </c>
      <c r="FI52" s="59">
        <f t="shared" si="23"/>
        <v>684.34285519651758</v>
      </c>
      <c r="FJ52" s="59">
        <f ca="1">AVERAGE(OFFSET($FI$3,0,0,'Données projet'!$E$16+1,1))-AVERAGE(OFFSET($H$3,0,0,'Données projet'!$E$16+1,1))</f>
        <v>422.28024471365825</v>
      </c>
      <c r="FK52" s="59">
        <f t="shared" si="48"/>
        <v>266.49730479813206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0</v>
      </c>
      <c r="FR52" s="21">
        <f>EXP(-LN(2)/25)*FR51+(1-EXP(-LN(2)/25))/(LN(2)/25)*Calculateur!FM52*Calculateur!FO52*VLOOKUP('Données projet'!$B$16,Paramètres!$A$1:$I$89,3,0)*0.475*44/12</f>
        <v>1.9605309628534022</v>
      </c>
      <c r="FS52" s="21">
        <f>EXP(-LN(2)/2)*FS51+(1-EXP(-LN(2)/2))/(LN(2)/2)*FM52*FP52*VLOOKUP('Données projet'!$B$16,Paramètres!$A$1:$I$89,3,0)*0.475*44/12</f>
        <v>9.1374208653455819E-3</v>
      </c>
      <c r="FT52" s="22">
        <f t="shared" si="24"/>
        <v>1.9696683837187479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67.030450822945937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8.1</v>
      </c>
      <c r="FZ52" s="12">
        <f>IF('Données projet'!$A$244&gt;35,FZ51+FY52-GH51,IF(A52&lt;'Données projet'!$A$244,$FW$205^A52,IF(A52='Données projet'!$A$244,'Données projet'!$B$244,FZ51+FY52-GH51)))</f>
        <v>234.40000000000006</v>
      </c>
      <c r="GA52" s="17">
        <f>FZ52*VLOOKUP('Données projet'!$B$17,Paramètres!$A$1:$I$89,3,0)*VLOOKUP('Données projet'!$B$17,Paramètres!$A$1:$I$89,5,0)</f>
        <v>182.83200000000005</v>
      </c>
      <c r="GB52" s="13">
        <f t="shared" si="49"/>
        <v>45.951680399636224</v>
      </c>
      <c r="GC52" s="20">
        <f t="shared" si="25"/>
        <v>398.46491002936642</v>
      </c>
      <c r="GD52" s="59">
        <f t="shared" si="26"/>
        <v>680.90989638016822</v>
      </c>
      <c r="GE52" s="59">
        <f ca="1">AVERAGE(OFFSET($GD$3,0,0,'Données projet'!$E$17+1,1))-AVERAGE(OFFSET($H$3,0,0,'Données projet'!$E$17+1,1))</f>
        <v>300.95722646933314</v>
      </c>
      <c r="GF52" s="59">
        <f t="shared" si="50"/>
        <v>269.52365224623759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>
        <f>EXP(-LN(2)/35)*GL51+(1-EXP(-LN(2)/35))/(LN(2)/35)*GH52*GI52*VLOOKUP('Données projet'!$B$17,Paramètres!$A$1:$I$89,3,0)*0.475*44/12</f>
        <v>0.61080857728519322</v>
      </c>
      <c r="GM52" s="21">
        <f>EXP(-LN(2)/25)*GM51+(1-EXP(-LN(2)/25))/(LN(2)/25)*Calculateur!GH52*Calculateur!GJ52*VLOOKUP('Données projet'!$B$17,Paramètres!$A$1:$I$89,3,0)*0.475*44/12</f>
        <v>3.6841961888006005</v>
      </c>
      <c r="GN52" s="21">
        <f>EXP(-LN(2)/2)*GN51+(1-EXP(-LN(2)/2))/(LN(2)/2)*GH52*GK52*VLOOKUP('Données projet'!$B$17,Paramètres!$A$1:$I$89,3,0)*0.475*44/12</f>
        <v>1.2234830566685714E-2</v>
      </c>
      <c r="GO52" s="21">
        <f t="shared" si="27"/>
        <v>4.3072395966524795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67.030450822945937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1.4000000000000001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5.1333333333333337</v>
      </c>
      <c r="H53" s="67">
        <f t="shared" si="1"/>
        <v>236.13333333333335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67.081965862250442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259</v>
      </c>
      <c r="L53" s="12">
        <f>VLOOKUP(A53,'Données projet'!$A$35:$I$55,9,0)</f>
        <v>11.2</v>
      </c>
      <c r="M53" s="12">
        <f t="array" ref="M53">INDEX(L:L,MIN(IF(ISNUMBER(L53:L249),ROW(L53:L249),"")))</f>
        <v>11.2</v>
      </c>
      <c r="N53" s="13">
        <f>IF('Données projet'!$A$36&gt;35,N52+M53-V52,IF(A53&lt;'Données projet'!$A$36,$K$205^A53,IF(A53='Données projet'!$A$36,'Données projet'!$B$36,N52+M53-V52)))</f>
        <v>258.99999999999989</v>
      </c>
      <c r="O53" s="13">
        <f>N53*VLOOKUP('Données projet'!$B$9,Paramètres!$A$1:$I$89,3,0)*VLOOKUP('Données projet'!$B$9,Paramètres!$A$1:$I$89,5,0)</f>
        <v>234.34319999999988</v>
      </c>
      <c r="P53" s="13">
        <f t="shared" si="33"/>
        <v>57.220758006491614</v>
      </c>
      <c r="Q53" s="20">
        <f t="shared" si="53"/>
        <v>507.80722686130594</v>
      </c>
      <c r="R53" s="59">
        <f t="shared" si="0"/>
        <v>790.44110168955763</v>
      </c>
      <c r="S53" s="59">
        <f ca="1">AVERAGE(OFFSET($R$3,0,0,'Données projet'!$E$9+1,1))-AVERAGE(OFFSET($H$3,0,0,'Données projet'!$E$9+1,1))</f>
        <v>479.46542424895119</v>
      </c>
      <c r="T53" s="59">
        <f t="shared" si="34"/>
        <v>337.96395820277337</v>
      </c>
      <c r="U53" s="15">
        <f>IF(ISNA(VLOOKUP(A53,'Données projet'!$A$35:$I$55,3,0)),0,VLOOKUP(A53,'Données projet'!$A$35:$I$55,3,0))</f>
        <v>4</v>
      </c>
      <c r="V53" s="15">
        <f>IF(ISNA(VLOOKUP(A53,'Données projet'!$A$35:$I$55,4,0)),0,VLOOKUP(A53,'Données projet'!$A$35:$I$55,4,0))</f>
        <v>56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1.6208358894551784</v>
      </c>
      <c r="AA53" s="21">
        <f>EXP(-LN(2)/25)*AA52+(1-EXP(-LN(2)/25))/(LN(2)/25)*Calculateur!V53*Calculateur!X53*VLOOKUP('Données projet'!$B$9,Paramètres!$A$1:$I$89,3,0)*0.475*44/12</f>
        <v>6.4802774681979134</v>
      </c>
      <c r="AB53" s="21">
        <f>EXP(-LN(2)/2)*AB52+(1-EXP(-LN(2)/2))/(LN(2)/2)*V53*Y53*VLOOKUP('Données projet'!$B$9,Paramètres!$A$1:$I$89,3,0)*0.475*44/12</f>
        <v>2.1048180443463484E-2</v>
      </c>
      <c r="AC53" s="22">
        <f t="shared" si="3"/>
        <v>8.1221615380965542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67.081965862250442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259</v>
      </c>
      <c r="AG53" s="12">
        <f>VLOOKUP(A53,'Données projet'!$A$61:$I$81,9,0)</f>
        <v>11.2</v>
      </c>
      <c r="AH53" s="12">
        <f t="array" ref="AH53">INDEX(AG:AG,MIN(IF(ISNUMBER(AG53:AG249),ROW(AG53:AG249),"")))</f>
        <v>11.2</v>
      </c>
      <c r="AI53" s="13">
        <f>IF('Données projet'!$A$62&gt;35,AI52+AH53-AQ52,IF(A53&lt;'Données projet'!$A$62,$AF$205^A53,IF(A53='Données projet'!$A$62,'Données projet'!$B$62,AI52+AH53-AQ52)))</f>
        <v>258.99999999999989</v>
      </c>
      <c r="AJ53" s="13">
        <f>AI53*VLOOKUP('Données projet'!$B$10,Paramètres!$A$1:$I$89,3,0)*VLOOKUP('Données projet'!$B$10,Paramètres!$A$1:$I$89,5,0)</f>
        <v>250.5047999999999</v>
      </c>
      <c r="AK53" s="13">
        <f t="shared" si="35"/>
        <v>60.694023481225365</v>
      </c>
      <c r="AL53" s="20">
        <f t="shared" si="4"/>
        <v>542.00461756313393</v>
      </c>
      <c r="AM53" s="59">
        <f t="shared" si="5"/>
        <v>824.63849239138563</v>
      </c>
      <c r="AN53" s="59">
        <f ca="1">AVERAGE(OFFSET($AM$3,0,0,'Données projet'!$E$10+1,1))-AVERAGE(OFFSET($H$3,0,0,'Données projet'!$E$10+1,1))</f>
        <v>508.94560627895089</v>
      </c>
      <c r="AO53" s="59">
        <f t="shared" si="36"/>
        <v>357.86868650263034</v>
      </c>
      <c r="AP53" s="15">
        <f>IF(ISNA(VLOOKUP(A53,'Données projet'!$A$61:$I$81,3,0)),0,VLOOKUP(A53,'Données projet'!$A$61:$I$81,3,0))</f>
        <v>4</v>
      </c>
      <c r="AQ53" s="15">
        <f>IF(ISNA(VLOOKUP(A53,'Données projet'!$A$61:$I$81,4,0)),0,VLOOKUP(A53,'Données projet'!$A$61:$I$81,4,0))</f>
        <v>56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1.7326176749348468</v>
      </c>
      <c r="AV53" s="21">
        <f>EXP(-LN(2)/25)*AV52+(1-EXP(-LN(2)/25))/(LN(2)/25)*Calculateur!AQ53*Calculateur!AS53*VLOOKUP('Données projet'!$B$10,Paramètres!$A$1:$I$89,3,0)*0.475*44/12</f>
        <v>6.9271931556598405</v>
      </c>
      <c r="AW53" s="21">
        <f>EXP(-LN(2)/2)*AW52+(1-EXP(-LN(2)/2))/(LN(2)/2)*AQ53*AT53*VLOOKUP('Données projet'!$B$10,Paramètres!$A$1:$I$89,3,0)*0.475*44/12</f>
        <v>2.2499779094736803E-2</v>
      </c>
      <c r="AX53" s="21">
        <f t="shared" si="6"/>
        <v>8.6823106096894236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67.081965862250442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319</v>
      </c>
      <c r="BB53" s="12">
        <f>VLOOKUP(A53,'Données projet'!$A$87:$I$107,9,0)</f>
        <v>11</v>
      </c>
      <c r="BC53" s="12">
        <f t="array" ref="BC53">INDEX(BB:BB,MIN(IF(ISNUMBER(BB53:BB249),ROW(BB53:BB249),"")))</f>
        <v>11</v>
      </c>
      <c r="BD53" s="12">
        <f>IF('Données projet'!$A$88&gt;35,BD52+BC53-BL52,IF(A53&lt;'Données projet'!$A$88,$BA$205^A53,IF(A53='Données projet'!$A$88,'Données projet'!$B$88,BD52+BC53-BL52)))</f>
        <v>319.00000000000006</v>
      </c>
      <c r="BE53" s="13">
        <f>BD53*VLOOKUP('Données projet'!$B$11,Paramètres!$A$1:$I$89,3,0)*VLOOKUP('Données projet'!$B$11,Paramètres!$A$1:$I$89,5,0)</f>
        <v>248.82000000000005</v>
      </c>
      <c r="BF53" s="13">
        <f t="shared" si="37"/>
        <v>60.333192077890068</v>
      </c>
      <c r="BG53" s="20">
        <f t="shared" si="7"/>
        <v>538.44180953565865</v>
      </c>
      <c r="BH53" s="59">
        <f t="shared" si="8"/>
        <v>821.07568436391034</v>
      </c>
      <c r="BI53" s="59">
        <f ca="1">AVERAGE(OFFSET($BH$3,0,0,'Données projet'!$E$11+1,1))-AVERAGE(OFFSET($H$3,0,0,'Données projet'!$E$11+1,1))</f>
        <v>383.03154033422328</v>
      </c>
      <c r="BJ53" s="59">
        <f t="shared" si="38"/>
        <v>373.27897156169877</v>
      </c>
      <c r="BK53" s="15">
        <f>IF(ISNA(VLOOKUP(A53,'Données projet'!$A$87:$I$107,3,0)),0,VLOOKUP(A53,'Données projet'!$A$87:$I$107,3,0))</f>
        <v>4</v>
      </c>
      <c r="BL53" s="15">
        <f>IF(ISNA(VLOOKUP(A53,'Données projet'!$A$87:$I$107,4,0)),0,VLOOKUP(A53,'Données projet'!$A$87:$I$107,4,0))</f>
        <v>71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0.97310036466674832</v>
      </c>
      <c r="BQ53" s="21">
        <f>EXP(-LN(2)/25)*BQ52+(1-EXP(-LN(2)/25))/(LN(2)/25)*Calculateur!BL53*Calculateur!BN53*VLOOKUP('Données projet'!$B$11,Paramètres!$A$1:$I$89,3,0)*0.475*44/12</f>
        <v>4.8077176005953746</v>
      </c>
      <c r="BR53" s="21">
        <f>EXP(-LN(2)/2)*BR52+(1-EXP(-LN(2)/2))/(LN(2)/2)*BL53*BO53*VLOOKUP('Données projet'!$B$11,Paramètres!$A$1:$I$89,3,0)*0.475*44/12</f>
        <v>1.2764823824904136E-2</v>
      </c>
      <c r="BS53" s="22">
        <f t="shared" si="9"/>
        <v>5.7935827890870266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67.081965862250442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259</v>
      </c>
      <c r="BW53" s="12">
        <f>VLOOKUP(A53,'Données projet'!$A$113:$I$133,9,0)</f>
        <v>11.2</v>
      </c>
      <c r="BX53" s="12">
        <f t="array" ref="BX53">INDEX(BW:BW,MIN(IF(ISNUMBER(BW53:BW249),ROW(BW53:BW249),"")))</f>
        <v>11.2</v>
      </c>
      <c r="BY53" s="12">
        <f>IF('Données projet'!$A$114&gt;35,BY52+BX53-CG52,IF(A53&lt;'Données projet'!$A$114,$BV$205^A53,IF(A53='Données projet'!$A$114,'Données projet'!$B$114,BY52+BX53-CG52)))</f>
        <v>258.99999999999989</v>
      </c>
      <c r="BZ53" s="13">
        <f>BY53*VLOOKUP('Données projet'!$B$12,Paramètres!$A$1:$I$89,3,0)*VLOOKUP('Données projet'!$B$12,Paramètres!$A$1:$I$89,5,0)</f>
        <v>218.18159999999995</v>
      </c>
      <c r="CA53" s="13">
        <f t="shared" si="39"/>
        <v>53.719474757115933</v>
      </c>
      <c r="CB53" s="20">
        <f t="shared" si="10"/>
        <v>473.56103853531016</v>
      </c>
      <c r="CC53" s="59">
        <f t="shared" si="11"/>
        <v>756.1949133635618</v>
      </c>
      <c r="CD53" s="59">
        <f ca="1">AVERAGE(OFFSET($CC$3,0,0,'Données projet'!$E$12+1,1))-AVERAGE(OFFSET($H$3,0,0,'Données projet'!$E$12+1,1))</f>
        <v>449.94334483948603</v>
      </c>
      <c r="CE53" s="59">
        <f t="shared" si="40"/>
        <v>318.02929110264176</v>
      </c>
      <c r="CF53" s="15">
        <f>IF(ISNA(VLOOKUP(A53,'Données projet'!$A$113:$I$133,3,0)),0,VLOOKUP(A53,'Données projet'!$A$113:$I$133,3,0))</f>
        <v>4</v>
      </c>
      <c r="CG53" s="15">
        <f>IF(ISNA(VLOOKUP(A53,'Données projet'!$A$113:$I$133,4,0)),0,VLOOKUP(A53,'Données projet'!$A$113:$I$133,4,0))</f>
        <v>56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1.5090541039755112</v>
      </c>
      <c r="CL53" s="21">
        <f>EXP(-LN(2)/25)*CL52+(1-EXP(-LN(2)/25))/(LN(2)/25)*Calculateur!CG53*Calculateur!CI53*VLOOKUP('Données projet'!$B$12,Paramètres!$A$1:$I$89,3,0)*0.475*44/12</f>
        <v>6.0333617807359925</v>
      </c>
      <c r="CM53" s="21">
        <f>EXP(-LN(2)/2)*CM52+(1-EXP(-LN(2)/2))/(LN(2)/2)*CG53*CJ53*VLOOKUP('Données projet'!$B$12,Paramètres!$A$1:$I$89,3,0)*0.475*44/12</f>
        <v>1.9596581792190138E-2</v>
      </c>
      <c r="CN53" s="22">
        <f t="shared" si="12"/>
        <v>7.5620124665036945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67.081965862250442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245</v>
      </c>
      <c r="CR53" s="12">
        <f>VLOOKUP(A53,'Données projet'!$A$139:$I$159,9,0)</f>
        <v>11</v>
      </c>
      <c r="CS53" s="12">
        <f t="array" ref="CS53">INDEX(CR:CR,MIN(IF(ISNUMBER(CR53:CR249),ROW(CR53:CR249),"")))</f>
        <v>11</v>
      </c>
      <c r="CT53" s="12">
        <f>IF('Données projet'!$A$140&gt;35,CT52+CS53-DB52,IF(A53&lt;'Données projet'!$A$140,$CQ$205^A53,IF(A53='Données projet'!$A$140,'Données projet'!$B$140,CT52+CS53-DB52)))</f>
        <v>245.00000000000006</v>
      </c>
      <c r="CU53" s="17">
        <f>CT53*VLOOKUP('Données projet'!$B$13,Paramètres!$A$1:$I$89,3,0)*VLOOKUP('Données projet'!$B$13,Paramètres!$A$1:$I$89,5,0)</f>
        <v>210.21000000000006</v>
      </c>
      <c r="CV53" s="13">
        <f t="shared" si="41"/>
        <v>51.981473312002848</v>
      </c>
      <c r="CW53" s="20">
        <f t="shared" si="13"/>
        <v>456.65014935173843</v>
      </c>
      <c r="CX53" s="59">
        <f t="shared" si="14"/>
        <v>739.28402417999007</v>
      </c>
      <c r="CY53" s="59">
        <f ca="1">AVERAGE(OFFSET($CX$3,0,0,'Données projet'!$E$13+1,1))-AVERAGE(OFFSET($H$3,0,0,'Données projet'!$E$13+1,1))</f>
        <v>565.32667500225568</v>
      </c>
      <c r="CZ53" s="59">
        <f t="shared" si="42"/>
        <v>275.06957234480944</v>
      </c>
      <c r="DA53" s="15">
        <f>IF(ISNA(VLOOKUP(A53,'Données projet'!$A$139:$I$159,3,0)),0,VLOOKUP(A53,'Données projet'!$A$139:$I$159,3,0))</f>
        <v>3</v>
      </c>
      <c r="DB53" s="15">
        <f>IF(ISNA(VLOOKUP(A53,'Données projet'!$A$139:$I$159,4,0)),0,VLOOKUP(A53,'Données projet'!$A$139:$I$159,4,0))</f>
        <v>56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0</v>
      </c>
      <c r="DG53" s="21">
        <f>EXP(-LN(2)/25)*DG52+(1-EXP(-LN(2)/25))/(LN(2)/25)*Calculateur!DB53*Calculateur!DD53*VLOOKUP('Données projet'!$B$13,Paramètres!$A$1:$I$89,3,0)*0.475*44/12</f>
        <v>2.516407472671137</v>
      </c>
      <c r="DH53" s="21">
        <f>EXP(-LN(2)/2)*DH52+(1-EXP(-LN(2)/2))/(LN(2)/2)*DB53*DE53*VLOOKUP('Données projet'!$B$13,Paramètres!$A$1:$I$89,3,0)*0.475*44/12</f>
        <v>6.9175081166015185E-3</v>
      </c>
      <c r="DI53" s="22">
        <f t="shared" si="15"/>
        <v>2.5233249807877383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67.081965862250442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615</v>
      </c>
      <c r="DM53" s="12">
        <f>VLOOKUP(A53,'Données projet'!$A$165:$I$185,9,0)</f>
        <v>22.8</v>
      </c>
      <c r="DN53" s="12">
        <f t="array" ref="DN53">INDEX(DM:DM,MIN(IF(ISNUMBER(DM53:DM249),ROW(DM53:DM249),"")))</f>
        <v>22.8</v>
      </c>
      <c r="DO53" s="12">
        <f>IF('Données projet'!$A$166&gt;35,DO52+DN53-DW52,IF(A53&lt;'Données projet'!$A$166,$DL$205^A53,IF(A53='Données projet'!$A$166,'Données projet'!$B$166,DO52+DN53-DW52)))</f>
        <v>614.99999999999989</v>
      </c>
      <c r="DP53" s="17">
        <f>DO53*VLOOKUP('Données projet'!$B$14,Paramètres!$A$1:$I$89,3,0)*VLOOKUP('Données projet'!$B$14,Paramètres!$A$1:$I$89,5,0)</f>
        <v>343.78499999999991</v>
      </c>
      <c r="DQ53" s="13">
        <f t="shared" si="43"/>
        <v>80.281446809317075</v>
      </c>
      <c r="DR53" s="20">
        <f t="shared" si="16"/>
        <v>738.58239485956028</v>
      </c>
      <c r="DS53" s="59">
        <f t="shared" si="17"/>
        <v>1021.216269687812</v>
      </c>
      <c r="DT53" s="59">
        <f ca="1">AVERAGE(OFFSET($DS$3,0,0,'Données projet'!$E$14+1,1))-AVERAGE(OFFSET($H$3,0,0,'Données projet'!$E$14+1,1))</f>
        <v>532.64469322244281</v>
      </c>
      <c r="DU53" s="59">
        <f t="shared" si="44"/>
        <v>525.88014011096413</v>
      </c>
      <c r="DV53" s="15">
        <f>IF(ISNA(VLOOKUP(A53,'Données projet'!$A$165:$I$185,3,0)),0,VLOOKUP(A53,'Données projet'!$A$165:$I$185,3,0))</f>
        <v>4</v>
      </c>
      <c r="DW53" s="15">
        <f>IF(ISNA(VLOOKUP(A53,'Données projet'!$A$165:$I$185,4,0)),0,VLOOKUP(A53,'Données projet'!$A$165:$I$185,4,0))</f>
        <v>129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7.6849977517271402</v>
      </c>
      <c r="EB53" s="21">
        <f>EXP(-LN(2)/25)*EB52+(1-EXP(-LN(2)/25))/(LN(2)/25)*Calculateur!DW53*Calculateur!DY53*VLOOKUP('Données projet'!$B$14,Paramètres!$A$1:$I$89,3,0)*0.475*44/12</f>
        <v>22.261435314181455</v>
      </c>
      <c r="EC53" s="21">
        <f>EXP(-LN(2)/2)*EC52+(1-EXP(-LN(2)/2))/(LN(2)/2)*DW53*DZ53*VLOOKUP('Données projet'!$B$14,Paramètres!$A$1:$I$89,3,0)*0.475*44/12</f>
        <v>3.5617081401400484E-2</v>
      </c>
      <c r="ED53" s="22">
        <f t="shared" si="18"/>
        <v>29.982050147309995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67.081965862250442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>
        <f>VLOOKUP(A53,'Données projet'!$A$191:$I$211,2,0)</f>
        <v>199</v>
      </c>
      <c r="EH53" s="12">
        <f>VLOOKUP(A53,'Données projet'!$A$191:$I$211,9,0)</f>
        <v>8.3000000000000007</v>
      </c>
      <c r="EI53" s="12">
        <f t="array" ref="EI53">INDEX(EH:EH,MIN(IF(ISNUMBER(EH53:EH249),ROW(EH53:EH249),"")))</f>
        <v>8.3000000000000007</v>
      </c>
      <c r="EJ53" s="12">
        <f>IF('Données projet'!$A$192&gt;35,EJ52+EI53-ER52,IF(A53&lt;'Données projet'!$A$192,$EG$205^A53,IF(A53='Données projet'!$A$192,'Données projet'!$B$192,EJ52+EI53-ER52)))</f>
        <v>199.00000000000006</v>
      </c>
      <c r="EK53" s="17">
        <f>EJ53*VLOOKUP('Données projet'!$B$15,Paramètres!$A$1:$I$89,3,0)*VLOOKUP('Données projet'!$B$15,Paramètres!$A$1:$I$89,5,0)</f>
        <v>180.05520000000004</v>
      </c>
      <c r="EL53" s="13">
        <f t="shared" si="45"/>
        <v>45.334466930398399</v>
      </c>
      <c r="EM53" s="20">
        <f t="shared" si="19"/>
        <v>392.55366990377729</v>
      </c>
      <c r="EN53" s="59">
        <f t="shared" si="20"/>
        <v>675.18754473202898</v>
      </c>
      <c r="EO53" s="59">
        <f ca="1">AVERAGE(OFFSET($EN$3,0,0,'Données projet'!$E$15+1,1))-AVERAGE(OFFSET($H$3,0,0,'Données projet'!$E$15+1,1))</f>
        <v>398.27843768730202</v>
      </c>
      <c r="EP53" s="59">
        <f t="shared" si="46"/>
        <v>252.3617347568813</v>
      </c>
      <c r="EQ53" s="15">
        <f>IF(ISNA(VLOOKUP(A53,'Données projet'!$A$191:$I$211,3,0)),0,VLOOKUP(A53,'Données projet'!$A$191:$I$211,3,0))</f>
        <v>3</v>
      </c>
      <c r="ER53" s="15">
        <f>IF(ISNA(VLOOKUP(A53,'Données projet'!$A$191:$I$211,4,0)),0,VLOOKUP(A53,'Données projet'!$A$191:$I$211,4,0))</f>
        <v>42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0</v>
      </c>
      <c r="EW53" s="21">
        <f>EXP(-LN(2)/25)*EW52+(1-EXP(-LN(2)/25))/(LN(2)/25)*Calculateur!ER53*Calculateur!ET53*VLOOKUP('Données projet'!$B$15,Paramètres!$A$1:$I$89,3,0)*0.475*44/12</f>
        <v>1.7838930347308279</v>
      </c>
      <c r="EX53" s="21">
        <f>EXP(-LN(2)/2)*EX52+(1-EXP(-LN(2)/2))/(LN(2)/2)*ER53*EU53*VLOOKUP('Données projet'!$B$15,Paramètres!$A$1:$I$89,3,0)*0.475*44/12</f>
        <v>6.044285014090261E-3</v>
      </c>
      <c r="EY53" s="22">
        <f t="shared" si="21"/>
        <v>1.7899373197449182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67.081965862250442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>
        <f>VLOOKUP(A53,'Données projet'!$A$217:$I$237,2,0)</f>
        <v>199</v>
      </c>
      <c r="FC53" s="12">
        <f>VLOOKUP(A53,'Données projet'!$A$217:$I$237,9,0)</f>
        <v>8.3000000000000007</v>
      </c>
      <c r="FD53" s="12">
        <f t="array" ref="FD53">INDEX(FC:FC,MIN(IF(ISNUMBER(FC53:FC249),ROW(FC53:FC249),"")))</f>
        <v>8.3000000000000007</v>
      </c>
      <c r="FE53" s="12">
        <f>IF('Données projet'!$A$218&gt;35,FE52+FD53-FM52,IF(A53&lt;'Données projet'!$A$218,$FB$205^A53,IF(A53='Données projet'!$A$218,'Données projet'!$B$218,FE52+FD53-FM52)))</f>
        <v>199.00000000000006</v>
      </c>
      <c r="FF53" s="17">
        <f>FE53*VLOOKUP('Données projet'!$B$16,Paramètres!$A$1:$I$89,3,0)*VLOOKUP('Données projet'!$B$16,Paramètres!$A$1:$I$89,5,0)</f>
        <v>192.47280000000006</v>
      </c>
      <c r="FG53" s="13">
        <f t="shared" si="47"/>
        <v>48.086241710923829</v>
      </c>
      <c r="FH53" s="20">
        <f t="shared" si="22"/>
        <v>418.97366431319239</v>
      </c>
      <c r="FI53" s="59">
        <f t="shared" si="23"/>
        <v>701.60753914144402</v>
      </c>
      <c r="FJ53" s="59">
        <f ca="1">AVERAGE(OFFSET($FI$3,0,0,'Données projet'!$E$16+1,1))-AVERAGE(OFFSET($H$3,0,0,'Données projet'!$E$16+1,1))</f>
        <v>422.28024471365825</v>
      </c>
      <c r="FK53" s="59">
        <f t="shared" si="48"/>
        <v>266.49730479813206</v>
      </c>
      <c r="FL53" s="15">
        <f>IF(ISNA(VLOOKUP(A53,'Données projet'!$A$217:$I$237,3,0)),0,VLOOKUP(A53,'Données projet'!$A$217:$I$237,3,0))</f>
        <v>3</v>
      </c>
      <c r="FM53" s="15">
        <f>IF(ISNA(VLOOKUP(A53,'Données projet'!$A$217:$I$237,4,0)),0,VLOOKUP(A53,'Données projet'!$A$217:$I$237,4,0))</f>
        <v>42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>
        <f>EXP(-LN(2)/35)*FQ52+(1-EXP(-LN(2)/35))/(LN(2)/35)*FM53*FN53*VLOOKUP('Données projet'!$B$16,Paramètres!$A$1:$I$89,3,0)*0.475*44/12</f>
        <v>0</v>
      </c>
      <c r="FR53" s="21">
        <f>EXP(-LN(2)/25)*FR52+(1-EXP(-LN(2)/25))/(LN(2)/25)*Calculateur!FM53*Calculateur!FO53*VLOOKUP('Données projet'!$B$16,Paramètres!$A$1:$I$89,3,0)*0.475*44/12</f>
        <v>1.9069201405743335</v>
      </c>
      <c r="FS53" s="21">
        <f>EXP(-LN(2)/2)*FS52+(1-EXP(-LN(2)/2))/(LN(2)/2)*FM53*FP53*VLOOKUP('Données projet'!$B$16,Paramètres!$A$1:$I$89,3,0)*0.475*44/12</f>
        <v>6.4611322564413123E-3</v>
      </c>
      <c r="FT53" s="22">
        <f t="shared" si="24"/>
        <v>1.9133812728307749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67.081965862250442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8.1</v>
      </c>
      <c r="FZ53" s="12">
        <f>IF('Données projet'!$A$244&gt;35,FZ52+FY53-GH52,IF(A53&lt;'Données projet'!$A$244,$FW$205^A53,IF(A53='Données projet'!$A$244,'Données projet'!$B$244,FZ52+FY53-GH52)))</f>
        <v>242.50000000000006</v>
      </c>
      <c r="GA53" s="17">
        <f>FZ53*VLOOKUP('Données projet'!$B$17,Paramètres!$A$1:$I$89,3,0)*VLOOKUP('Données projet'!$B$17,Paramètres!$A$1:$I$89,5,0)</f>
        <v>189.15000000000006</v>
      </c>
      <c r="GB53" s="13">
        <f t="shared" si="49"/>
        <v>47.351980908861961</v>
      </c>
      <c r="GC53" s="20">
        <f t="shared" si="25"/>
        <v>411.90761674960135</v>
      </c>
      <c r="GD53" s="59">
        <f t="shared" si="26"/>
        <v>694.54149157785298</v>
      </c>
      <c r="GE53" s="59">
        <f ca="1">AVERAGE(OFFSET($GD$3,0,0,'Données projet'!$E$17+1,1))-AVERAGE(OFFSET($H$3,0,0,'Données projet'!$E$17+1,1))</f>
        <v>300.95722646933314</v>
      </c>
      <c r="GF53" s="59">
        <f t="shared" si="50"/>
        <v>269.52365224623759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>
        <f>EXP(-LN(2)/35)*GL52+(1-EXP(-LN(2)/35))/(LN(2)/35)*GH53*GI53*VLOOKUP('Données projet'!$B$17,Paramètres!$A$1:$I$89,3,0)*0.475*44/12</f>
        <v>0.59883099364107584</v>
      </c>
      <c r="GM53" s="21">
        <f>EXP(-LN(2)/25)*GM52+(1-EXP(-LN(2)/25))/(LN(2)/25)*Calculateur!GH53*Calculateur!GJ53*VLOOKUP('Données projet'!$B$17,Paramètres!$A$1:$I$89,3,0)*0.475*44/12</f>
        <v>3.5834516502743909</v>
      </c>
      <c r="GN53" s="21">
        <f>EXP(-LN(2)/2)*GN52+(1-EXP(-LN(2)/2))/(LN(2)/2)*GH53*GK53*VLOOKUP('Données projet'!$B$17,Paramètres!$A$1:$I$89,3,0)*0.475*44/12</f>
        <v>8.6513316603719186E-3</v>
      </c>
      <c r="GO53" s="21">
        <f t="shared" si="27"/>
        <v>4.1909339755758381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67.081965862250442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1.4000000000000001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5.1333333333333337</v>
      </c>
      <c r="H54" s="67">
        <f t="shared" si="1"/>
        <v>236.13333333333335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67.132587230793391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9.8000000000000007</v>
      </c>
      <c r="N54" s="13">
        <f>IF('Données projet'!$A$36&gt;35,N53+M54-V53,IF(A54&lt;'Données projet'!$A$36,$K$205^A54,IF(A54='Données projet'!$A$36,'Données projet'!$B$36,N53+M54-V53)))</f>
        <v>212.7999999999999</v>
      </c>
      <c r="O54" s="13">
        <f>N54*VLOOKUP('Données projet'!$B$9,Paramètres!$A$1:$I$89,3,0)*VLOOKUP('Données projet'!$B$9,Paramètres!$A$1:$I$89,5,0)</f>
        <v>192.54143999999991</v>
      </c>
      <c r="P54" s="13">
        <f t="shared" si="33"/>
        <v>48.101393902059698</v>
      </c>
      <c r="Q54" s="20">
        <f t="shared" si="53"/>
        <v>419.11960237942048</v>
      </c>
      <c r="R54" s="59">
        <f t="shared" si="0"/>
        <v>701.93908889232966</v>
      </c>
      <c r="S54" s="59">
        <f ca="1">AVERAGE(OFFSET($R$3,0,0,'Données projet'!$E$9+1,1))-AVERAGE(OFFSET($H$3,0,0,'Données projet'!$E$9+1,1))</f>
        <v>479.46542424895119</v>
      </c>
      <c r="T54" s="59">
        <f t="shared" si="34"/>
        <v>337.96395820277337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1.5890522862752376</v>
      </c>
      <c r="AA54" s="21">
        <f>EXP(-LN(2)/25)*AA53+(1-EXP(-LN(2)/25))/(LN(2)/25)*Calculateur!V54*Calculateur!X54*VLOOKUP('Données projet'!$B$9,Paramètres!$A$1:$I$89,3,0)*0.475*44/12</f>
        <v>6.3030739400470601</v>
      </c>
      <c r="AB54" s="21">
        <f>EXP(-LN(2)/2)*AB53+(1-EXP(-LN(2)/2))/(LN(2)/2)*V54*Y54*VLOOKUP('Données projet'!$B$9,Paramètres!$A$1:$I$89,3,0)*0.475*44/12</f>
        <v>1.4883311123211104E-2</v>
      </c>
      <c r="AC54" s="22">
        <f t="shared" si="3"/>
        <v>7.9070095374455089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67.132587230793391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9.8000000000000007</v>
      </c>
      <c r="AI54" s="13">
        <f>IF('Données projet'!$A$62&gt;35,AI53+AH54-AQ53,IF(A54&lt;'Données projet'!$A$62,$AF$205^A54,IF(A54='Données projet'!$A$62,'Données projet'!$B$62,AI53+AH54-AQ53)))</f>
        <v>212.7999999999999</v>
      </c>
      <c r="AJ54" s="13">
        <f>AI54*VLOOKUP('Données projet'!$B$10,Paramètres!$A$1:$I$89,3,0)*VLOOKUP('Données projet'!$B$10,Paramètres!$A$1:$I$89,5,0)</f>
        <v>205.82015999999987</v>
      </c>
      <c r="AK54" s="13">
        <f t="shared" si="35"/>
        <v>51.0211194797537</v>
      </c>
      <c r="AL54" s="20">
        <f t="shared" si="4"/>
        <v>447.33189509390405</v>
      </c>
      <c r="AM54" s="59">
        <f t="shared" si="5"/>
        <v>730.15138160681317</v>
      </c>
      <c r="AN54" s="59">
        <f ca="1">AVERAGE(OFFSET($AM$3,0,0,'Données projet'!$E$10+1,1))-AVERAGE(OFFSET($H$3,0,0,'Données projet'!$E$10+1,1))</f>
        <v>508.94560627895089</v>
      </c>
      <c r="AO54" s="59">
        <f t="shared" si="36"/>
        <v>357.86868650263034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1.6986420991218065</v>
      </c>
      <c r="AV54" s="21">
        <f>EXP(-LN(2)/25)*AV53+(1-EXP(-LN(2)/25))/(LN(2)/25)*Calculateur!AQ54*Calculateur!AS54*VLOOKUP('Données projet'!$B$10,Paramètres!$A$1:$I$89,3,0)*0.475*44/12</f>
        <v>6.7377686945330666</v>
      </c>
      <c r="AW54" s="21">
        <f>EXP(-LN(2)/2)*AW53+(1-EXP(-LN(2)/2))/(LN(2)/2)*AQ54*AT54*VLOOKUP('Données projet'!$B$10,Paramètres!$A$1:$I$89,3,0)*0.475*44/12</f>
        <v>1.5909746373087712E-2</v>
      </c>
      <c r="AX54" s="21">
        <f t="shared" si="6"/>
        <v>8.4523205400279622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67.132587230793391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9.6999999999999993</v>
      </c>
      <c r="BD54" s="12">
        <f>IF('Données projet'!$A$88&gt;35,BD53+BC54-BL53,IF(A54&lt;'Données projet'!$A$88,$BA$205^A54,IF(A54='Données projet'!$A$88,'Données projet'!$B$88,BD53+BC54-BL53)))</f>
        <v>257.70000000000005</v>
      </c>
      <c r="BE54" s="13">
        <f>BD54*VLOOKUP('Données projet'!$B$11,Paramètres!$A$1:$I$89,3,0)*VLOOKUP('Données projet'!$B$11,Paramètres!$A$1:$I$89,5,0)</f>
        <v>201.00600000000003</v>
      </c>
      <c r="BF54" s="13">
        <f t="shared" si="37"/>
        <v>49.965191474890041</v>
      </c>
      <c r="BG54" s="20">
        <f t="shared" si="7"/>
        <v>437.10815848543353</v>
      </c>
      <c r="BH54" s="59">
        <f t="shared" si="8"/>
        <v>719.92764499834266</v>
      </c>
      <c r="BI54" s="59">
        <f ca="1">AVERAGE(OFFSET($BH$3,0,0,'Données projet'!$E$11+1,1))-AVERAGE(OFFSET($H$3,0,0,'Données projet'!$E$11+1,1))</f>
        <v>383.03154033422328</v>
      </c>
      <c r="BJ54" s="59">
        <f t="shared" si="38"/>
        <v>373.27897156169877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0.95401846004824931</v>
      </c>
      <c r="BQ54" s="21">
        <f>EXP(-LN(2)/25)*BQ53+(1-EXP(-LN(2)/25))/(LN(2)/25)*Calculateur!BL54*Calculateur!BN54*VLOOKUP('Données projet'!$B$11,Paramètres!$A$1:$I$89,3,0)*0.475*44/12</f>
        <v>4.6762503099802135</v>
      </c>
      <c r="BR54" s="21">
        <f>EXP(-LN(2)/2)*BR53+(1-EXP(-LN(2)/2))/(LN(2)/2)*BL54*BO54*VLOOKUP('Données projet'!$B$11,Paramètres!$A$1:$I$89,3,0)*0.475*44/12</f>
        <v>9.0260934872413174E-3</v>
      </c>
      <c r="BS54" s="22">
        <f t="shared" si="9"/>
        <v>5.6392948635157047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67.132587230793391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9.8000000000000007</v>
      </c>
      <c r="BY54" s="12">
        <f>IF('Données projet'!$A$114&gt;35,BY53+BX54-CG53,IF(A54&lt;'Données projet'!$A$114,$BV$205^A54,IF(A54='Données projet'!$A$114,'Données projet'!$B$114,BY53+BX54-CG53)))</f>
        <v>212.7999999999999</v>
      </c>
      <c r="BZ54" s="13">
        <f>BY54*VLOOKUP('Données projet'!$B$12,Paramètres!$A$1:$I$89,3,0)*VLOOKUP('Données projet'!$B$12,Paramètres!$A$1:$I$89,5,0)</f>
        <v>179.26271999999992</v>
      </c>
      <c r="CA54" s="13">
        <f t="shared" si="39"/>
        <v>45.158115787467111</v>
      </c>
      <c r="CB54" s="20">
        <f t="shared" si="10"/>
        <v>390.86628899650503</v>
      </c>
      <c r="CC54" s="59">
        <f t="shared" si="11"/>
        <v>673.68577550941416</v>
      </c>
      <c r="CD54" s="59">
        <f ca="1">AVERAGE(OFFSET($CC$3,0,0,'Données projet'!$E$12+1,1))-AVERAGE(OFFSET($H$3,0,0,'Données projet'!$E$12+1,1))</f>
        <v>449.94334483948603</v>
      </c>
      <c r="CE54" s="59">
        <f t="shared" si="40"/>
        <v>318.02929110264176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1.4794624734286697</v>
      </c>
      <c r="CL54" s="21">
        <f>EXP(-LN(2)/25)*CL53+(1-EXP(-LN(2)/25))/(LN(2)/25)*Calculateur!CG54*Calculateur!CI54*VLOOKUP('Données projet'!$B$12,Paramètres!$A$1:$I$89,3,0)*0.475*44/12</f>
        <v>5.8683791855610599</v>
      </c>
      <c r="CM54" s="21">
        <f>EXP(-LN(2)/2)*CM53+(1-EXP(-LN(2)/2))/(LN(2)/2)*CG54*CJ54*VLOOKUP('Données projet'!$B$12,Paramètres!$A$1:$I$89,3,0)*0.475*44/12</f>
        <v>1.3856875873334474E-2</v>
      </c>
      <c r="CN54" s="22">
        <f t="shared" si="12"/>
        <v>7.3616985348630637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67.132587230793391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10.9</v>
      </c>
      <c r="CT54" s="12">
        <f>IF('Données projet'!$A$140&gt;35,CT53+CS54-DB53,IF(A54&lt;'Données projet'!$A$140,$CQ$205^A54,IF(A54='Données projet'!$A$140,'Données projet'!$B$140,CT53+CS54-DB53)))</f>
        <v>199.90000000000006</v>
      </c>
      <c r="CU54" s="17">
        <f>CT54*VLOOKUP('Données projet'!$B$13,Paramètres!$A$1:$I$89,3,0)*VLOOKUP('Données projet'!$B$13,Paramètres!$A$1:$I$89,5,0)</f>
        <v>171.51420000000007</v>
      </c>
      <c r="CV54" s="13">
        <f t="shared" si="41"/>
        <v>43.428978792351757</v>
      </c>
      <c r="CW54" s="20">
        <f t="shared" si="13"/>
        <v>374.35936973001276</v>
      </c>
      <c r="CX54" s="59">
        <f t="shared" si="14"/>
        <v>657.17885624292194</v>
      </c>
      <c r="CY54" s="59">
        <f ca="1">AVERAGE(OFFSET($CX$3,0,0,'Données projet'!$E$13+1,1))-AVERAGE(OFFSET($H$3,0,0,'Données projet'!$E$13+1,1))</f>
        <v>565.32667500225568</v>
      </c>
      <c r="CZ54" s="59">
        <f t="shared" si="42"/>
        <v>275.06957234480944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0</v>
      </c>
      <c r="DG54" s="21">
        <f>EXP(-LN(2)/25)*DG53+(1-EXP(-LN(2)/25))/(LN(2)/25)*Calculateur!DB54*Calculateur!DD54*VLOOKUP('Données projet'!$B$13,Paramètres!$A$1:$I$89,3,0)*0.475*44/12</f>
        <v>2.4475961779988271</v>
      </c>
      <c r="DH54" s="21">
        <f>EXP(-LN(2)/2)*DH53+(1-EXP(-LN(2)/2))/(LN(2)/2)*DB54*DE54*VLOOKUP('Données projet'!$B$13,Paramètres!$A$1:$I$89,3,0)*0.475*44/12</f>
        <v>4.8914168981619164E-3</v>
      </c>
      <c r="DI54" s="22">
        <f t="shared" si="15"/>
        <v>2.4524875948969891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67.132587230793391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19.3</v>
      </c>
      <c r="DO54" s="12">
        <f>IF('Données projet'!$A$166&gt;35,DO53+DN54-DW53,IF(A54&lt;'Données projet'!$A$166,$DL$205^A54,IF(A54='Données projet'!$A$166,'Données projet'!$B$166,DO53+DN54-DW53)))</f>
        <v>505.29999999999984</v>
      </c>
      <c r="DP54" s="17">
        <f>DO54*VLOOKUP('Données projet'!$B$14,Paramètres!$A$1:$I$89,3,0)*VLOOKUP('Données projet'!$B$14,Paramètres!$A$1:$I$89,5,0)</f>
        <v>282.46269999999993</v>
      </c>
      <c r="DQ54" s="13">
        <f t="shared" si="43"/>
        <v>67.487182645718548</v>
      </c>
      <c r="DR54" s="20">
        <f t="shared" si="16"/>
        <v>609.49604560795967</v>
      </c>
      <c r="DS54" s="59">
        <f t="shared" si="17"/>
        <v>892.31553212086874</v>
      </c>
      <c r="DT54" s="59">
        <f ca="1">AVERAGE(OFFSET($DS$3,0,0,'Données projet'!$E$14+1,1))-AVERAGE(OFFSET($H$3,0,0,'Données projet'!$E$14+1,1))</f>
        <v>532.64469322244281</v>
      </c>
      <c r="DU54" s="59">
        <f t="shared" si="44"/>
        <v>525.88014011096413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7.5342996332015586</v>
      </c>
      <c r="EB54" s="21">
        <f>EXP(-LN(2)/25)*EB53+(1-EXP(-LN(2)/25))/(LN(2)/25)*Calculateur!DW54*Calculateur!DY54*VLOOKUP('Données projet'!$B$14,Paramètres!$A$1:$I$89,3,0)*0.475*44/12</f>
        <v>21.652695194837158</v>
      </c>
      <c r="EC54" s="21">
        <f>EXP(-LN(2)/2)*EC53+(1-EXP(-LN(2)/2))/(LN(2)/2)*DW54*DZ54*VLOOKUP('Données projet'!$B$14,Paramètres!$A$1:$I$89,3,0)*0.475*44/12</f>
        <v>2.5185079785003544E-2</v>
      </c>
      <c r="ED54" s="22">
        <f t="shared" si="18"/>
        <v>29.212179907823721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67.132587230793391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7.8</v>
      </c>
      <c r="EJ54" s="12">
        <f>IF('Données projet'!$A$192&gt;35,EJ53+EI54-ER53,IF(A54&lt;'Données projet'!$A$192,$EG$205^A54,IF(A54='Données projet'!$A$192,'Données projet'!$B$192,EJ53+EI54-ER53)))</f>
        <v>164.80000000000007</v>
      </c>
      <c r="EK54" s="17">
        <f>EJ54*VLOOKUP('Données projet'!$B$15,Paramètres!$A$1:$I$89,3,0)*VLOOKUP('Données projet'!$B$15,Paramètres!$A$1:$I$89,5,0)</f>
        <v>149.11104000000006</v>
      </c>
      <c r="EL54" s="13">
        <f t="shared" si="45"/>
        <v>38.376496436982386</v>
      </c>
      <c r="EM54" s="20">
        <f t="shared" si="19"/>
        <v>326.54079262774445</v>
      </c>
      <c r="EN54" s="59">
        <f t="shared" si="20"/>
        <v>609.36027914065357</v>
      </c>
      <c r="EO54" s="59">
        <f ca="1">AVERAGE(OFFSET($EN$3,0,0,'Données projet'!$E$15+1,1))-AVERAGE(OFFSET($H$3,0,0,'Données projet'!$E$15+1,1))</f>
        <v>398.27843768730202</v>
      </c>
      <c r="EP54" s="59">
        <f t="shared" si="46"/>
        <v>252.3617347568813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0</v>
      </c>
      <c r="EW54" s="21">
        <f>EXP(-LN(2)/25)*EW53+(1-EXP(-LN(2)/25))/(LN(2)/25)*Calculateur!ER54*Calculateur!ET54*VLOOKUP('Données projet'!$B$15,Paramètres!$A$1:$I$89,3,0)*0.475*44/12</f>
        <v>1.735112385885256</v>
      </c>
      <c r="EX54" s="21">
        <f>EXP(-LN(2)/2)*EX53+(1-EXP(-LN(2)/2))/(LN(2)/2)*ER54*EU54*VLOOKUP('Données projet'!$B$15,Paramètres!$A$1:$I$89,3,0)*0.475*44/12</f>
        <v>4.2739549208874504E-3</v>
      </c>
      <c r="EY54" s="22">
        <f t="shared" si="21"/>
        <v>1.7393863408061434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67.132587230793391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7.8</v>
      </c>
      <c r="FE54" s="12">
        <f>IF('Données projet'!$A$218&gt;35,FE53+FD54-FM53,IF(A54&lt;'Données projet'!$A$218,$FB$205^A54,IF(A54='Données projet'!$A$218,'Données projet'!$B$218,FE53+FD54-FM53)))</f>
        <v>164.80000000000007</v>
      </c>
      <c r="FF54" s="17">
        <f>FE54*VLOOKUP('Données projet'!$B$16,Paramètres!$A$1:$I$89,3,0)*VLOOKUP('Données projet'!$B$16,Paramètres!$A$1:$I$89,5,0)</f>
        <v>159.39456000000007</v>
      </c>
      <c r="FG54" s="13">
        <f t="shared" si="47"/>
        <v>40.70592660812224</v>
      </c>
      <c r="FH54" s="20">
        <f t="shared" si="22"/>
        <v>348.5083475091464</v>
      </c>
      <c r="FI54" s="59">
        <f t="shared" si="23"/>
        <v>631.32783402205553</v>
      </c>
      <c r="FJ54" s="59">
        <f ca="1">AVERAGE(OFFSET($FI$3,0,0,'Données projet'!$E$16+1,1))-AVERAGE(OFFSET($H$3,0,0,'Données projet'!$E$16+1,1))</f>
        <v>422.28024471365825</v>
      </c>
      <c r="FK54" s="59">
        <f t="shared" si="48"/>
        <v>266.49730479813206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0</v>
      </c>
      <c r="FR54" s="21">
        <f>EXP(-LN(2)/25)*FR53+(1-EXP(-LN(2)/25))/(LN(2)/25)*Calculateur!FM54*Calculateur!FO54*VLOOKUP('Données projet'!$B$16,Paramètres!$A$1:$I$89,3,0)*0.475*44/12</f>
        <v>1.8547753090497565</v>
      </c>
      <c r="FS54" s="21">
        <f>EXP(-LN(2)/2)*FS53+(1-EXP(-LN(2)/2))/(LN(2)/2)*FM54*FP54*VLOOKUP('Données projet'!$B$16,Paramètres!$A$1:$I$89,3,0)*0.475*44/12</f>
        <v>4.568710432672791E-3</v>
      </c>
      <c r="FT54" s="22">
        <f t="shared" si="24"/>
        <v>1.8593440194824293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67.132587230793391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8.1</v>
      </c>
      <c r="FZ54" s="12">
        <f>IF('Données projet'!$A$244&gt;35,FZ53+FY54-GH53,IF(A54&lt;'Données projet'!$A$244,$FW$205^A54,IF(A54='Données projet'!$A$244,'Données projet'!$B$244,FZ53+FY54-GH53)))</f>
        <v>250.60000000000005</v>
      </c>
      <c r="GA54" s="17">
        <f>FZ54*VLOOKUP('Données projet'!$B$17,Paramètres!$A$1:$I$89,3,0)*VLOOKUP('Données projet'!$B$17,Paramètres!$A$1:$I$89,5,0)</f>
        <v>195.46800000000005</v>
      </c>
      <c r="GB54" s="13">
        <f t="shared" si="49"/>
        <v>48.746846552216553</v>
      </c>
      <c r="GC54" s="20">
        <f t="shared" si="25"/>
        <v>425.34085774511055</v>
      </c>
      <c r="GD54" s="59">
        <f t="shared" si="26"/>
        <v>708.16034425801968</v>
      </c>
      <c r="GE54" s="59">
        <f ca="1">AVERAGE(OFFSET($GD$3,0,0,'Données projet'!$E$17+1,1))-AVERAGE(OFFSET($H$3,0,0,'Données projet'!$E$17+1,1))</f>
        <v>300.95722646933314</v>
      </c>
      <c r="GF54" s="59">
        <f t="shared" si="50"/>
        <v>269.52365224623759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>
        <f>EXP(-LN(2)/35)*GL53+(1-EXP(-LN(2)/35))/(LN(2)/35)*GH54*GI54*VLOOKUP('Données projet'!$B$17,Paramètres!$A$1:$I$89,3,0)*0.475*44/12</f>
        <v>0.58708828310661498</v>
      </c>
      <c r="GM54" s="21">
        <f>EXP(-LN(2)/25)*GM53+(1-EXP(-LN(2)/25))/(LN(2)/25)*Calculateur!GH54*Calculateur!GJ54*VLOOKUP('Données projet'!$B$17,Paramètres!$A$1:$I$89,3,0)*0.475*44/12</f>
        <v>3.4854619764521053</v>
      </c>
      <c r="GN54" s="21">
        <f>EXP(-LN(2)/2)*GN53+(1-EXP(-LN(2)/2))/(LN(2)/2)*GH54*GK54*VLOOKUP('Données projet'!$B$17,Paramètres!$A$1:$I$89,3,0)*0.475*44/12</f>
        <v>6.1174152833428572E-3</v>
      </c>
      <c r="GO54" s="21">
        <f t="shared" si="27"/>
        <v>4.0786676748420625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67.132587230793391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1.4000000000000001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5.1333333333333337</v>
      </c>
      <c r="H55" s="67">
        <f t="shared" si="1"/>
        <v>236.13333333333335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67.182330431764541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9.8000000000000007</v>
      </c>
      <c r="N55" s="13">
        <f>IF('Données projet'!$A$36&gt;35,N54+M55-V54,IF(A55&lt;'Données projet'!$A$36,$K$205^A55,IF(A55='Données projet'!$A$36,'Données projet'!$B$36,N54+M55-V54)))</f>
        <v>222.59999999999991</v>
      </c>
      <c r="O55" s="13">
        <f>N55*VLOOKUP('Données projet'!$B$9,Paramètres!$A$1:$I$89,3,0)*VLOOKUP('Données projet'!$B$9,Paramètres!$A$1:$I$89,5,0)</f>
        <v>201.40847999999991</v>
      </c>
      <c r="P55" s="13">
        <f t="shared" si="33"/>
        <v>50.053582459229212</v>
      </c>
      <c r="Q55" s="20">
        <f t="shared" si="53"/>
        <v>437.96309211649071</v>
      </c>
      <c r="R55" s="59">
        <f t="shared" si="0"/>
        <v>720.96497036629398</v>
      </c>
      <c r="S55" s="59">
        <f ca="1">AVERAGE(OFFSET($R$3,0,0,'Données projet'!$E$9+1,1))-AVERAGE(OFFSET($H$3,0,0,'Données projet'!$E$9+1,1))</f>
        <v>479.46542424895119</v>
      </c>
      <c r="T55" s="59">
        <f t="shared" si="34"/>
        <v>337.96395820277337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1.5578919401675717</v>
      </c>
      <c r="AA55" s="21">
        <f>EXP(-LN(2)/25)*AA54+(1-EXP(-LN(2)/25))/(LN(2)/25)*Calculateur!V55*Calculateur!X55*VLOOKUP('Données projet'!$B$9,Paramètres!$A$1:$I$89,3,0)*0.475*44/12</f>
        <v>6.1307160516922208</v>
      </c>
      <c r="AB55" s="21">
        <f>EXP(-LN(2)/2)*AB54+(1-EXP(-LN(2)/2))/(LN(2)/2)*V55*Y55*VLOOKUP('Données projet'!$B$9,Paramètres!$A$1:$I$89,3,0)*0.475*44/12</f>
        <v>1.0524090221731744E-2</v>
      </c>
      <c r="AC55" s="22">
        <f t="shared" si="3"/>
        <v>7.6991320820815243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67.182330431764541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9.8000000000000007</v>
      </c>
      <c r="AI55" s="13">
        <f>IF('Données projet'!$A$62&gt;35,AI54+AH55-AQ54,IF(A55&lt;'Données projet'!$A$62,$AF$205^A55,IF(A55='Données projet'!$A$62,'Données projet'!$B$62,AI54+AH55-AQ54)))</f>
        <v>222.59999999999991</v>
      </c>
      <c r="AJ55" s="13">
        <f>AI55*VLOOKUP('Données projet'!$B$10,Paramètres!$A$1:$I$89,3,0)*VLOOKUP('Données projet'!$B$10,Paramètres!$A$1:$I$89,5,0)</f>
        <v>215.29871999999992</v>
      </c>
      <c r="AK55" s="13">
        <f t="shared" si="35"/>
        <v>53.091804704077084</v>
      </c>
      <c r="AL55" s="20">
        <f t="shared" si="4"/>
        <v>467.44683052626738</v>
      </c>
      <c r="AM55" s="59">
        <f t="shared" si="5"/>
        <v>750.4487087760707</v>
      </c>
      <c r="AN55" s="59">
        <f ca="1">AVERAGE(OFFSET($AM$3,0,0,'Données projet'!$E$10+1,1))-AVERAGE(OFFSET($H$3,0,0,'Données projet'!$E$10+1,1))</f>
        <v>508.94560627895089</v>
      </c>
      <c r="AO55" s="59">
        <f t="shared" si="36"/>
        <v>357.86868650263034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1.6653327636274049</v>
      </c>
      <c r="AV55" s="21">
        <f>EXP(-LN(2)/25)*AV54+(1-EXP(-LN(2)/25))/(LN(2)/25)*Calculateur!AQ55*Calculateur!AS55*VLOOKUP('Données projet'!$B$10,Paramètres!$A$1:$I$89,3,0)*0.475*44/12</f>
        <v>6.5535240552572036</v>
      </c>
      <c r="AW55" s="21">
        <f>EXP(-LN(2)/2)*AW54+(1-EXP(-LN(2)/2))/(LN(2)/2)*AQ55*AT55*VLOOKUP('Données projet'!$B$10,Paramètres!$A$1:$I$89,3,0)*0.475*44/12</f>
        <v>1.1249889547368401E-2</v>
      </c>
      <c r="AX55" s="21">
        <f t="shared" si="6"/>
        <v>8.2301067084319772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67.182330431764541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9.6999999999999993</v>
      </c>
      <c r="BD55" s="12">
        <f>IF('Données projet'!$A$88&gt;35,BD54+BC55-BL54,IF(A55&lt;'Données projet'!$A$88,$BA$205^A55,IF(A55='Données projet'!$A$88,'Données projet'!$B$88,BD54+BC55-BL54)))</f>
        <v>267.40000000000003</v>
      </c>
      <c r="BE55" s="13">
        <f>BD55*VLOOKUP('Données projet'!$B$11,Paramètres!$A$1:$I$89,3,0)*VLOOKUP('Données projet'!$B$11,Paramètres!$A$1:$I$89,5,0)</f>
        <v>208.57200000000003</v>
      </c>
      <c r="BF55" s="13">
        <f t="shared" si="37"/>
        <v>51.623407958239042</v>
      </c>
      <c r="BG55" s="20">
        <f t="shared" si="7"/>
        <v>453.17366886059966</v>
      </c>
      <c r="BH55" s="59">
        <f t="shared" si="8"/>
        <v>736.17554711040293</v>
      </c>
      <c r="BI55" s="59">
        <f ca="1">AVERAGE(OFFSET($BH$3,0,0,'Données projet'!$E$11+1,1))-AVERAGE(OFFSET($H$3,0,0,'Données projet'!$E$11+1,1))</f>
        <v>383.03154033422328</v>
      </c>
      <c r="BJ55" s="59">
        <f t="shared" si="38"/>
        <v>373.27897156169877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0.93531073994050651</v>
      </c>
      <c r="BQ55" s="21">
        <f>EXP(-LN(2)/25)*BQ54+(1-EXP(-LN(2)/25))/(LN(2)/25)*Calculateur!BL55*Calculateur!BN55*VLOOKUP('Données projet'!$B$11,Paramètres!$A$1:$I$89,3,0)*0.475*44/12</f>
        <v>4.5483779993404889</v>
      </c>
      <c r="BR55" s="21">
        <f>EXP(-LN(2)/2)*BR54+(1-EXP(-LN(2)/2))/(LN(2)/2)*BL55*BO55*VLOOKUP('Données projet'!$B$11,Paramètres!$A$1:$I$89,3,0)*0.475*44/12</f>
        <v>6.3824119124520681E-3</v>
      </c>
      <c r="BS55" s="22">
        <f t="shared" si="9"/>
        <v>5.4900711511934475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67.182330431764541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9.8000000000000007</v>
      </c>
      <c r="BY55" s="12">
        <f>IF('Données projet'!$A$114&gt;35,BY54+BX55-CG54,IF(A55&lt;'Données projet'!$A$114,$BV$205^A55,IF(A55='Données projet'!$A$114,'Données projet'!$B$114,BY54+BX55-CG54)))</f>
        <v>222.59999999999991</v>
      </c>
      <c r="BZ55" s="13">
        <f>BY55*VLOOKUP('Données projet'!$B$12,Paramètres!$A$1:$I$89,3,0)*VLOOKUP('Données projet'!$B$12,Paramètres!$A$1:$I$89,5,0)</f>
        <v>187.51823999999996</v>
      </c>
      <c r="CA55" s="13">
        <f t="shared" si="39"/>
        <v>46.990851800962481</v>
      </c>
      <c r="CB55" s="20">
        <f t="shared" si="10"/>
        <v>408.43666822000955</v>
      </c>
      <c r="CC55" s="59">
        <f t="shared" si="11"/>
        <v>691.43854646981288</v>
      </c>
      <c r="CD55" s="59">
        <f ca="1">AVERAGE(OFFSET($CC$3,0,0,'Données projet'!$E$12+1,1))-AVERAGE(OFFSET($H$3,0,0,'Données projet'!$E$12+1,1))</f>
        <v>449.94334483948603</v>
      </c>
      <c r="CE55" s="59">
        <f t="shared" si="40"/>
        <v>318.02929110264176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1.4504511167077394</v>
      </c>
      <c r="CL55" s="21">
        <f>EXP(-LN(2)/25)*CL54+(1-EXP(-LN(2)/25))/(LN(2)/25)*Calculateur!CG55*Calculateur!CI55*VLOOKUP('Données projet'!$B$12,Paramètres!$A$1:$I$89,3,0)*0.475*44/12</f>
        <v>5.7079080481272433</v>
      </c>
      <c r="CM55" s="21">
        <f>EXP(-LN(2)/2)*CM54+(1-EXP(-LN(2)/2))/(LN(2)/2)*CG55*CJ55*VLOOKUP('Données projet'!$B$12,Paramètres!$A$1:$I$89,3,0)*0.475*44/12</f>
        <v>9.7982908960950691E-3</v>
      </c>
      <c r="CN55" s="22">
        <f t="shared" si="12"/>
        <v>7.1681574557310777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67.182330431764541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10.9</v>
      </c>
      <c r="CT55" s="12">
        <f>IF('Données projet'!$A$140&gt;35,CT54+CS55-DB54,IF(A55&lt;'Données projet'!$A$140,$CQ$205^A55,IF(A55='Données projet'!$A$140,'Données projet'!$B$140,CT54+CS55-DB54)))</f>
        <v>210.80000000000007</v>
      </c>
      <c r="CU55" s="17">
        <f>CT55*VLOOKUP('Données projet'!$B$13,Paramètres!$A$1:$I$89,3,0)*VLOOKUP('Données projet'!$B$13,Paramètres!$A$1:$I$89,5,0)</f>
        <v>180.86640000000006</v>
      </c>
      <c r="CV55" s="13">
        <f t="shared" si="41"/>
        <v>45.514890302102152</v>
      </c>
      <c r="CW55" s="20">
        <f t="shared" si="13"/>
        <v>394.28074727616132</v>
      </c>
      <c r="CX55" s="59">
        <f t="shared" si="14"/>
        <v>677.2826255259647</v>
      </c>
      <c r="CY55" s="59">
        <f ca="1">AVERAGE(OFFSET($CX$3,0,0,'Données projet'!$E$13+1,1))-AVERAGE(OFFSET($H$3,0,0,'Données projet'!$E$13+1,1))</f>
        <v>565.32667500225568</v>
      </c>
      <c r="CZ55" s="59">
        <f t="shared" si="42"/>
        <v>275.06957234480944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0</v>
      </c>
      <c r="DG55" s="21">
        <f>EXP(-LN(2)/25)*DG54+(1-EXP(-LN(2)/25))/(LN(2)/25)*Calculateur!DB55*Calculateur!DD55*VLOOKUP('Données projet'!$B$13,Paramètres!$A$1:$I$89,3,0)*0.475*44/12</f>
        <v>2.3806665317979601</v>
      </c>
      <c r="DH55" s="21">
        <f>EXP(-LN(2)/2)*DH54+(1-EXP(-LN(2)/2))/(LN(2)/2)*DB55*DE55*VLOOKUP('Données projet'!$B$13,Paramètres!$A$1:$I$89,3,0)*0.475*44/12</f>
        <v>3.4587540583007593E-3</v>
      </c>
      <c r="DI55" s="22">
        <f t="shared" si="15"/>
        <v>2.3841252858562609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67.182330431764541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19.3</v>
      </c>
      <c r="DO55" s="12">
        <f>IF('Données projet'!$A$166&gt;35,DO54+DN55-DW54,IF(A55&lt;'Données projet'!$A$166,$DL$205^A55,IF(A55='Données projet'!$A$166,'Données projet'!$B$166,DO54+DN55-DW54)))</f>
        <v>524.5999999999998</v>
      </c>
      <c r="DP55" s="17">
        <f>DO55*VLOOKUP('Données projet'!$B$14,Paramètres!$A$1:$I$89,3,0)*VLOOKUP('Données projet'!$B$14,Paramètres!$A$1:$I$89,5,0)</f>
        <v>293.25139999999988</v>
      </c>
      <c r="DQ55" s="13">
        <f t="shared" si="43"/>
        <v>69.759829754702025</v>
      </c>
      <c r="DR55" s="20">
        <f t="shared" si="16"/>
        <v>632.2445584894391</v>
      </c>
      <c r="DS55" s="59">
        <f t="shared" si="17"/>
        <v>915.24643673924243</v>
      </c>
      <c r="DT55" s="59">
        <f ca="1">AVERAGE(OFFSET($DS$3,0,0,'Données projet'!$E$14+1,1))-AVERAGE(OFFSET($H$3,0,0,'Données projet'!$E$14+1,1))</f>
        <v>532.64469322244281</v>
      </c>
      <c r="DU55" s="59">
        <f t="shared" si="44"/>
        <v>525.88014011096413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7.3865566128634876</v>
      </c>
      <c r="EB55" s="21">
        <f>EXP(-LN(2)/25)*EB54+(1-EXP(-LN(2)/25))/(LN(2)/25)*Calculateur!DW55*Calculateur!DY55*VLOOKUP('Données projet'!$B$14,Paramètres!$A$1:$I$89,3,0)*0.475*44/12</f>
        <v>21.060601106068582</v>
      </c>
      <c r="EC55" s="21">
        <f>EXP(-LN(2)/2)*EC54+(1-EXP(-LN(2)/2))/(LN(2)/2)*DW55*DZ55*VLOOKUP('Données projet'!$B$14,Paramètres!$A$1:$I$89,3,0)*0.475*44/12</f>
        <v>1.7808540700700242E-2</v>
      </c>
      <c r="ED55" s="22">
        <f t="shared" si="18"/>
        <v>28.464966259632767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67.182330431764541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7.8</v>
      </c>
      <c r="EJ55" s="12">
        <f>IF('Données projet'!$A$192&gt;35,EJ54+EI55-ER54,IF(A55&lt;'Données projet'!$A$192,$EG$205^A55,IF(A55='Données projet'!$A$192,'Données projet'!$B$192,EJ54+EI55-ER54)))</f>
        <v>172.60000000000008</v>
      </c>
      <c r="EK55" s="17">
        <f>EJ55*VLOOKUP('Données projet'!$B$15,Paramètres!$A$1:$I$89,3,0)*VLOOKUP('Données projet'!$B$15,Paramètres!$A$1:$I$89,5,0)</f>
        <v>156.16848000000005</v>
      </c>
      <c r="EL55" s="13">
        <f t="shared" si="45"/>
        <v>39.977090041212335</v>
      </c>
      <c r="EM55" s="20">
        <f t="shared" si="19"/>
        <v>341.62020115511154</v>
      </c>
      <c r="EN55" s="59">
        <f t="shared" si="20"/>
        <v>624.62207940491487</v>
      </c>
      <c r="EO55" s="59">
        <f ca="1">AVERAGE(OFFSET($EN$3,0,0,'Données projet'!$E$15+1,1))-AVERAGE(OFFSET($H$3,0,0,'Données projet'!$E$15+1,1))</f>
        <v>398.27843768730202</v>
      </c>
      <c r="EP55" s="59">
        <f t="shared" si="46"/>
        <v>252.3617347568813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0</v>
      </c>
      <c r="EW55" s="21">
        <f>EXP(-LN(2)/25)*EW54+(1-EXP(-LN(2)/25))/(LN(2)/25)*Calculateur!ER55*Calculateur!ET55*VLOOKUP('Données projet'!$B$15,Paramètres!$A$1:$I$89,3,0)*0.475*44/12</f>
        <v>1.687665646447629</v>
      </c>
      <c r="EX55" s="21">
        <f>EXP(-LN(2)/2)*EX54+(1-EXP(-LN(2)/2))/(LN(2)/2)*ER55*EU55*VLOOKUP('Données projet'!$B$15,Paramètres!$A$1:$I$89,3,0)*0.475*44/12</f>
        <v>3.0221425070451305E-3</v>
      </c>
      <c r="EY55" s="22">
        <f t="shared" si="21"/>
        <v>1.6906877889546741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67.182330431764541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7.8</v>
      </c>
      <c r="FE55" s="12">
        <f>IF('Données projet'!$A$218&gt;35,FE54+FD55-FM54,IF(A55&lt;'Données projet'!$A$218,$FB$205^A55,IF(A55='Données projet'!$A$218,'Données projet'!$B$218,FE54+FD55-FM54)))</f>
        <v>172.60000000000008</v>
      </c>
      <c r="FF55" s="17">
        <f>FE55*VLOOKUP('Données projet'!$B$16,Paramètres!$A$1:$I$89,3,0)*VLOOKUP('Données projet'!$B$16,Paramètres!$A$1:$I$89,5,0)</f>
        <v>166.93872000000007</v>
      </c>
      <c r="FG55" s="13">
        <f t="shared" si="47"/>
        <v>42.403675278071923</v>
      </c>
      <c r="FH55" s="20">
        <f t="shared" si="22"/>
        <v>364.60467177597531</v>
      </c>
      <c r="FI55" s="59">
        <f t="shared" si="23"/>
        <v>647.60655002577869</v>
      </c>
      <c r="FJ55" s="59">
        <f ca="1">AVERAGE(OFFSET($FI$3,0,0,'Données projet'!$E$16+1,1))-AVERAGE(OFFSET($H$3,0,0,'Données projet'!$E$16+1,1))</f>
        <v>422.28024471365825</v>
      </c>
      <c r="FK55" s="59">
        <f t="shared" si="48"/>
        <v>266.49730479813206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0</v>
      </c>
      <c r="FR55" s="21">
        <f>EXP(-LN(2)/25)*FR54+(1-EXP(-LN(2)/25))/(LN(2)/25)*Calculateur!FM55*Calculateur!FO55*VLOOKUP('Données projet'!$B$16,Paramètres!$A$1:$I$89,3,0)*0.475*44/12</f>
        <v>1.8040563806853966</v>
      </c>
      <c r="FS55" s="21">
        <f>EXP(-LN(2)/2)*FS54+(1-EXP(-LN(2)/2))/(LN(2)/2)*FM55*FP55*VLOOKUP('Données projet'!$B$16,Paramètres!$A$1:$I$89,3,0)*0.475*44/12</f>
        <v>3.2305661282206561E-3</v>
      </c>
      <c r="FT55" s="22">
        <f t="shared" si="24"/>
        <v>1.8072869468136172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67.182330431764541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8.1</v>
      </c>
      <c r="FZ55" s="12">
        <f>IF('Données projet'!$A$244&gt;35,FZ54+FY55-GH54,IF(A55&lt;'Données projet'!$A$244,$FW$205^A55,IF(A55='Données projet'!$A$244,'Données projet'!$B$244,FZ54+FY55-GH54)))</f>
        <v>258.70000000000005</v>
      </c>
      <c r="GA55" s="17">
        <f>FZ55*VLOOKUP('Données projet'!$B$17,Paramètres!$A$1:$I$89,3,0)*VLOOKUP('Données projet'!$B$17,Paramètres!$A$1:$I$89,5,0)</f>
        <v>201.78600000000003</v>
      </c>
      <c r="GB55" s="13">
        <f t="shared" si="49"/>
        <v>50.136473146268756</v>
      </c>
      <c r="GC55" s="20">
        <f t="shared" si="25"/>
        <v>438.76497406308476</v>
      </c>
      <c r="GD55" s="59">
        <f t="shared" si="26"/>
        <v>721.76685231288809</v>
      </c>
      <c r="GE55" s="59">
        <f ca="1">AVERAGE(OFFSET($GD$3,0,0,'Données projet'!$E$17+1,1))-AVERAGE(OFFSET($H$3,0,0,'Données projet'!$E$17+1,1))</f>
        <v>300.95722646933314</v>
      </c>
      <c r="GF55" s="59">
        <f t="shared" si="50"/>
        <v>269.52365224623759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>
        <f>EXP(-LN(2)/35)*GL54+(1-EXP(-LN(2)/35))/(LN(2)/35)*GH55*GI55*VLOOKUP('Données projet'!$B$17,Paramètres!$A$1:$I$89,3,0)*0.475*44/12</f>
        <v>0.57557583996338868</v>
      </c>
      <c r="GM55" s="21">
        <f>EXP(-LN(2)/25)*GM54+(1-EXP(-LN(2)/25))/(LN(2)/25)*Calculateur!GH55*Calculateur!GJ55*VLOOKUP('Données projet'!$B$17,Paramètres!$A$1:$I$89,3,0)*0.475*44/12</f>
        <v>3.3901518354135431</v>
      </c>
      <c r="GN55" s="21">
        <f>EXP(-LN(2)/2)*GN54+(1-EXP(-LN(2)/2))/(LN(2)/2)*GH55*GK55*VLOOKUP('Données projet'!$B$17,Paramètres!$A$1:$I$89,3,0)*0.475*44/12</f>
        <v>4.3256658301859593E-3</v>
      </c>
      <c r="GO55" s="21">
        <f t="shared" si="27"/>
        <v>3.9700533412071177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67.182330431764541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1.4000000000000001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5.1333333333333337</v>
      </c>
      <c r="H56" s="67">
        <f t="shared" si="1"/>
        <v>236.13333333333335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67.231210699407995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9.8000000000000007</v>
      </c>
      <c r="N56" s="13">
        <f>IF('Données projet'!$A$36&gt;35,N55+M56-V55,IF(A56&lt;'Données projet'!$A$36,$K$205^A56,IF(A56='Données projet'!$A$36,'Données projet'!$B$36,N55+M56-V55)))</f>
        <v>232.39999999999992</v>
      </c>
      <c r="O56" s="13">
        <f>N56*VLOOKUP('Données projet'!$B$9,Paramètres!$A$1:$I$89,3,0)*VLOOKUP('Données projet'!$B$9,Paramètres!$A$1:$I$89,5,0)</f>
        <v>210.27551999999991</v>
      </c>
      <c r="P56" s="13">
        <f t="shared" si="33"/>
        <v>51.995789155135654</v>
      </c>
      <c r="Q56" s="20">
        <f t="shared" si="53"/>
        <v>456.78919677852781</v>
      </c>
      <c r="R56" s="59">
        <f t="shared" si="0"/>
        <v>739.97030267635716</v>
      </c>
      <c r="S56" s="59">
        <f ca="1">AVERAGE(OFFSET($R$3,0,0,'Données projet'!$E$9+1,1))-AVERAGE(OFFSET($H$3,0,0,'Données projet'!$E$9+1,1))</f>
        <v>479.46542424895119</v>
      </c>
      <c r="T56" s="59">
        <f t="shared" si="34"/>
        <v>337.96395820277337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1.5273426294411427</v>
      </c>
      <c r="AA56" s="21">
        <f>EXP(-LN(2)/25)*AA55+(1-EXP(-LN(2)/25))/(LN(2)/25)*Calculateur!V56*Calculateur!X56*VLOOKUP('Données projet'!$B$9,Paramètres!$A$1:$I$89,3,0)*0.475*44/12</f>
        <v>5.9630712988583516</v>
      </c>
      <c r="AB56" s="21">
        <f>EXP(-LN(2)/2)*AB55+(1-EXP(-LN(2)/2))/(LN(2)/2)*V56*Y56*VLOOKUP('Données projet'!$B$9,Paramètres!$A$1:$I$89,3,0)*0.475*44/12</f>
        <v>7.441655561605553E-3</v>
      </c>
      <c r="AC56" s="22">
        <f t="shared" si="3"/>
        <v>7.4978555838611003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67.231210699407995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9.8000000000000007</v>
      </c>
      <c r="AI56" s="13">
        <f>IF('Données projet'!$A$62&gt;35,AI55+AH56-AQ55,IF(A56&lt;'Données projet'!$A$62,$AF$205^A56,IF(A56='Données projet'!$A$62,'Données projet'!$B$62,AI55+AH56-AQ55)))</f>
        <v>232.39999999999992</v>
      </c>
      <c r="AJ56" s="13">
        <f>AI56*VLOOKUP('Données projet'!$B$10,Paramètres!$A$1:$I$89,3,0)*VLOOKUP('Données projet'!$B$10,Paramètres!$A$1:$I$89,5,0)</f>
        <v>224.77727999999991</v>
      </c>
      <c r="AK56" s="13">
        <f t="shared" si="35"/>
        <v>55.151902174183448</v>
      </c>
      <c r="AL56" s="20">
        <f t="shared" si="4"/>
        <v>487.54332562003589</v>
      </c>
      <c r="AM56" s="59">
        <f t="shared" si="5"/>
        <v>770.72443151786524</v>
      </c>
      <c r="AN56" s="59">
        <f ca="1">AVERAGE(OFFSET($AM$3,0,0,'Données projet'!$E$10+1,1))-AVERAGE(OFFSET($H$3,0,0,'Données projet'!$E$10+1,1))</f>
        <v>508.94560627895089</v>
      </c>
      <c r="AO56" s="59">
        <f t="shared" si="36"/>
        <v>357.86868650263034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1.63267660388536</v>
      </c>
      <c r="AV56" s="21">
        <f>EXP(-LN(2)/25)*AV55+(1-EXP(-LN(2)/25))/(LN(2)/25)*Calculateur!AQ56*Calculateur!AS56*VLOOKUP('Données projet'!$B$10,Paramètres!$A$1:$I$89,3,0)*0.475*44/12</f>
        <v>6.3743175953313438</v>
      </c>
      <c r="AW56" s="21">
        <f>EXP(-LN(2)/2)*AW55+(1-EXP(-LN(2)/2))/(LN(2)/2)*AQ56*AT56*VLOOKUP('Données projet'!$B$10,Paramètres!$A$1:$I$89,3,0)*0.475*44/12</f>
        <v>7.9548731865438562E-3</v>
      </c>
      <c r="AX56" s="21">
        <f t="shared" si="6"/>
        <v>8.0149490724032475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67.231210699407995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9.6999999999999993</v>
      </c>
      <c r="BD56" s="12">
        <f>IF('Données projet'!$A$88&gt;35,BD55+BC56-BL55,IF(A56&lt;'Données projet'!$A$88,$BA$205^A56,IF(A56='Données projet'!$A$88,'Données projet'!$B$88,BD55+BC56-BL55)))</f>
        <v>277.10000000000002</v>
      </c>
      <c r="BE56" s="13">
        <f>BD56*VLOOKUP('Données projet'!$B$11,Paramètres!$A$1:$I$89,3,0)*VLOOKUP('Données projet'!$B$11,Paramètres!$A$1:$I$89,5,0)</f>
        <v>216.13800000000003</v>
      </c>
      <c r="BF56" s="13">
        <f t="shared" si="37"/>
        <v>53.274635867181686</v>
      </c>
      <c r="BG56" s="20">
        <f t="shared" si="7"/>
        <v>469.22700746867486</v>
      </c>
      <c r="BH56" s="59">
        <f t="shared" si="8"/>
        <v>752.40811336650427</v>
      </c>
      <c r="BI56" s="59">
        <f ca="1">AVERAGE(OFFSET($BH$3,0,0,'Données projet'!$E$11+1,1))-AVERAGE(OFFSET($H$3,0,0,'Données projet'!$E$11+1,1))</f>
        <v>383.03154033422328</v>
      </c>
      <c r="BJ56" s="59">
        <f t="shared" si="38"/>
        <v>373.27897156169877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0.91696986681349402</v>
      </c>
      <c r="BQ56" s="21">
        <f>EXP(-LN(2)/25)*BQ55+(1-EXP(-LN(2)/25))/(LN(2)/25)*Calculateur!BL56*Calculateur!BN56*VLOOKUP('Données projet'!$B$11,Paramètres!$A$1:$I$89,3,0)*0.475*44/12</f>
        <v>4.4240023637597199</v>
      </c>
      <c r="BR56" s="21">
        <f>EXP(-LN(2)/2)*BR55+(1-EXP(-LN(2)/2))/(LN(2)/2)*BL56*BO56*VLOOKUP('Données projet'!$B$11,Paramètres!$A$1:$I$89,3,0)*0.475*44/12</f>
        <v>4.5130467436206587E-3</v>
      </c>
      <c r="BS56" s="22">
        <f t="shared" si="9"/>
        <v>5.3454852773168344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67.231210699407995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9.8000000000000007</v>
      </c>
      <c r="BY56" s="12">
        <f>IF('Données projet'!$A$114&gt;35,BY55+BX56-CG55,IF(A56&lt;'Données projet'!$A$114,$BV$205^A56,IF(A56='Données projet'!$A$114,'Données projet'!$B$114,BY55+BX56-CG55)))</f>
        <v>232.39999999999992</v>
      </c>
      <c r="BZ56" s="13">
        <f>BY56*VLOOKUP('Données projet'!$B$12,Paramètres!$A$1:$I$89,3,0)*VLOOKUP('Données projet'!$B$12,Paramètres!$A$1:$I$89,5,0)</f>
        <v>195.77375999999995</v>
      </c>
      <c r="CA56" s="13">
        <f t="shared" si="39"/>
        <v>48.814216733702644</v>
      </c>
      <c r="CB56" s="20">
        <f t="shared" si="10"/>
        <v>425.99072614453195</v>
      </c>
      <c r="CC56" s="59">
        <f t="shared" si="11"/>
        <v>709.1718320423613</v>
      </c>
      <c r="CD56" s="59">
        <f ca="1">AVERAGE(OFFSET($CC$3,0,0,'Données projet'!$E$12+1,1))-AVERAGE(OFFSET($H$3,0,0,'Données projet'!$E$12+1,1))</f>
        <v>449.94334483948603</v>
      </c>
      <c r="CE56" s="59">
        <f t="shared" si="40"/>
        <v>318.02929110264176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1.4220086549969262</v>
      </c>
      <c r="CL56" s="21">
        <f>EXP(-LN(2)/25)*CL55+(1-EXP(-LN(2)/25))/(LN(2)/25)*Calculateur!CG56*Calculateur!CI56*VLOOKUP('Données projet'!$B$12,Paramètres!$A$1:$I$89,3,0)*0.475*44/12</f>
        <v>5.5518250023853648</v>
      </c>
      <c r="CM56" s="21">
        <f>EXP(-LN(2)/2)*CM55+(1-EXP(-LN(2)/2))/(LN(2)/2)*CG56*CJ56*VLOOKUP('Données projet'!$B$12,Paramètres!$A$1:$I$89,3,0)*0.475*44/12</f>
        <v>6.9284379366672368E-3</v>
      </c>
      <c r="CN56" s="22">
        <f t="shared" si="12"/>
        <v>6.9807620953189584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67.231210699407995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10.9</v>
      </c>
      <c r="CT56" s="12">
        <f>IF('Données projet'!$A$140&gt;35,CT55+CS56-DB55,IF(A56&lt;'Données projet'!$A$140,$CQ$205^A56,IF(A56='Données projet'!$A$140,'Données projet'!$B$140,CT55+CS56-DB55)))</f>
        <v>221.70000000000007</v>
      </c>
      <c r="CU56" s="17">
        <f>CT56*VLOOKUP('Données projet'!$B$13,Paramètres!$A$1:$I$89,3,0)*VLOOKUP('Données projet'!$B$13,Paramètres!$A$1:$I$89,5,0)</f>
        <v>190.21860000000007</v>
      </c>
      <c r="CV56" s="13">
        <f t="shared" si="41"/>
        <v>47.588278972718975</v>
      </c>
      <c r="CW56" s="20">
        <f t="shared" si="13"/>
        <v>414.18031421081895</v>
      </c>
      <c r="CX56" s="59">
        <f t="shared" si="14"/>
        <v>697.3614201086483</v>
      </c>
      <c r="CY56" s="59">
        <f ca="1">AVERAGE(OFFSET($CX$3,0,0,'Données projet'!$E$13+1,1))-AVERAGE(OFFSET($H$3,0,0,'Données projet'!$E$13+1,1))</f>
        <v>565.32667500225568</v>
      </c>
      <c r="CZ56" s="59">
        <f t="shared" si="42"/>
        <v>275.06957234480944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0</v>
      </c>
      <c r="DG56" s="21">
        <f>EXP(-LN(2)/25)*DG55+(1-EXP(-LN(2)/25))/(LN(2)/25)*Calculateur!DB56*Calculateur!DD56*VLOOKUP('Données projet'!$B$13,Paramètres!$A$1:$I$89,3,0)*0.475*44/12</f>
        <v>2.3155670802921331</v>
      </c>
      <c r="DH56" s="21">
        <f>EXP(-LN(2)/2)*DH55+(1-EXP(-LN(2)/2))/(LN(2)/2)*DB56*DE56*VLOOKUP('Données projet'!$B$13,Paramètres!$A$1:$I$89,3,0)*0.475*44/12</f>
        <v>2.4457084490809582E-3</v>
      </c>
      <c r="DI56" s="22">
        <f t="shared" si="15"/>
        <v>2.3180127887412141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67.231210699407995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19.3</v>
      </c>
      <c r="DO56" s="12">
        <f>IF('Données projet'!$A$166&gt;35,DO55+DN56-DW55,IF(A56&lt;'Données projet'!$A$166,$DL$205^A56,IF(A56='Données projet'!$A$166,'Données projet'!$B$166,DO55+DN56-DW55)))</f>
        <v>543.89999999999975</v>
      </c>
      <c r="DP56" s="17">
        <f>DO56*VLOOKUP('Données projet'!$B$14,Paramètres!$A$1:$I$89,3,0)*VLOOKUP('Données projet'!$B$14,Paramètres!$A$1:$I$89,5,0)</f>
        <v>304.04009999999988</v>
      </c>
      <c r="DQ56" s="13">
        <f t="shared" si="43"/>
        <v>72.022763091018376</v>
      </c>
      <c r="DR56" s="20">
        <f t="shared" si="16"/>
        <v>654.97615321685669</v>
      </c>
      <c r="DS56" s="59">
        <f t="shared" si="17"/>
        <v>938.15725911468598</v>
      </c>
      <c r="DT56" s="59">
        <f ca="1">AVERAGE(OFFSET($DS$3,0,0,'Données projet'!$E$14+1,1))-AVERAGE(OFFSET($H$3,0,0,'Données projet'!$E$14+1,1))</f>
        <v>532.64469322244281</v>
      </c>
      <c r="DU56" s="59">
        <f t="shared" si="44"/>
        <v>525.88014011096413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7.2417107430399019</v>
      </c>
      <c r="EB56" s="21">
        <f>EXP(-LN(2)/25)*EB55+(1-EXP(-LN(2)/25))/(LN(2)/25)*Calculateur!DW56*Calculateur!DY56*VLOOKUP('Données projet'!$B$14,Paramètres!$A$1:$I$89,3,0)*0.475*44/12</f>
        <v>20.484697861294258</v>
      </c>
      <c r="EC56" s="21">
        <f>EXP(-LN(2)/2)*EC55+(1-EXP(-LN(2)/2))/(LN(2)/2)*DW56*DZ56*VLOOKUP('Données projet'!$B$14,Paramètres!$A$1:$I$89,3,0)*0.475*44/12</f>
        <v>1.2592539892501772E-2</v>
      </c>
      <c r="ED56" s="22">
        <f t="shared" si="18"/>
        <v>27.739001144226663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67.231210699407995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7.8</v>
      </c>
      <c r="EJ56" s="12">
        <f>IF('Données projet'!$A$192&gt;35,EJ55+EI56-ER55,IF(A56&lt;'Données projet'!$A$192,$EG$205^A56,IF(A56='Données projet'!$A$192,'Données projet'!$B$192,EJ55+EI56-ER55)))</f>
        <v>180.40000000000009</v>
      </c>
      <c r="EK56" s="17">
        <f>EJ56*VLOOKUP('Données projet'!$B$15,Paramètres!$A$1:$I$89,3,0)*VLOOKUP('Données projet'!$B$15,Paramètres!$A$1:$I$89,5,0)</f>
        <v>163.22592000000009</v>
      </c>
      <c r="EL56" s="13">
        <f t="shared" si="45"/>
        <v>41.569283201466128</v>
      </c>
      <c r="EM56" s="20">
        <f t="shared" si="19"/>
        <v>356.68497890922026</v>
      </c>
      <c r="EN56" s="59">
        <f t="shared" si="20"/>
        <v>639.86608480704967</v>
      </c>
      <c r="EO56" s="59">
        <f ca="1">AVERAGE(OFFSET($EN$3,0,0,'Données projet'!$E$15+1,1))-AVERAGE(OFFSET($H$3,0,0,'Données projet'!$E$15+1,1))</f>
        <v>398.27843768730202</v>
      </c>
      <c r="EP56" s="59">
        <f t="shared" si="46"/>
        <v>252.3617347568813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0</v>
      </c>
      <c r="EW56" s="21">
        <f>EXP(-LN(2)/25)*EW55+(1-EXP(-LN(2)/25))/(LN(2)/25)*Calculateur!ER56*Calculateur!ET56*VLOOKUP('Données projet'!$B$15,Paramètres!$A$1:$I$89,3,0)*0.475*44/12</f>
        <v>1.6415163405950395</v>
      </c>
      <c r="EX56" s="21">
        <f>EXP(-LN(2)/2)*EX55+(1-EXP(-LN(2)/2))/(LN(2)/2)*ER56*EU56*VLOOKUP('Données projet'!$B$15,Paramètres!$A$1:$I$89,3,0)*0.475*44/12</f>
        <v>2.1369774604437252E-3</v>
      </c>
      <c r="EY56" s="22">
        <f t="shared" si="21"/>
        <v>1.6436533180554833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67.231210699407995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7.8</v>
      </c>
      <c r="FE56" s="12">
        <f>IF('Données projet'!$A$218&gt;35,FE55+FD56-FM55,IF(A56&lt;'Données projet'!$A$218,$FB$205^A56,IF(A56='Données projet'!$A$218,'Données projet'!$B$218,FE55+FD56-FM55)))</f>
        <v>180.40000000000009</v>
      </c>
      <c r="FF56" s="17">
        <f>FE56*VLOOKUP('Données projet'!$B$16,Paramètres!$A$1:$I$89,3,0)*VLOOKUP('Données projet'!$B$16,Paramètres!$A$1:$I$89,5,0)</f>
        <v>174.48288000000008</v>
      </c>
      <c r="FG56" s="13">
        <f t="shared" si="47"/>
        <v>44.092513602166207</v>
      </c>
      <c r="FH56" s="20">
        <f t="shared" si="22"/>
        <v>380.6854771904396</v>
      </c>
      <c r="FI56" s="59">
        <f t="shared" si="23"/>
        <v>663.86658308826895</v>
      </c>
      <c r="FJ56" s="59">
        <f ca="1">AVERAGE(OFFSET($FI$3,0,0,'Données projet'!$E$16+1,1))-AVERAGE(OFFSET($H$3,0,0,'Données projet'!$E$16+1,1))</f>
        <v>422.28024471365825</v>
      </c>
      <c r="FK56" s="59">
        <f t="shared" si="48"/>
        <v>266.49730479813206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0</v>
      </c>
      <c r="FR56" s="21">
        <f>EXP(-LN(2)/25)*FR55+(1-EXP(-LN(2)/25))/(LN(2)/25)*Calculateur!FM56*Calculateur!FO56*VLOOKUP('Données projet'!$B$16,Paramètres!$A$1:$I$89,3,0)*0.475*44/12</f>
        <v>1.7547243640843526</v>
      </c>
      <c r="FS56" s="21">
        <f>EXP(-LN(2)/2)*FS55+(1-EXP(-LN(2)/2))/(LN(2)/2)*FM56*FP56*VLOOKUP('Données projet'!$B$16,Paramètres!$A$1:$I$89,3,0)*0.475*44/12</f>
        <v>2.2843552163363955E-3</v>
      </c>
      <c r="FT56" s="22">
        <f t="shared" si="24"/>
        <v>1.7570087193006889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67.231210699407995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8.1</v>
      </c>
      <c r="FZ56" s="12">
        <f>IF('Données projet'!$A$244&gt;35,FZ55+FY56-GH55,IF(A56&lt;'Données projet'!$A$244,$FW$205^A56,IF(A56='Données projet'!$A$244,'Données projet'!$B$244,FZ55+FY56-GH55)))</f>
        <v>266.80000000000007</v>
      </c>
      <c r="GA56" s="17">
        <f>FZ56*VLOOKUP('Données projet'!$B$17,Paramètres!$A$1:$I$89,3,0)*VLOOKUP('Données projet'!$B$17,Paramètres!$A$1:$I$89,5,0)</f>
        <v>208.10400000000007</v>
      </c>
      <c r="GB56" s="13">
        <f t="shared" si="49"/>
        <v>51.52104354893045</v>
      </c>
      <c r="GC56" s="20">
        <f t="shared" si="25"/>
        <v>452.18028418105399</v>
      </c>
      <c r="GD56" s="59">
        <f t="shared" si="26"/>
        <v>735.36139007888335</v>
      </c>
      <c r="GE56" s="59">
        <f ca="1">AVERAGE(OFFSET($GD$3,0,0,'Données projet'!$E$17+1,1))-AVERAGE(OFFSET($H$3,0,0,'Données projet'!$E$17+1,1))</f>
        <v>300.95722646933314</v>
      </c>
      <c r="GF56" s="59">
        <f t="shared" si="50"/>
        <v>269.52365224623759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>
        <f>EXP(-LN(2)/35)*GL55+(1-EXP(-LN(2)/35))/(LN(2)/35)*GH56*GI56*VLOOKUP('Données projet'!$B$17,Paramètres!$A$1:$I$89,3,0)*0.475*44/12</f>
        <v>0.56428914880830405</v>
      </c>
      <c r="GM56" s="21">
        <f>EXP(-LN(2)/25)*GM55+(1-EXP(-LN(2)/25))/(LN(2)/25)*Calculateur!GH56*Calculateur!GJ56*VLOOKUP('Données projet'!$B$17,Paramètres!$A$1:$I$89,3,0)*0.475*44/12</f>
        <v>3.2974479551938232</v>
      </c>
      <c r="GN56" s="21">
        <f>EXP(-LN(2)/2)*GN55+(1-EXP(-LN(2)/2))/(LN(2)/2)*GH56*GK56*VLOOKUP('Données projet'!$B$17,Paramètres!$A$1:$I$89,3,0)*0.475*44/12</f>
        <v>3.0587076416714286E-3</v>
      </c>
      <c r="GO56" s="21">
        <f t="shared" si="27"/>
        <v>3.8647958116437984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67.231210699407995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1.4000000000000001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5.1333333333333337</v>
      </c>
      <c r="H57" s="67">
        <f t="shared" si="1"/>
        <v>236.13333333333335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67.279243003687725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9.8000000000000007</v>
      </c>
      <c r="N57" s="13">
        <f>IF('Données projet'!$A$36&gt;35,N56+M57-V56,IF(A57&lt;'Données projet'!$A$36,$K$205^A57,IF(A57='Données projet'!$A$36,'Données projet'!$B$36,N56+M57-V56)))</f>
        <v>242.19999999999993</v>
      </c>
      <c r="O57" s="13">
        <f>N57*VLOOKUP('Données projet'!$B$9,Paramètres!$A$1:$I$89,3,0)*VLOOKUP('Données projet'!$B$9,Paramètres!$A$1:$I$89,5,0)</f>
        <v>219.14255999999992</v>
      </c>
      <c r="P57" s="13">
        <f t="shared" si="33"/>
        <v>53.928483039139707</v>
      </c>
      <c r="Q57" s="20">
        <f t="shared" si="53"/>
        <v>475.59873329316815</v>
      </c>
      <c r="R57" s="59">
        <f t="shared" si="0"/>
        <v>758.95595764002314</v>
      </c>
      <c r="S57" s="59">
        <f ca="1">AVERAGE(OFFSET($R$3,0,0,'Données projet'!$E$9+1,1))-AVERAGE(OFFSET($H$3,0,0,'Données projet'!$E$9+1,1))</f>
        <v>479.46542424895119</v>
      </c>
      <c r="T57" s="59">
        <f t="shared" si="34"/>
        <v>337.96395820277337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1.4973923720648192</v>
      </c>
      <c r="AA57" s="21">
        <f>EXP(-LN(2)/25)*AA56+(1-EXP(-LN(2)/25))/(LN(2)/25)*Calculateur!V57*Calculateur!X57*VLOOKUP('Données projet'!$B$9,Paramètres!$A$1:$I$89,3,0)*0.475*44/12</f>
        <v>5.8000108006067794</v>
      </c>
      <c r="AB57" s="21">
        <f>EXP(-LN(2)/2)*AB56+(1-EXP(-LN(2)/2))/(LN(2)/2)*V57*Y57*VLOOKUP('Données projet'!$B$9,Paramètres!$A$1:$I$89,3,0)*0.475*44/12</f>
        <v>5.2620451108658728E-3</v>
      </c>
      <c r="AC57" s="22">
        <f t="shared" si="3"/>
        <v>7.3026652177824651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67.279243003687725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9.8000000000000007</v>
      </c>
      <c r="AI57" s="13">
        <f>IF('Données projet'!$A$62&gt;35,AI56+AH57-AQ56,IF(A57&lt;'Données projet'!$A$62,$AF$205^A57,IF(A57='Données projet'!$A$62,'Données projet'!$B$62,AI56+AH57-AQ56)))</f>
        <v>242.19999999999993</v>
      </c>
      <c r="AJ57" s="13">
        <f>AI57*VLOOKUP('Données projet'!$B$10,Paramètres!$A$1:$I$89,3,0)*VLOOKUP('Données projet'!$B$10,Paramètres!$A$1:$I$89,5,0)</f>
        <v>234.25583999999995</v>
      </c>
      <c r="AK57" s="13">
        <f t="shared" si="35"/>
        <v>57.201909410446412</v>
      </c>
      <c r="AL57" s="20">
        <f t="shared" si="4"/>
        <v>507.62224688986066</v>
      </c>
      <c r="AM57" s="59">
        <f t="shared" si="5"/>
        <v>790.97947123671565</v>
      </c>
      <c r="AN57" s="59">
        <f ca="1">AVERAGE(OFFSET($AM$3,0,0,'Données projet'!$E$10+1,1))-AVERAGE(OFFSET($H$3,0,0,'Données projet'!$E$10+1,1))</f>
        <v>508.94560627895089</v>
      </c>
      <c r="AO57" s="59">
        <f t="shared" si="36"/>
        <v>357.86868650263034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1.600660811517566</v>
      </c>
      <c r="AV57" s="21">
        <f>EXP(-LN(2)/25)*AV56+(1-EXP(-LN(2)/25))/(LN(2)/25)*Calculateur!AQ57*Calculateur!AS57*VLOOKUP('Données projet'!$B$10,Paramètres!$A$1:$I$89,3,0)*0.475*44/12</f>
        <v>6.2000115454762144</v>
      </c>
      <c r="AW57" s="21">
        <f>EXP(-LN(2)/2)*AW56+(1-EXP(-LN(2)/2))/(LN(2)/2)*AQ57*AT57*VLOOKUP('Données projet'!$B$10,Paramètres!$A$1:$I$89,3,0)*0.475*44/12</f>
        <v>5.6249447736842007E-3</v>
      </c>
      <c r="AX57" s="21">
        <f t="shared" si="6"/>
        <v>7.8062973017674651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67.279243003687725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9.6999999999999993</v>
      </c>
      <c r="BD57" s="12">
        <f>IF('Données projet'!$A$88&gt;35,BD56+BC57-BL56,IF(A57&lt;'Données projet'!$A$88,$BA$205^A57,IF(A57='Données projet'!$A$88,'Données projet'!$B$88,BD56+BC57-BL56)))</f>
        <v>286.8</v>
      </c>
      <c r="BE57" s="13">
        <f>BD57*VLOOKUP('Données projet'!$B$11,Paramètres!$A$1:$I$89,3,0)*VLOOKUP('Données projet'!$B$11,Paramètres!$A$1:$I$89,5,0)</f>
        <v>223.70400000000001</v>
      </c>
      <c r="BF57" s="13">
        <f t="shared" si="37"/>
        <v>54.919147873047578</v>
      </c>
      <c r="BG57" s="20">
        <f t="shared" si="7"/>
        <v>485.26864921222455</v>
      </c>
      <c r="BH57" s="59">
        <f t="shared" si="8"/>
        <v>768.62587355907954</v>
      </c>
      <c r="BI57" s="59">
        <f ca="1">AVERAGE(OFFSET($BH$3,0,0,'Données projet'!$E$11+1,1))-AVERAGE(OFFSET($H$3,0,0,'Données projet'!$E$11+1,1))</f>
        <v>383.03154033422328</v>
      </c>
      <c r="BJ57" s="59">
        <f t="shared" si="38"/>
        <v>373.27897156169877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0.89898864702167425</v>
      </c>
      <c r="BQ57" s="21">
        <f>EXP(-LN(2)/25)*BQ56+(1-EXP(-LN(2)/25))/(LN(2)/25)*Calculateur!BL57*Calculateur!BN57*VLOOKUP('Données projet'!$B$11,Paramètres!$A$1:$I$89,3,0)*0.475*44/12</f>
        <v>4.3030277864745372</v>
      </c>
      <c r="BR57" s="21">
        <f>EXP(-LN(2)/2)*BR56+(1-EXP(-LN(2)/2))/(LN(2)/2)*BL57*BO57*VLOOKUP('Données projet'!$B$11,Paramètres!$A$1:$I$89,3,0)*0.475*44/12</f>
        <v>3.191205956226034E-3</v>
      </c>
      <c r="BS57" s="22">
        <f t="shared" si="9"/>
        <v>5.2052076394524383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67.279243003687725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9.8000000000000007</v>
      </c>
      <c r="BY57" s="12">
        <f>IF('Données projet'!$A$114&gt;35,BY56+BX57-CG56,IF(A57&lt;'Données projet'!$A$114,$BV$205^A57,IF(A57='Données projet'!$A$114,'Données projet'!$B$114,BY56+BX57-CG56)))</f>
        <v>242.19999999999993</v>
      </c>
      <c r="BZ57" s="13">
        <f>BY57*VLOOKUP('Données projet'!$B$12,Paramètres!$A$1:$I$89,3,0)*VLOOKUP('Données projet'!$B$12,Paramètres!$A$1:$I$89,5,0)</f>
        <v>204.02927999999997</v>
      </c>
      <c r="CA57" s="13">
        <f t="shared" si="39"/>
        <v>50.628650934368238</v>
      </c>
      <c r="CB57" s="20">
        <f t="shared" si="10"/>
        <v>443.52922971069125</v>
      </c>
      <c r="CC57" s="59">
        <f t="shared" si="11"/>
        <v>726.88645405754619</v>
      </c>
      <c r="CD57" s="59">
        <f ca="1">AVERAGE(OFFSET($CC$3,0,0,'Données projet'!$E$12+1,1))-AVERAGE(OFFSET($H$3,0,0,'Données projet'!$E$12+1,1))</f>
        <v>449.94334483948603</v>
      </c>
      <c r="CE57" s="59">
        <f t="shared" si="40"/>
        <v>318.02929110264176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1.3941239326120733</v>
      </c>
      <c r="CL57" s="21">
        <f>EXP(-LN(2)/25)*CL56+(1-EXP(-LN(2)/25))/(LN(2)/25)*Calculateur!CG57*Calculateur!CI57*VLOOKUP('Données projet'!$B$12,Paramètres!$A$1:$I$89,3,0)*0.475*44/12</f>
        <v>5.4000100557373489</v>
      </c>
      <c r="CM57" s="21">
        <f>EXP(-LN(2)/2)*CM56+(1-EXP(-LN(2)/2))/(LN(2)/2)*CG57*CJ57*VLOOKUP('Données projet'!$B$12,Paramètres!$A$1:$I$89,3,0)*0.475*44/12</f>
        <v>4.8991454480475346E-3</v>
      </c>
      <c r="CN57" s="22">
        <f t="shared" si="12"/>
        <v>6.7990331337974697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67.279243003687725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10.9</v>
      </c>
      <c r="CT57" s="12">
        <f>IF('Données projet'!$A$140&gt;35,CT56+CS57-DB56,IF(A57&lt;'Données projet'!$A$140,$CQ$205^A57,IF(A57='Données projet'!$A$140,'Données projet'!$B$140,CT56+CS57-DB56)))</f>
        <v>232.60000000000008</v>
      </c>
      <c r="CU57" s="17">
        <f>CT57*VLOOKUP('Données projet'!$B$13,Paramètres!$A$1:$I$89,3,0)*VLOOKUP('Données projet'!$B$13,Paramètres!$A$1:$I$89,5,0)</f>
        <v>199.57080000000008</v>
      </c>
      <c r="CV57" s="13">
        <f t="shared" si="41"/>
        <v>49.649830765606488</v>
      </c>
      <c r="CW57" s="20">
        <f t="shared" si="13"/>
        <v>434.05926525009812</v>
      </c>
      <c r="CX57" s="59">
        <f t="shared" si="14"/>
        <v>717.41648959695317</v>
      </c>
      <c r="CY57" s="59">
        <f ca="1">AVERAGE(OFFSET($CX$3,0,0,'Données projet'!$E$13+1,1))-AVERAGE(OFFSET($H$3,0,0,'Données projet'!$E$13+1,1))</f>
        <v>565.32667500225568</v>
      </c>
      <c r="CZ57" s="59">
        <f t="shared" si="42"/>
        <v>275.06957234480944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0</v>
      </c>
      <c r="DG57" s="21">
        <f>EXP(-LN(2)/25)*DG56+(1-EXP(-LN(2)/25))/(LN(2)/25)*Calculateur!DB57*Calculateur!DD57*VLOOKUP('Données projet'!$B$13,Paramètres!$A$1:$I$89,3,0)*0.475*44/12</f>
        <v>2.2522477767111644</v>
      </c>
      <c r="DH57" s="21">
        <f>EXP(-LN(2)/2)*DH56+(1-EXP(-LN(2)/2))/(LN(2)/2)*DB57*DE57*VLOOKUP('Données projet'!$B$13,Paramètres!$A$1:$I$89,3,0)*0.475*44/12</f>
        <v>1.7293770291503796E-3</v>
      </c>
      <c r="DI57" s="22">
        <f t="shared" si="15"/>
        <v>2.2539771537403146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67.279243003687725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19.3</v>
      </c>
      <c r="DO57" s="12">
        <f>IF('Données projet'!$A$166&gt;35,DO56+DN57-DW56,IF(A57&lt;'Données projet'!$A$166,$DL$205^A57,IF(A57='Données projet'!$A$166,'Données projet'!$B$166,DO56+DN57-DW56)))</f>
        <v>563.1999999999997</v>
      </c>
      <c r="DP57" s="17">
        <f>DO57*VLOOKUP('Données projet'!$B$14,Paramètres!$A$1:$I$89,3,0)*VLOOKUP('Données projet'!$B$14,Paramètres!$A$1:$I$89,5,0)</f>
        <v>314.82879999999983</v>
      </c>
      <c r="DQ57" s="13">
        <f t="shared" si="43"/>
        <v>74.276366834686527</v>
      </c>
      <c r="DR57" s="20">
        <f t="shared" si="16"/>
        <v>677.69149890374536</v>
      </c>
      <c r="DS57" s="59">
        <f t="shared" si="17"/>
        <v>961.04872325060035</v>
      </c>
      <c r="DT57" s="59">
        <f ca="1">AVERAGE(OFFSET($DS$3,0,0,'Données projet'!$E$14+1,1))-AVERAGE(OFFSET($H$3,0,0,'Données projet'!$E$14+1,1))</f>
        <v>532.64469322244281</v>
      </c>
      <c r="DU57" s="59">
        <f t="shared" si="44"/>
        <v>525.88014011096413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7.0997052123762998</v>
      </c>
      <c r="EB57" s="21">
        <f>EXP(-LN(2)/25)*EB56+(1-EXP(-LN(2)/25))/(LN(2)/25)*Calculateur!DW57*Calculateur!DY57*VLOOKUP('Données projet'!$B$14,Paramètres!$A$1:$I$89,3,0)*0.475*44/12</f>
        <v>19.924542721033724</v>
      </c>
      <c r="EC57" s="21">
        <f>EXP(-LN(2)/2)*EC56+(1-EXP(-LN(2)/2))/(LN(2)/2)*DW57*DZ57*VLOOKUP('Données projet'!$B$14,Paramètres!$A$1:$I$89,3,0)*0.475*44/12</f>
        <v>8.904270350350121E-3</v>
      </c>
      <c r="ED57" s="22">
        <f t="shared" si="18"/>
        <v>27.033152203760373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67.279243003687725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7.8</v>
      </c>
      <c r="EJ57" s="12">
        <f>IF('Données projet'!$A$192&gt;35,EJ56+EI57-ER56,IF(A57&lt;'Données projet'!$A$192,$EG$205^A57,IF(A57='Données projet'!$A$192,'Données projet'!$B$192,EJ56+EI57-ER56)))</f>
        <v>188.2000000000001</v>
      </c>
      <c r="EK57" s="17">
        <f>EJ57*VLOOKUP('Données projet'!$B$15,Paramètres!$A$1:$I$89,3,0)*VLOOKUP('Données projet'!$B$15,Paramètres!$A$1:$I$89,5,0)</f>
        <v>170.28336000000007</v>
      </c>
      <c r="EL57" s="13">
        <f t="shared" si="45"/>
        <v>43.153480646462619</v>
      </c>
      <c r="EM57" s="20">
        <f t="shared" si="19"/>
        <v>371.73583079258918</v>
      </c>
      <c r="EN57" s="59">
        <f t="shared" si="20"/>
        <v>655.09305513944423</v>
      </c>
      <c r="EO57" s="59">
        <f ca="1">AVERAGE(OFFSET($EN$3,0,0,'Données projet'!$E$15+1,1))-AVERAGE(OFFSET($H$3,0,0,'Données projet'!$E$15+1,1))</f>
        <v>398.27843768730202</v>
      </c>
      <c r="EP57" s="59">
        <f t="shared" si="46"/>
        <v>252.3617347568813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0</v>
      </c>
      <c r="EW57" s="21">
        <f>EXP(-LN(2)/25)*EW56+(1-EXP(-LN(2)/25))/(LN(2)/25)*Calculateur!ER57*Calculateur!ET57*VLOOKUP('Données projet'!$B$15,Paramètres!$A$1:$I$89,3,0)*0.475*44/12</f>
        <v>1.5966289899378756</v>
      </c>
      <c r="EX57" s="21">
        <f>EXP(-LN(2)/2)*EX56+(1-EXP(-LN(2)/2))/(LN(2)/2)*ER57*EU57*VLOOKUP('Données projet'!$B$15,Paramètres!$A$1:$I$89,3,0)*0.475*44/12</f>
        <v>1.5110712535225653E-3</v>
      </c>
      <c r="EY57" s="22">
        <f t="shared" si="21"/>
        <v>1.5981400611913981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67.279243003687725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7.8</v>
      </c>
      <c r="FE57" s="12">
        <f>IF('Données projet'!$A$218&gt;35,FE56+FD57-FM56,IF(A57&lt;'Données projet'!$A$218,$FB$205^A57,IF(A57='Données projet'!$A$218,'Données projet'!$B$218,FE56+FD57-FM56)))</f>
        <v>188.2000000000001</v>
      </c>
      <c r="FF57" s="17">
        <f>FE57*VLOOKUP('Données projet'!$B$16,Paramètres!$A$1:$I$89,3,0)*VLOOKUP('Données projet'!$B$16,Paramètres!$A$1:$I$89,5,0)</f>
        <v>182.02704000000011</v>
      </c>
      <c r="FG57" s="13">
        <f t="shared" si="47"/>
        <v>45.772870875913057</v>
      </c>
      <c r="FH57" s="20">
        <f t="shared" si="22"/>
        <v>396.75151144221542</v>
      </c>
      <c r="FI57" s="59">
        <f t="shared" si="23"/>
        <v>680.10873578907035</v>
      </c>
      <c r="FJ57" s="59">
        <f ca="1">AVERAGE(OFFSET($FI$3,0,0,'Données projet'!$E$16+1,1))-AVERAGE(OFFSET($H$3,0,0,'Données projet'!$E$16+1,1))</f>
        <v>422.28024471365825</v>
      </c>
      <c r="FK57" s="59">
        <f t="shared" si="48"/>
        <v>266.49730479813206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0</v>
      </c>
      <c r="FR57" s="21">
        <f>EXP(-LN(2)/25)*FR56+(1-EXP(-LN(2)/25))/(LN(2)/25)*Calculateur!FM57*Calculateur!FO57*VLOOKUP('Données projet'!$B$16,Paramètres!$A$1:$I$89,3,0)*0.475*44/12</f>
        <v>1.7067413340715221</v>
      </c>
      <c r="FS57" s="21">
        <f>EXP(-LN(2)/2)*FS56+(1-EXP(-LN(2)/2))/(LN(2)/2)*FM57*FP57*VLOOKUP('Données projet'!$B$16,Paramètres!$A$1:$I$89,3,0)*0.475*44/12</f>
        <v>1.6152830641103281E-3</v>
      </c>
      <c r="FT57" s="22">
        <f t="shared" si="24"/>
        <v>1.7083566171356324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67.279243003687725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8.1</v>
      </c>
      <c r="FZ57" s="12">
        <f>IF('Données projet'!$A$244&gt;35,FZ56+FY57-GH56,IF(A57&lt;'Données projet'!$A$244,$FW$205^A57,IF(A57='Données projet'!$A$244,'Données projet'!$B$244,FZ56+FY57-GH56)))</f>
        <v>274.90000000000009</v>
      </c>
      <c r="GA57" s="17">
        <f>FZ57*VLOOKUP('Données projet'!$B$17,Paramètres!$A$1:$I$89,3,0)*VLOOKUP('Données projet'!$B$17,Paramètres!$A$1:$I$89,5,0)</f>
        <v>214.42200000000008</v>
      </c>
      <c r="GB57" s="13">
        <f t="shared" si="49"/>
        <v>52.900728884120014</v>
      </c>
      <c r="GC57" s="20">
        <f t="shared" si="25"/>
        <v>465.58708613984254</v>
      </c>
      <c r="GD57" s="59">
        <f t="shared" si="26"/>
        <v>748.94431048669753</v>
      </c>
      <c r="GE57" s="59">
        <f ca="1">AVERAGE(OFFSET($GD$3,0,0,'Données projet'!$E$17+1,1))-AVERAGE(OFFSET($H$3,0,0,'Données projet'!$E$17+1,1))</f>
        <v>300.95722646933314</v>
      </c>
      <c r="GF57" s="59">
        <f t="shared" si="50"/>
        <v>269.52365224623759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>
        <f>EXP(-LN(2)/35)*GL56+(1-EXP(-LN(2)/35))/(LN(2)/35)*GH57*GI57*VLOOKUP('Données projet'!$B$17,Paramètres!$A$1:$I$89,3,0)*0.475*44/12</f>
        <v>0.55322378278256878</v>
      </c>
      <c r="GM57" s="21">
        <f>EXP(-LN(2)/25)*GM56+(1-EXP(-LN(2)/25))/(LN(2)/25)*Calculateur!GH57*Calculateur!GJ57*VLOOKUP('Données projet'!$B$17,Paramètres!$A$1:$I$89,3,0)*0.475*44/12</f>
        <v>3.2072790674537965</v>
      </c>
      <c r="GN57" s="21">
        <f>EXP(-LN(2)/2)*GN56+(1-EXP(-LN(2)/2))/(LN(2)/2)*GH57*GK57*VLOOKUP('Données projet'!$B$17,Paramètres!$A$1:$I$89,3,0)*0.475*44/12</f>
        <v>2.1628329150929796E-3</v>
      </c>
      <c r="GO57" s="21">
        <f t="shared" si="27"/>
        <v>3.7626656831514587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67.279243003687725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1.4000000000000001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5.1333333333333337</v>
      </c>
      <c r="H58" s="67">
        <f t="shared" si="1"/>
        <v>236.13333333333335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67.326442054872359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9.8000000000000007</v>
      </c>
      <c r="N58" s="13">
        <f>IF('Données projet'!$A$36&gt;35,N57+M58-V57,IF(A58&lt;'Données projet'!$A$36,$K$205^A58,IF(A58='Données projet'!$A$36,'Données projet'!$B$36,N57+M58-V57)))</f>
        <v>251.99999999999994</v>
      </c>
      <c r="O58" s="13">
        <f>N58*VLOOKUP('Données projet'!$B$9,Paramètres!$A$1:$I$89,3,0)*VLOOKUP('Données projet'!$B$9,Paramètres!$A$1:$I$89,5,0)</f>
        <v>228.00959999999995</v>
      </c>
      <c r="P58" s="13">
        <f t="shared" si="33"/>
        <v>55.852093054619829</v>
      </c>
      <c r="Q58" s="20">
        <f t="shared" si="53"/>
        <v>494.3924487367961</v>
      </c>
      <c r="R58" s="59">
        <f t="shared" si="0"/>
        <v>777.92273627132806</v>
      </c>
      <c r="S58" s="59">
        <f ca="1">AVERAGE(OFFSET($R$3,0,0,'Données projet'!$E$9+1,1))-AVERAGE(OFFSET($H$3,0,0,'Données projet'!$E$9+1,1))</f>
        <v>479.46542424895119</v>
      </c>
      <c r="T58" s="59">
        <f t="shared" si="34"/>
        <v>337.96395820277337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1.4680294209677922</v>
      </c>
      <c r="AA58" s="21">
        <f>EXP(-LN(2)/25)*AA57+(1-EXP(-LN(2)/25))/(LN(2)/25)*Calculateur!V58*Calculateur!X58*VLOOKUP('Données projet'!$B$9,Paramètres!$A$1:$I$89,3,0)*0.475*44/12</f>
        <v>5.6414092002548752</v>
      </c>
      <c r="AB58" s="21">
        <f>EXP(-LN(2)/2)*AB57+(1-EXP(-LN(2)/2))/(LN(2)/2)*V58*Y58*VLOOKUP('Données projet'!$B$9,Paramètres!$A$1:$I$89,3,0)*0.475*44/12</f>
        <v>3.7208277808027774E-3</v>
      </c>
      <c r="AC58" s="22">
        <f t="shared" si="3"/>
        <v>7.1131594490034695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67.326442054872359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9.8000000000000007</v>
      </c>
      <c r="AI58" s="13">
        <f>IF('Données projet'!$A$62&gt;35,AI57+AH58-AQ57,IF(A58&lt;'Données projet'!$A$62,$AF$205^A58,IF(A58='Données projet'!$A$62,'Données projet'!$B$62,AI57+AH58-AQ57)))</f>
        <v>251.99999999999994</v>
      </c>
      <c r="AJ58" s="13">
        <f>AI58*VLOOKUP('Données projet'!$B$10,Paramètres!$A$1:$I$89,3,0)*VLOOKUP('Données projet'!$B$10,Paramètres!$A$1:$I$89,5,0)</f>
        <v>243.73439999999994</v>
      </c>
      <c r="AK58" s="13">
        <f t="shared" si="35"/>
        <v>59.242281392848767</v>
      </c>
      <c r="AL58" s="20">
        <f t="shared" si="4"/>
        <v>527.68438675921141</v>
      </c>
      <c r="AM58" s="59">
        <f t="shared" si="5"/>
        <v>811.21467429374343</v>
      </c>
      <c r="AN58" s="59">
        <f ca="1">AVERAGE(OFFSET($AM$3,0,0,'Données projet'!$E$10+1,1))-AVERAGE(OFFSET($H$3,0,0,'Données projet'!$E$10+1,1))</f>
        <v>508.94560627895089</v>
      </c>
      <c r="AO58" s="59">
        <f t="shared" si="36"/>
        <v>357.86868650263034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1.5692728293103992</v>
      </c>
      <c r="AV58" s="21">
        <f>EXP(-LN(2)/25)*AV57+(1-EXP(-LN(2)/25))/(LN(2)/25)*Calculateur!AQ58*Calculateur!AS58*VLOOKUP('Données projet'!$B$10,Paramètres!$A$1:$I$89,3,0)*0.475*44/12</f>
        <v>6.0304719037207306</v>
      </c>
      <c r="AW58" s="21">
        <f>EXP(-LN(2)/2)*AW57+(1-EXP(-LN(2)/2))/(LN(2)/2)*AQ58*AT58*VLOOKUP('Données projet'!$B$10,Paramètres!$A$1:$I$89,3,0)*0.475*44/12</f>
        <v>3.9774365932719281E-3</v>
      </c>
      <c r="AX58" s="21">
        <f t="shared" si="6"/>
        <v>7.6037221696244019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67.326442054872359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9.6999999999999993</v>
      </c>
      <c r="BD58" s="12">
        <f>IF('Données projet'!$A$88&gt;35,BD57+BC58-BL57,IF(A58&lt;'Données projet'!$A$88,$BA$205^A58,IF(A58='Données projet'!$A$88,'Données projet'!$B$88,BD57+BC58-BL57)))</f>
        <v>296.5</v>
      </c>
      <c r="BE58" s="13">
        <f>BD58*VLOOKUP('Données projet'!$B$11,Paramètres!$A$1:$I$89,3,0)*VLOOKUP('Données projet'!$B$11,Paramètres!$A$1:$I$89,5,0)</f>
        <v>231.27</v>
      </c>
      <c r="BF58" s="13">
        <f t="shared" si="37"/>
        <v>56.557197156476896</v>
      </c>
      <c r="BG58" s="20">
        <f t="shared" si="7"/>
        <v>501.29903504753059</v>
      </c>
      <c r="BH58" s="59">
        <f t="shared" si="8"/>
        <v>784.82932258206256</v>
      </c>
      <c r="BI58" s="59">
        <f ca="1">AVERAGE(OFFSET($BH$3,0,0,'Données projet'!$E$11+1,1))-AVERAGE(OFFSET($H$3,0,0,'Données projet'!$E$11+1,1))</f>
        <v>383.03154033422328</v>
      </c>
      <c r="BJ58" s="59">
        <f t="shared" si="38"/>
        <v>373.27897156169877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0.8813600279825109</v>
      </c>
      <c r="BQ58" s="21">
        <f>EXP(-LN(2)/25)*BQ57+(1-EXP(-LN(2)/25))/(LN(2)/25)*Calculateur!BL58*Calculateur!BN58*VLOOKUP('Données projet'!$B$11,Paramètres!$A$1:$I$89,3,0)*0.475*44/12</f>
        <v>4.1853612653669945</v>
      </c>
      <c r="BR58" s="21">
        <f>EXP(-LN(2)/2)*BR57+(1-EXP(-LN(2)/2))/(LN(2)/2)*BL58*BO58*VLOOKUP('Données projet'!$B$11,Paramètres!$A$1:$I$89,3,0)*0.475*44/12</f>
        <v>2.2565233718103293E-3</v>
      </c>
      <c r="BS58" s="22">
        <f t="shared" si="9"/>
        <v>5.0689778167213158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67.326442054872359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9.8000000000000007</v>
      </c>
      <c r="BY58" s="12">
        <f>IF('Données projet'!$A$114&gt;35,BY57+BX58-CG57,IF(A58&lt;'Données projet'!$A$114,$BV$205^A58,IF(A58='Données projet'!$A$114,'Données projet'!$B$114,BY57+BX58-CG57)))</f>
        <v>251.99999999999994</v>
      </c>
      <c r="BZ58" s="13">
        <f>BY58*VLOOKUP('Données projet'!$B$12,Paramètres!$A$1:$I$89,3,0)*VLOOKUP('Données projet'!$B$12,Paramètres!$A$1:$I$89,5,0)</f>
        <v>212.28479999999999</v>
      </c>
      <c r="CA58" s="13">
        <f t="shared" si="39"/>
        <v>52.434557099704193</v>
      </c>
      <c r="CB58" s="20">
        <f t="shared" si="10"/>
        <v>461.05288028198476</v>
      </c>
      <c r="CC58" s="59">
        <f t="shared" si="11"/>
        <v>744.58316781651672</v>
      </c>
      <c r="CD58" s="59">
        <f ca="1">AVERAGE(OFFSET($CC$3,0,0,'Données projet'!$E$12+1,1))-AVERAGE(OFFSET($H$3,0,0,'Données projet'!$E$12+1,1))</f>
        <v>449.94334483948603</v>
      </c>
      <c r="CE58" s="59">
        <f t="shared" si="40"/>
        <v>318.02929110264176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1.3667860126251863</v>
      </c>
      <c r="CL58" s="21">
        <f>EXP(-LN(2)/25)*CL57+(1-EXP(-LN(2)/25))/(LN(2)/25)*Calculateur!CG58*Calculateur!CI58*VLOOKUP('Données projet'!$B$12,Paramètres!$A$1:$I$89,3,0)*0.475*44/12</f>
        <v>5.2523464967890243</v>
      </c>
      <c r="CM58" s="21">
        <f>EXP(-LN(2)/2)*CM57+(1-EXP(-LN(2)/2))/(LN(2)/2)*CG58*CJ58*VLOOKUP('Données projet'!$B$12,Paramètres!$A$1:$I$89,3,0)*0.475*44/12</f>
        <v>3.4642189683336184E-3</v>
      </c>
      <c r="CN58" s="22">
        <f t="shared" si="12"/>
        <v>6.6225967283825442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67.326442054872359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10.9</v>
      </c>
      <c r="CT58" s="12">
        <f>IF('Données projet'!$A$140&gt;35,CT57+CS58-DB57,IF(A58&lt;'Données projet'!$A$140,$CQ$205^A58,IF(A58='Données projet'!$A$140,'Données projet'!$B$140,CT57+CS58-DB57)))</f>
        <v>243.50000000000009</v>
      </c>
      <c r="CU58" s="17">
        <f>CT58*VLOOKUP('Données projet'!$B$13,Paramètres!$A$1:$I$89,3,0)*VLOOKUP('Données projet'!$B$13,Paramètres!$A$1:$I$89,5,0)</f>
        <v>208.92300000000012</v>
      </c>
      <c r="CV58" s="13">
        <f t="shared" si="41"/>
        <v>51.700163718523761</v>
      </c>
      <c r="CW58" s="20">
        <f t="shared" si="13"/>
        <v>453.91867680976242</v>
      </c>
      <c r="CX58" s="59">
        <f t="shared" si="14"/>
        <v>737.44896434429438</v>
      </c>
      <c r="CY58" s="59">
        <f ca="1">AVERAGE(OFFSET($CX$3,0,0,'Données projet'!$E$13+1,1))-AVERAGE(OFFSET($H$3,0,0,'Données projet'!$E$13+1,1))</f>
        <v>565.32667500225568</v>
      </c>
      <c r="CZ58" s="59">
        <f t="shared" si="42"/>
        <v>275.06957234480944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0</v>
      </c>
      <c r="DG58" s="21">
        <f>EXP(-LN(2)/25)*DG57+(1-EXP(-LN(2)/25))/(LN(2)/25)*Calculateur!DB58*Calculateur!DD58*VLOOKUP('Données projet'!$B$13,Paramètres!$A$1:$I$89,3,0)*0.475*44/12</f>
        <v>2.1906599428164344</v>
      </c>
      <c r="DH58" s="21">
        <f>EXP(-LN(2)/2)*DH57+(1-EXP(-LN(2)/2))/(LN(2)/2)*DB58*DE58*VLOOKUP('Données projet'!$B$13,Paramètres!$A$1:$I$89,3,0)*0.475*44/12</f>
        <v>1.2228542245404791E-3</v>
      </c>
      <c r="DI58" s="22">
        <f t="shared" si="15"/>
        <v>2.1918827970409747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67.326442054872359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19.3</v>
      </c>
      <c r="DO58" s="12">
        <f>IF('Données projet'!$A$166&gt;35,DO57+DN58-DW57,IF(A58&lt;'Données projet'!$A$166,$DL$205^A58,IF(A58='Données projet'!$A$166,'Données projet'!$B$166,DO57+DN58-DW57)))</f>
        <v>582.49999999999966</v>
      </c>
      <c r="DP58" s="17">
        <f>DO58*VLOOKUP('Données projet'!$B$14,Paramètres!$A$1:$I$89,3,0)*VLOOKUP('Données projet'!$B$14,Paramètres!$A$1:$I$89,5,0)</f>
        <v>325.61749999999984</v>
      </c>
      <c r="DQ58" s="13">
        <f t="shared" si="43"/>
        <v>76.520997341690872</v>
      </c>
      <c r="DR58" s="20">
        <f t="shared" si="16"/>
        <v>700.39121620344451</v>
      </c>
      <c r="DS58" s="59">
        <f t="shared" si="17"/>
        <v>983.92150373797654</v>
      </c>
      <c r="DT58" s="59">
        <f ca="1">AVERAGE(OFFSET($DS$3,0,0,'Données projet'!$E$14+1,1))-AVERAGE(OFFSET($H$3,0,0,'Données projet'!$E$14+1,1))</f>
        <v>532.64469322244281</v>
      </c>
      <c r="DU58" s="59">
        <f t="shared" si="44"/>
        <v>525.88014011096413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6.9604843235541898</v>
      </c>
      <c r="EB58" s="21">
        <f>EXP(-LN(2)/25)*EB57+(1-EXP(-LN(2)/25))/(LN(2)/25)*Calculateur!DW58*Calculateur!DY58*VLOOKUP('Données projet'!$B$14,Paramètres!$A$1:$I$89,3,0)*0.475*44/12</f>
        <v>19.379705052540892</v>
      </c>
      <c r="EC58" s="21">
        <f>EXP(-LN(2)/2)*EC57+(1-EXP(-LN(2)/2))/(LN(2)/2)*DW58*DZ58*VLOOKUP('Données projet'!$B$14,Paramètres!$A$1:$I$89,3,0)*0.475*44/12</f>
        <v>6.296269946250886E-3</v>
      </c>
      <c r="ED58" s="22">
        <f t="shared" si="18"/>
        <v>26.346485646041334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67.326442054872359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7.8</v>
      </c>
      <c r="EJ58" s="12">
        <f>IF('Données projet'!$A$192&gt;35,EJ57+EI58-ER57,IF(A58&lt;'Données projet'!$A$192,$EG$205^A58,IF(A58='Données projet'!$A$192,'Données projet'!$B$192,EJ57+EI58-ER57)))</f>
        <v>196.00000000000011</v>
      </c>
      <c r="EK58" s="17">
        <f>EJ58*VLOOKUP('Données projet'!$B$15,Paramètres!$A$1:$I$89,3,0)*VLOOKUP('Données projet'!$B$15,Paramètres!$A$1:$I$89,5,0)</f>
        <v>177.34080000000012</v>
      </c>
      <c r="EL58" s="13">
        <f t="shared" si="45"/>
        <v>44.730051658603102</v>
      </c>
      <c r="EM58" s="20">
        <f t="shared" si="19"/>
        <v>386.77339997206718</v>
      </c>
      <c r="EN58" s="59">
        <f t="shared" si="20"/>
        <v>670.30368750659909</v>
      </c>
      <c r="EO58" s="59">
        <f ca="1">AVERAGE(OFFSET($EN$3,0,0,'Données projet'!$E$15+1,1))-AVERAGE(OFFSET($H$3,0,0,'Données projet'!$E$15+1,1))</f>
        <v>398.27843768730202</v>
      </c>
      <c r="EP58" s="59">
        <f t="shared" si="46"/>
        <v>252.3617347568813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0</v>
      </c>
      <c r="EW58" s="21">
        <f>EXP(-LN(2)/25)*EW57+(1-EXP(-LN(2)/25))/(LN(2)/25)*Calculateur!ER58*Calculateur!ET58*VLOOKUP('Données projet'!$B$15,Paramètres!$A$1:$I$89,3,0)*0.475*44/12</f>
        <v>1.552969086244955</v>
      </c>
      <c r="EX58" s="21">
        <f>EXP(-LN(2)/2)*EX57+(1-EXP(-LN(2)/2))/(LN(2)/2)*ER58*EU58*VLOOKUP('Données projet'!$B$15,Paramètres!$A$1:$I$89,3,0)*0.475*44/12</f>
        <v>1.0684887302218626E-3</v>
      </c>
      <c r="EY58" s="22">
        <f t="shared" si="21"/>
        <v>1.5540375749751769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67.326442054872359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7.8</v>
      </c>
      <c r="FE58" s="12">
        <f>IF('Données projet'!$A$218&gt;35,FE57+FD58-FM57,IF(A58&lt;'Données projet'!$A$218,$FB$205^A58,IF(A58='Données projet'!$A$218,'Données projet'!$B$218,FE57+FD58-FM57)))</f>
        <v>196.00000000000011</v>
      </c>
      <c r="FF58" s="17">
        <f>FE58*VLOOKUP('Données projet'!$B$16,Paramètres!$A$1:$I$89,3,0)*VLOOKUP('Données projet'!$B$16,Paramètres!$A$1:$I$89,5,0)</f>
        <v>189.57120000000012</v>
      </c>
      <c r="FG58" s="13">
        <f t="shared" si="47"/>
        <v>47.445138796932483</v>
      </c>
      <c r="FH58" s="20">
        <f t="shared" si="22"/>
        <v>412.80345673799087</v>
      </c>
      <c r="FI58" s="59">
        <f t="shared" si="23"/>
        <v>696.33374427252284</v>
      </c>
      <c r="FJ58" s="59">
        <f ca="1">AVERAGE(OFFSET($FI$3,0,0,'Données projet'!$E$16+1,1))-AVERAGE(OFFSET($H$3,0,0,'Données projet'!$E$16+1,1))</f>
        <v>422.28024471365825</v>
      </c>
      <c r="FK58" s="59">
        <f t="shared" si="48"/>
        <v>266.49730479813206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>
        <f>EXP(-LN(2)/35)*FQ57+(1-EXP(-LN(2)/35))/(LN(2)/35)*FM58*FN58*VLOOKUP('Données projet'!$B$16,Paramètres!$A$1:$I$89,3,0)*0.475*44/12</f>
        <v>0</v>
      </c>
      <c r="FR58" s="21">
        <f>EXP(-LN(2)/25)*FR57+(1-EXP(-LN(2)/25))/(LN(2)/25)*Calculateur!FM58*Calculateur!FO58*VLOOKUP('Données projet'!$B$16,Paramètres!$A$1:$I$89,3,0)*0.475*44/12</f>
        <v>1.6600704025377104</v>
      </c>
      <c r="FS58" s="21">
        <f>EXP(-LN(2)/2)*FS57+(1-EXP(-LN(2)/2))/(LN(2)/2)*FM58*FP58*VLOOKUP('Données projet'!$B$16,Paramètres!$A$1:$I$89,3,0)*0.475*44/12</f>
        <v>1.1421776081681977E-3</v>
      </c>
      <c r="FT58" s="22">
        <f t="shared" si="24"/>
        <v>1.6612125801458786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67.326442054872359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>
        <f>VLOOKUP(A58,'Données projet'!$A$243:$I$263,2,0)</f>
        <v>283</v>
      </c>
      <c r="FX58" s="12">
        <f>VLOOKUP(A58,'Données projet'!$A$243:$I$263,9,0)</f>
        <v>8.1</v>
      </c>
      <c r="FY58" s="12">
        <f t="array" ref="FY58">INDEX(FX:FX,MIN(IF(ISNUMBER(FX58:FX254),ROW(FX58:FX254),"")))</f>
        <v>8.1</v>
      </c>
      <c r="FZ58" s="12">
        <f>IF('Données projet'!$A$244&gt;35,FZ57+FY58-GH57,IF(A58&lt;'Données projet'!$A$244,$FW$205^A58,IF(A58='Données projet'!$A$244,'Données projet'!$B$244,FZ57+FY58-GH57)))</f>
        <v>283.00000000000011</v>
      </c>
      <c r="GA58" s="17">
        <f>FZ58*VLOOKUP('Données projet'!$B$17,Paramètres!$A$1:$I$89,3,0)*VLOOKUP('Données projet'!$B$17,Paramètres!$A$1:$I$89,5,0)</f>
        <v>220.74000000000009</v>
      </c>
      <c r="GB58" s="13">
        <f t="shared" si="49"/>
        <v>54.275689618029304</v>
      </c>
      <c r="GC58" s="20">
        <f t="shared" si="25"/>
        <v>478.98565941806783</v>
      </c>
      <c r="GD58" s="59">
        <f t="shared" si="26"/>
        <v>762.51594695259973</v>
      </c>
      <c r="GE58" s="59">
        <f ca="1">AVERAGE(OFFSET($GD$3,0,0,'Données projet'!$E$17+1,1))-AVERAGE(OFFSET($H$3,0,0,'Données projet'!$E$17+1,1))</f>
        <v>300.95722646933314</v>
      </c>
      <c r="GF58" s="59">
        <f t="shared" si="50"/>
        <v>269.52365224623759</v>
      </c>
      <c r="GG58" s="15">
        <f>IF(ISNA(VLOOKUP(A58,'Données projet'!$A$243:$I$263,3,0)),0,VLOOKUP(A58,'Données projet'!$A$243:$I$263,3,0))</f>
        <v>5</v>
      </c>
      <c r="GH58" s="15">
        <f>IF(ISNA(VLOOKUP(A58,'Données projet'!$A$243:$I$263,4,0)),0,VLOOKUP(A58,'Données projet'!$A$243:$I$263,4,0))</f>
        <v>60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>
        <f>EXP(-LN(2)/35)*GL57+(1-EXP(-LN(2)/35))/(LN(2)/35)*GH58*GI58*VLOOKUP('Données projet'!$B$17,Paramètres!$A$1:$I$89,3,0)*0.475*44/12</f>
        <v>0.54237540183539135</v>
      </c>
      <c r="GM58" s="21">
        <f>EXP(-LN(2)/25)*GM57+(1-EXP(-LN(2)/25))/(LN(2)/25)*Calculateur!GH58*Calculateur!GJ58*VLOOKUP('Données projet'!$B$17,Paramètres!$A$1:$I$89,3,0)*0.475*44/12</f>
        <v>3.1195758526907968</v>
      </c>
      <c r="GN58" s="21">
        <f>EXP(-LN(2)/2)*GN57+(1-EXP(-LN(2)/2))/(LN(2)/2)*GH58*GK58*VLOOKUP('Données projet'!$B$17,Paramètres!$A$1:$I$89,3,0)*0.475*44/12</f>
        <v>1.5293538208357143E-3</v>
      </c>
      <c r="GO58" s="21">
        <f t="shared" si="27"/>
        <v>3.6634806083470242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67.326442054872359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1.4000000000000001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5.1333333333333337</v>
      </c>
      <c r="H59" s="67">
        <f t="shared" si="1"/>
        <v>236.13333333333335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67.372822308040199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9.8000000000000007</v>
      </c>
      <c r="N59" s="13">
        <f>IF('Données projet'!$A$36&gt;35,N58+M59-V58,IF(A59&lt;'Données projet'!$A$36,$K$205^A59,IF(A59='Données projet'!$A$36,'Données projet'!$B$36,N58+M59-V58)))</f>
        <v>261.79999999999995</v>
      </c>
      <c r="O59" s="13">
        <f>N59*VLOOKUP('Données projet'!$B$9,Paramètres!$A$1:$I$89,3,0)*VLOOKUP('Données projet'!$B$9,Paramètres!$A$1:$I$89,5,0)</f>
        <v>236.87663999999995</v>
      </c>
      <c r="P59" s="13">
        <f t="shared" si="33"/>
        <v>57.767012893614115</v>
      </c>
      <c r="Q59" s="20">
        <f t="shared" si="53"/>
        <v>513.17102878971104</v>
      </c>
      <c r="R59" s="59">
        <f t="shared" si="0"/>
        <v>796.87137725252512</v>
      </c>
      <c r="S59" s="59">
        <f ca="1">AVERAGE(OFFSET($R$3,0,0,'Données projet'!$E$9+1,1))-AVERAGE(OFFSET($H$3,0,0,'Données projet'!$E$9+1,1))</f>
        <v>479.46542424895119</v>
      </c>
      <c r="T59" s="59">
        <f t="shared" si="34"/>
        <v>337.96395820277337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1.4392422594321463</v>
      </c>
      <c r="AA59" s="21">
        <f>EXP(-LN(2)/25)*AA58+(1-EXP(-LN(2)/25))/(LN(2)/25)*Calculateur!V59*Calculateur!X59*VLOOKUP('Données projet'!$B$9,Paramètres!$A$1:$I$89,3,0)*0.475*44/12</f>
        <v>5.4871445690050891</v>
      </c>
      <c r="AB59" s="21">
        <f>EXP(-LN(2)/2)*AB58+(1-EXP(-LN(2)/2))/(LN(2)/2)*V59*Y59*VLOOKUP('Données projet'!$B$9,Paramètres!$A$1:$I$89,3,0)*0.475*44/12</f>
        <v>2.6310225554329368E-3</v>
      </c>
      <c r="AC59" s="22">
        <f t="shared" si="3"/>
        <v>6.9290178509926683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67.372822308040199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9.8000000000000007</v>
      </c>
      <c r="AI59" s="13">
        <f>IF('Données projet'!$A$62&gt;35,AI58+AH59-AQ58,IF(A59&lt;'Données projet'!$A$62,$AF$205^A59,IF(A59='Données projet'!$A$62,'Données projet'!$B$62,AI58+AH59-AQ58)))</f>
        <v>261.79999999999995</v>
      </c>
      <c r="AJ59" s="13">
        <f>AI59*VLOOKUP('Données projet'!$B$10,Paramètres!$A$1:$I$89,3,0)*VLOOKUP('Données projet'!$B$10,Paramètres!$A$1:$I$89,5,0)</f>
        <v>253.21295999999998</v>
      </c>
      <c r="AK59" s="13">
        <f t="shared" si="35"/>
        <v>61.273435710297598</v>
      </c>
      <c r="AL59" s="20">
        <f t="shared" si="4"/>
        <v>547.73047252876825</v>
      </c>
      <c r="AM59" s="59">
        <f t="shared" si="5"/>
        <v>831.43082099158232</v>
      </c>
      <c r="AN59" s="59">
        <f ca="1">AVERAGE(OFFSET($AM$3,0,0,'Données projet'!$E$10+1,1))-AVERAGE(OFFSET($H$3,0,0,'Données projet'!$E$10+1,1))</f>
        <v>508.94560627895089</v>
      </c>
      <c r="AO59" s="59">
        <f t="shared" si="36"/>
        <v>357.86868650263034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1.5385003462895364</v>
      </c>
      <c r="AV59" s="21">
        <f>EXP(-LN(2)/25)*AV58+(1-EXP(-LN(2)/25))/(LN(2)/25)*Calculateur!AQ59*Calculateur!AS59*VLOOKUP('Données projet'!$B$10,Paramètres!$A$1:$I$89,3,0)*0.475*44/12</f>
        <v>5.8655683323847523</v>
      </c>
      <c r="AW59" s="21">
        <f>EXP(-LN(2)/2)*AW58+(1-EXP(-LN(2)/2))/(LN(2)/2)*AQ59*AT59*VLOOKUP('Données projet'!$B$10,Paramètres!$A$1:$I$89,3,0)*0.475*44/12</f>
        <v>2.8124723868421003E-3</v>
      </c>
      <c r="AX59" s="21">
        <f t="shared" si="6"/>
        <v>7.406881151061131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67.372822308040199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9.6999999999999993</v>
      </c>
      <c r="BD59" s="12">
        <f>IF('Données projet'!$A$88&gt;35,BD58+BC59-BL58,IF(A59&lt;'Données projet'!$A$88,$BA$205^A59,IF(A59='Données projet'!$A$88,'Données projet'!$B$88,BD58+BC59-BL58)))</f>
        <v>306.2</v>
      </c>
      <c r="BE59" s="13">
        <f>BD59*VLOOKUP('Données projet'!$B$11,Paramètres!$A$1:$I$89,3,0)*VLOOKUP('Données projet'!$B$11,Paramètres!$A$1:$I$89,5,0)</f>
        <v>238.83600000000001</v>
      </c>
      <c r="BF59" s="13">
        <f t="shared" si="37"/>
        <v>58.189019392222875</v>
      </c>
      <c r="BG59" s="20">
        <f t="shared" si="7"/>
        <v>517.31857544145475</v>
      </c>
      <c r="BH59" s="59">
        <f t="shared" si="8"/>
        <v>801.01892390426883</v>
      </c>
      <c r="BI59" s="59">
        <f ca="1">AVERAGE(OFFSET($BH$3,0,0,'Données projet'!$E$11+1,1))-AVERAGE(OFFSET($H$3,0,0,'Données projet'!$E$11+1,1))</f>
        <v>383.03154033422328</v>
      </c>
      <c r="BJ59" s="59">
        <f t="shared" si="38"/>
        <v>373.27897156169877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0.86407709541030964</v>
      </c>
      <c r="BQ59" s="21">
        <f>EXP(-LN(2)/25)*BQ58+(1-EXP(-LN(2)/25))/(LN(2)/25)*Calculateur!BL59*Calculateur!BN59*VLOOKUP('Données projet'!$B$11,Paramètres!$A$1:$I$89,3,0)*0.475*44/12</f>
        <v>4.0709123414669506</v>
      </c>
      <c r="BR59" s="21">
        <f>EXP(-LN(2)/2)*BR58+(1-EXP(-LN(2)/2))/(LN(2)/2)*BL59*BO59*VLOOKUP('Données projet'!$B$11,Paramètres!$A$1:$I$89,3,0)*0.475*44/12</f>
        <v>1.595602978113017E-3</v>
      </c>
      <c r="BS59" s="22">
        <f t="shared" si="9"/>
        <v>4.9365850398553732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67.372822308040199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9.8000000000000007</v>
      </c>
      <c r="BY59" s="12">
        <f>IF('Données projet'!$A$114&gt;35,BY58+BX59-CG58,IF(A59&lt;'Données projet'!$A$114,$BV$205^A59,IF(A59='Données projet'!$A$114,'Données projet'!$B$114,BY58+BX59-CG58)))</f>
        <v>261.79999999999995</v>
      </c>
      <c r="BZ59" s="13">
        <f>BY59*VLOOKUP('Données projet'!$B$12,Paramètres!$A$1:$I$89,3,0)*VLOOKUP('Données projet'!$B$12,Paramètres!$A$1:$I$89,5,0)</f>
        <v>220.54031999999998</v>
      </c>
      <c r="CA59" s="13">
        <f t="shared" si="39"/>
        <v>54.232304832110685</v>
      </c>
      <c r="CB59" s="20">
        <f t="shared" si="10"/>
        <v>478.56232158259263</v>
      </c>
      <c r="CC59" s="59">
        <f t="shared" si="11"/>
        <v>762.26267004540671</v>
      </c>
      <c r="CD59" s="59">
        <f ca="1">AVERAGE(OFFSET($CC$3,0,0,'Données projet'!$E$12+1,1))-AVERAGE(OFFSET($H$3,0,0,'Données projet'!$E$12+1,1))</f>
        <v>449.94334483948603</v>
      </c>
      <c r="CE59" s="59">
        <f t="shared" si="40"/>
        <v>318.02929110264176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1.3399841725747572</v>
      </c>
      <c r="CL59" s="21">
        <f>EXP(-LN(2)/25)*CL58+(1-EXP(-LN(2)/25))/(LN(2)/25)*Calculateur!CG59*Calculateur!CI59*VLOOKUP('Données projet'!$B$12,Paramètres!$A$1:$I$89,3,0)*0.475*44/12</f>
        <v>5.1087208056254303</v>
      </c>
      <c r="CM59" s="21">
        <f>EXP(-LN(2)/2)*CM58+(1-EXP(-LN(2)/2))/(LN(2)/2)*CG59*CJ59*VLOOKUP('Données projet'!$B$12,Paramètres!$A$1:$I$89,3,0)*0.475*44/12</f>
        <v>2.4495727240237673E-3</v>
      </c>
      <c r="CN59" s="22">
        <f t="shared" si="12"/>
        <v>6.4511545509242119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67.372822308040199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10.9</v>
      </c>
      <c r="CT59" s="12">
        <f>IF('Données projet'!$A$140&gt;35,CT58+CS59-DB58,IF(A59&lt;'Données projet'!$A$140,$CQ$205^A59,IF(A59='Données projet'!$A$140,'Données projet'!$B$140,CT58+CS59-DB58)))</f>
        <v>254.40000000000009</v>
      </c>
      <c r="CU59" s="17">
        <f>CT59*VLOOKUP('Données projet'!$B$13,Paramètres!$A$1:$I$89,3,0)*VLOOKUP('Données projet'!$B$13,Paramètres!$A$1:$I$89,5,0)</f>
        <v>218.27520000000013</v>
      </c>
      <c r="CV59" s="13">
        <f t="shared" si="41"/>
        <v>53.739837409603567</v>
      </c>
      <c r="CW59" s="20">
        <f t="shared" si="13"/>
        <v>473.75952348839297</v>
      </c>
      <c r="CX59" s="59">
        <f t="shared" si="14"/>
        <v>757.45987195120711</v>
      </c>
      <c r="CY59" s="59">
        <f ca="1">AVERAGE(OFFSET($CX$3,0,0,'Données projet'!$E$13+1,1))-AVERAGE(OFFSET($H$3,0,0,'Données projet'!$E$13+1,1))</f>
        <v>565.32667500225568</v>
      </c>
      <c r="CZ59" s="59">
        <f t="shared" si="42"/>
        <v>275.06957234480944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0</v>
      </c>
      <c r="DG59" s="21">
        <f>EXP(-LN(2)/25)*DG58+(1-EXP(-LN(2)/25))/(LN(2)/25)*Calculateur!DB59*Calculateur!DD59*VLOOKUP('Données projet'!$B$13,Paramètres!$A$1:$I$89,3,0)*0.475*44/12</f>
        <v>2.1307562314783195</v>
      </c>
      <c r="DH59" s="21">
        <f>EXP(-LN(2)/2)*DH58+(1-EXP(-LN(2)/2))/(LN(2)/2)*DB59*DE59*VLOOKUP('Données projet'!$B$13,Paramètres!$A$1:$I$89,3,0)*0.475*44/12</f>
        <v>8.6468851457518982E-4</v>
      </c>
      <c r="DI59" s="22">
        <f t="shared" si="15"/>
        <v>2.1316209199928946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67.372822308040199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19.3</v>
      </c>
      <c r="DO59" s="12">
        <f>IF('Données projet'!$A$166&gt;35,DO58+DN59-DW58,IF(A59&lt;'Données projet'!$A$166,$DL$205^A59,IF(A59='Données projet'!$A$166,'Données projet'!$B$166,DO58+DN59-DW58)))</f>
        <v>601.79999999999961</v>
      </c>
      <c r="DP59" s="17">
        <f>DO59*VLOOKUP('Données projet'!$B$14,Paramètres!$A$1:$I$89,3,0)*VLOOKUP('Données projet'!$B$14,Paramètres!$A$1:$I$89,5,0)</f>
        <v>336.40619999999979</v>
      </c>
      <c r="DQ59" s="13">
        <f t="shared" si="43"/>
        <v>78.756986013586328</v>
      </c>
      <c r="DR59" s="20">
        <f t="shared" si="16"/>
        <v>723.07588230699582</v>
      </c>
      <c r="DS59" s="59">
        <f t="shared" si="17"/>
        <v>1006.7762307698099</v>
      </c>
      <c r="DT59" s="59">
        <f ca="1">AVERAGE(OFFSET($DS$3,0,0,'Données projet'!$E$14+1,1))-AVERAGE(OFFSET($H$3,0,0,'Données projet'!$E$14+1,1))</f>
        <v>532.64469322244281</v>
      </c>
      <c r="DU59" s="59">
        <f t="shared" si="44"/>
        <v>525.88014011096413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6.8239934714455233</v>
      </c>
      <c r="EB59" s="21">
        <f>EXP(-LN(2)/25)*EB58+(1-EXP(-LN(2)/25))/(LN(2)/25)*Calculateur!DW59*Calculateur!DY59*VLOOKUP('Données projet'!$B$14,Paramètres!$A$1:$I$89,3,0)*0.475*44/12</f>
        <v>18.849765998744765</v>
      </c>
      <c r="EC59" s="21">
        <f>EXP(-LN(2)/2)*EC58+(1-EXP(-LN(2)/2))/(LN(2)/2)*DW59*DZ59*VLOOKUP('Données projet'!$B$14,Paramètres!$A$1:$I$89,3,0)*0.475*44/12</f>
        <v>4.4521351751750605E-3</v>
      </c>
      <c r="ED59" s="22">
        <f t="shared" si="18"/>
        <v>25.678211605365462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67.372822308040199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7.8</v>
      </c>
      <c r="EJ59" s="12">
        <f>IF('Données projet'!$A$192&gt;35,EJ58+EI59-ER58,IF(A59&lt;'Données projet'!$A$192,$EG$205^A59,IF(A59='Données projet'!$A$192,'Données projet'!$B$192,EJ58+EI59-ER58)))</f>
        <v>203.80000000000013</v>
      </c>
      <c r="EK59" s="17">
        <f>EJ59*VLOOKUP('Données projet'!$B$15,Paramètres!$A$1:$I$89,3,0)*VLOOKUP('Données projet'!$B$15,Paramètres!$A$1:$I$89,5,0)</f>
        <v>184.3982400000001</v>
      </c>
      <c r="EL59" s="13">
        <f t="shared" si="45"/>
        <v>46.299334464645959</v>
      </c>
      <c r="EM59" s="20">
        <f t="shared" si="19"/>
        <v>401.79827552592519</v>
      </c>
      <c r="EN59" s="59">
        <f t="shared" si="20"/>
        <v>685.49862398873927</v>
      </c>
      <c r="EO59" s="59">
        <f ca="1">AVERAGE(OFFSET($EN$3,0,0,'Données projet'!$E$15+1,1))-AVERAGE(OFFSET($H$3,0,0,'Données projet'!$E$15+1,1))</f>
        <v>398.27843768730202</v>
      </c>
      <c r="EP59" s="59">
        <f t="shared" si="46"/>
        <v>252.3617347568813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0</v>
      </c>
      <c r="EW59" s="21">
        <f>EXP(-LN(2)/25)*EW58+(1-EXP(-LN(2)/25))/(LN(2)/25)*Calculateur!ER59*Calculateur!ET59*VLOOKUP('Données projet'!$B$15,Paramètres!$A$1:$I$89,3,0)*0.475*44/12</f>
        <v>1.5105030649144917</v>
      </c>
      <c r="EX59" s="21">
        <f>EXP(-LN(2)/2)*EX58+(1-EXP(-LN(2)/2))/(LN(2)/2)*ER59*EU59*VLOOKUP('Données projet'!$B$15,Paramètres!$A$1:$I$89,3,0)*0.475*44/12</f>
        <v>7.5553562676128263E-4</v>
      </c>
      <c r="EY59" s="22">
        <f t="shared" si="21"/>
        <v>1.5112586005412529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67.372822308040199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7.8</v>
      </c>
      <c r="FE59" s="12">
        <f>IF('Données projet'!$A$218&gt;35,FE58+FD59-FM58,IF(A59&lt;'Données projet'!$A$218,$FB$205^A59,IF(A59='Données projet'!$A$218,'Données projet'!$B$218,FE58+FD59-FM58)))</f>
        <v>203.80000000000013</v>
      </c>
      <c r="FF59" s="17">
        <f>FE59*VLOOKUP('Données projet'!$B$16,Paramètres!$A$1:$I$89,3,0)*VLOOKUP('Données projet'!$B$16,Paramètres!$A$1:$I$89,5,0)</f>
        <v>197.11536000000012</v>
      </c>
      <c r="FG59" s="13">
        <f t="shared" si="47"/>
        <v>49.109676122143078</v>
      </c>
      <c r="FH59" s="20">
        <f t="shared" si="22"/>
        <v>428.8419379127327</v>
      </c>
      <c r="FI59" s="59">
        <f t="shared" si="23"/>
        <v>712.54228637554684</v>
      </c>
      <c r="FJ59" s="59">
        <f ca="1">AVERAGE(OFFSET($FI$3,0,0,'Données projet'!$E$16+1,1))-AVERAGE(OFFSET($H$3,0,0,'Données projet'!$E$16+1,1))</f>
        <v>422.28024471365825</v>
      </c>
      <c r="FK59" s="59">
        <f t="shared" si="48"/>
        <v>266.49730479813206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0</v>
      </c>
      <c r="FR59" s="21">
        <f>EXP(-LN(2)/25)*FR58+(1-EXP(-LN(2)/25))/(LN(2)/25)*Calculateur!FM59*Calculateur!FO59*VLOOKUP('Données projet'!$B$16,Paramètres!$A$1:$I$89,3,0)*0.475*44/12</f>
        <v>1.6146756900810084</v>
      </c>
      <c r="FS59" s="21">
        <f>EXP(-LN(2)/2)*FS58+(1-EXP(-LN(2)/2))/(LN(2)/2)*FM59*FP59*VLOOKUP('Données projet'!$B$16,Paramètres!$A$1:$I$89,3,0)*0.475*44/12</f>
        <v>8.0764153205516403E-4</v>
      </c>
      <c r="FT59" s="22">
        <f t="shared" si="24"/>
        <v>1.6154833316130637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67.372822308040199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8</v>
      </c>
      <c r="FZ59" s="12">
        <f>IF('Données projet'!$A$244&gt;35,FZ58+FY59-GH58,IF(A59&lt;'Données projet'!$A$244,$FW$205^A59,IF(A59='Données projet'!$A$244,'Données projet'!$B$244,FZ58+FY59-GH58)))</f>
        <v>231.00000000000011</v>
      </c>
      <c r="GA59" s="17">
        <f>FZ59*VLOOKUP('Données projet'!$B$17,Paramètres!$A$1:$I$89,3,0)*VLOOKUP('Données projet'!$B$17,Paramètres!$A$1:$I$89,5,0)</f>
        <v>180.18000000000009</v>
      </c>
      <c r="GB59" s="13">
        <f t="shared" si="49"/>
        <v>45.362230520410691</v>
      </c>
      <c r="GC59" s="20">
        <f t="shared" si="25"/>
        <v>392.81938482304878</v>
      </c>
      <c r="GD59" s="59">
        <f t="shared" si="26"/>
        <v>676.51973328586291</v>
      </c>
      <c r="GE59" s="59">
        <f ca="1">AVERAGE(OFFSET($GD$3,0,0,'Données projet'!$E$17+1,1))-AVERAGE(OFFSET($H$3,0,0,'Données projet'!$E$17+1,1))</f>
        <v>300.95722646933314</v>
      </c>
      <c r="GF59" s="59">
        <f t="shared" si="50"/>
        <v>269.52365224623759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>
        <f>EXP(-LN(2)/35)*GL58+(1-EXP(-LN(2)/35))/(LN(2)/35)*GH59*GI59*VLOOKUP('Données projet'!$B$17,Paramètres!$A$1:$I$89,3,0)*0.475*44/12</f>
        <v>0.53173975102172899</v>
      </c>
      <c r="GM59" s="21">
        <f>EXP(-LN(2)/25)*GM58+(1-EXP(-LN(2)/25))/(LN(2)/25)*Calculateur!GH59*Calculateur!GJ59*VLOOKUP('Données projet'!$B$17,Paramètres!$A$1:$I$89,3,0)*0.475*44/12</f>
        <v>3.0342708869476027</v>
      </c>
      <c r="GN59" s="21">
        <f>EXP(-LN(2)/2)*GN58+(1-EXP(-LN(2)/2))/(LN(2)/2)*GH59*GK59*VLOOKUP('Données projet'!$B$17,Paramètres!$A$1:$I$89,3,0)*0.475*44/12</f>
        <v>1.0814164575464898E-3</v>
      </c>
      <c r="GO59" s="21">
        <f t="shared" si="27"/>
        <v>3.5670920544268783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67.372822308040199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1.4000000000000001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5.1333333333333337</v>
      </c>
      <c r="H60" s="67">
        <f t="shared" si="1"/>
        <v>236.13333333333335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67.418397967506294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9.8000000000000007</v>
      </c>
      <c r="N60" s="13">
        <f>IF('Données projet'!$A$36&gt;35,N59+M60-V59,IF(A60&lt;'Données projet'!$A$36,$K$205^A60,IF(A60='Données projet'!$A$36,'Données projet'!$B$36,N59+M60-V59)))</f>
        <v>271.59999999999997</v>
      </c>
      <c r="O60" s="13">
        <f>N60*VLOOKUP('Données projet'!$B$9,Paramètres!$A$1:$I$89,3,0)*VLOOKUP('Données projet'!$B$9,Paramètres!$A$1:$I$89,5,0)</f>
        <v>245.74367999999996</v>
      </c>
      <c r="P60" s="13">
        <f t="shared" si="33"/>
        <v>59.673605104126452</v>
      </c>
      <c r="Q60" s="20">
        <f t="shared" si="53"/>
        <v>531.93510488968684</v>
      </c>
      <c r="R60" s="59">
        <f t="shared" si="0"/>
        <v>815.80256410387665</v>
      </c>
      <c r="S60" s="59">
        <f ca="1">AVERAGE(OFFSET($R$3,0,0,'Données projet'!$E$9+1,1))-AVERAGE(OFFSET($H$3,0,0,'Données projet'!$E$9+1,1))</f>
        <v>479.46542424895119</v>
      </c>
      <c r="T60" s="59">
        <f t="shared" si="34"/>
        <v>337.96395820277337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1.4110195965757797</v>
      </c>
      <c r="AA60" s="21">
        <f>EXP(-LN(2)/25)*AA59+(1-EXP(-LN(2)/25))/(LN(2)/25)*Calculateur!V60*Calculateur!X60*VLOOKUP('Données projet'!$B$9,Paramètres!$A$1:$I$89,3,0)*0.475*44/12</f>
        <v>5.3370983122092532</v>
      </c>
      <c r="AB60" s="21">
        <f>EXP(-LN(2)/2)*AB59+(1-EXP(-LN(2)/2))/(LN(2)/2)*V60*Y60*VLOOKUP('Données projet'!$B$9,Paramètres!$A$1:$I$89,3,0)*0.475*44/12</f>
        <v>1.8604138904013889E-3</v>
      </c>
      <c r="AC60" s="22">
        <f t="shared" si="3"/>
        <v>6.7499783226754344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67.418397967506294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9.8000000000000007</v>
      </c>
      <c r="AI60" s="13">
        <f>IF('Données projet'!$A$62&gt;35,AI59+AH60-AQ59,IF(A60&lt;'Données projet'!$A$62,$AF$205^A60,IF(A60='Données projet'!$A$62,'Données projet'!$B$62,AI59+AH60-AQ59)))</f>
        <v>271.59999999999997</v>
      </c>
      <c r="AJ60" s="13">
        <f>AI60*VLOOKUP('Données projet'!$B$10,Paramètres!$A$1:$I$89,3,0)*VLOOKUP('Données projet'!$B$10,Paramètres!$A$1:$I$89,5,0)</f>
        <v>262.69151999999997</v>
      </c>
      <c r="AK60" s="13">
        <f t="shared" si="35"/>
        <v>63.295756917241974</v>
      </c>
      <c r="AL60" s="20">
        <f t="shared" si="4"/>
        <v>567.76117396419647</v>
      </c>
      <c r="AM60" s="59">
        <f t="shared" si="5"/>
        <v>851.62863317838628</v>
      </c>
      <c r="AN60" s="59">
        <f ca="1">AVERAGE(OFFSET($AM$3,0,0,'Données projet'!$E$10+1,1))-AVERAGE(OFFSET($H$3,0,0,'Données projet'!$E$10+1,1))</f>
        <v>508.94560627895089</v>
      </c>
      <c r="AO60" s="59">
        <f t="shared" si="36"/>
        <v>357.86868650263034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1.5083312928913513</v>
      </c>
      <c r="AV60" s="21">
        <f>EXP(-LN(2)/25)*AV59+(1-EXP(-LN(2)/25))/(LN(2)/25)*Calculateur!AQ60*Calculateur!AS60*VLOOKUP('Données projet'!$B$10,Paramètres!$A$1:$I$89,3,0)*0.475*44/12</f>
        <v>5.7051740578788586</v>
      </c>
      <c r="AW60" s="21">
        <f>EXP(-LN(2)/2)*AW59+(1-EXP(-LN(2)/2))/(LN(2)/2)*AQ60*AT60*VLOOKUP('Données projet'!$B$10,Paramètres!$A$1:$I$89,3,0)*0.475*44/12</f>
        <v>1.9887182966359641E-3</v>
      </c>
      <c r="AX60" s="21">
        <f t="shared" si="6"/>
        <v>7.2154940690668461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67.418397967506294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9.6999999999999993</v>
      </c>
      <c r="BD60" s="12">
        <f>IF('Données projet'!$A$88&gt;35,BD59+BC60-BL59,IF(A60&lt;'Données projet'!$A$88,$BA$205^A60,IF(A60='Données projet'!$A$88,'Données projet'!$B$88,BD59+BC60-BL59)))</f>
        <v>315.89999999999998</v>
      </c>
      <c r="BE60" s="13">
        <f>BD60*VLOOKUP('Données projet'!$B$11,Paramètres!$A$1:$I$89,3,0)*VLOOKUP('Données projet'!$B$11,Paramètres!$A$1:$I$89,5,0)</f>
        <v>246.40199999999999</v>
      </c>
      <c r="BF60" s="13">
        <f t="shared" si="37"/>
        <v>59.814834475385474</v>
      </c>
      <c r="BG60" s="20">
        <f t="shared" si="7"/>
        <v>533.32765337796297</v>
      </c>
      <c r="BH60" s="59">
        <f t="shared" si="8"/>
        <v>817.19511259215278</v>
      </c>
      <c r="BI60" s="59">
        <f ca="1">AVERAGE(OFFSET($BH$3,0,0,'Données projet'!$E$11+1,1))-AVERAGE(OFFSET($H$3,0,0,'Données projet'!$E$11+1,1))</f>
        <v>383.03154033422328</v>
      </c>
      <c r="BJ60" s="59">
        <f t="shared" si="38"/>
        <v>373.27897156169877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0.84713307060430132</v>
      </c>
      <c r="BQ60" s="21">
        <f>EXP(-LN(2)/25)*BQ59+(1-EXP(-LN(2)/25))/(LN(2)/25)*Calculateur!BL60*Calculateur!BN60*VLOOKUP('Données projet'!$B$11,Paramètres!$A$1:$I$89,3,0)*0.475*44/12</f>
        <v>3.9595930294095609</v>
      </c>
      <c r="BR60" s="21">
        <f>EXP(-LN(2)/2)*BR59+(1-EXP(-LN(2)/2))/(LN(2)/2)*BL60*BO60*VLOOKUP('Données projet'!$B$11,Paramètres!$A$1:$I$89,3,0)*0.475*44/12</f>
        <v>1.1282616859051647E-3</v>
      </c>
      <c r="BS60" s="22">
        <f t="shared" si="9"/>
        <v>4.8078543616997678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67.418397967506294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9.8000000000000007</v>
      </c>
      <c r="BY60" s="12">
        <f>IF('Données projet'!$A$114&gt;35,BY59+BX60-CG59,IF(A60&lt;'Données projet'!$A$114,$BV$205^A60,IF(A60='Données projet'!$A$114,'Données projet'!$B$114,BY59+BX60-CG59)))</f>
        <v>271.59999999999997</v>
      </c>
      <c r="BZ60" s="13">
        <f>BY60*VLOOKUP('Données projet'!$B$12,Paramètres!$A$1:$I$89,3,0)*VLOOKUP('Données projet'!$B$12,Paramètres!$A$1:$I$89,5,0)</f>
        <v>228.79584</v>
      </c>
      <c r="CA60" s="13">
        <f t="shared" si="39"/>
        <v>56.022234495627458</v>
      </c>
      <c r="CB60" s="20">
        <f t="shared" si="10"/>
        <v>496.0581464132178</v>
      </c>
      <c r="CC60" s="59">
        <f t="shared" si="11"/>
        <v>779.92560562740755</v>
      </c>
      <c r="CD60" s="59">
        <f ca="1">AVERAGE(OFFSET($CC$3,0,0,'Données projet'!$E$12+1,1))-AVERAGE(OFFSET($H$3,0,0,'Données projet'!$E$12+1,1))</f>
        <v>449.94334483948603</v>
      </c>
      <c r="CE60" s="59">
        <f t="shared" si="40"/>
        <v>318.02929110264176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1.3137079002602088</v>
      </c>
      <c r="CL60" s="21">
        <f>EXP(-LN(2)/25)*CL59+(1-EXP(-LN(2)/25))/(LN(2)/25)*Calculateur!CG60*Calculateur!CI60*VLOOKUP('Données projet'!$B$12,Paramètres!$A$1:$I$89,3,0)*0.475*44/12</f>
        <v>4.9690225665396515</v>
      </c>
      <c r="CM60" s="21">
        <f>EXP(-LN(2)/2)*CM59+(1-EXP(-LN(2)/2))/(LN(2)/2)*CG60*CJ60*VLOOKUP('Données projet'!$B$12,Paramètres!$A$1:$I$89,3,0)*0.475*44/12</f>
        <v>1.7321094841668092E-3</v>
      </c>
      <c r="CN60" s="22">
        <f t="shared" si="12"/>
        <v>6.2844625762840272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67.418397967506294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10.9</v>
      </c>
      <c r="CT60" s="12">
        <f>IF('Données projet'!$A$140&gt;35,CT59+CS60-DB59,IF(A60&lt;'Données projet'!$A$140,$CQ$205^A60,IF(A60='Données projet'!$A$140,'Données projet'!$B$140,CT59+CS60-DB59)))</f>
        <v>265.30000000000007</v>
      </c>
      <c r="CU60" s="17">
        <f>CT60*VLOOKUP('Données projet'!$B$13,Paramètres!$A$1:$I$89,3,0)*VLOOKUP('Données projet'!$B$13,Paramètres!$A$1:$I$89,5,0)</f>
        <v>227.62740000000008</v>
      </c>
      <c r="CV60" s="13">
        <f t="shared" si="41"/>
        <v>55.769360753649444</v>
      </c>
      <c r="CW60" s="20">
        <f t="shared" si="13"/>
        <v>493.58269164593958</v>
      </c>
      <c r="CX60" s="59">
        <f t="shared" si="14"/>
        <v>777.45015086012927</v>
      </c>
      <c r="CY60" s="59">
        <f ca="1">AVERAGE(OFFSET($CX$3,0,0,'Données projet'!$E$13+1,1))-AVERAGE(OFFSET($H$3,0,0,'Données projet'!$E$13+1,1))</f>
        <v>565.32667500225568</v>
      </c>
      <c r="CZ60" s="59">
        <f t="shared" si="42"/>
        <v>275.06957234480944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0</v>
      </c>
      <c r="DG60" s="21">
        <f>EXP(-LN(2)/25)*DG59+(1-EXP(-LN(2)/25))/(LN(2)/25)*Calculateur!DB60*Calculateur!DD60*VLOOKUP('Données projet'!$B$13,Paramètres!$A$1:$I$89,3,0)*0.475*44/12</f>
        <v>2.0724905902769444</v>
      </c>
      <c r="DH60" s="21">
        <f>EXP(-LN(2)/2)*DH59+(1-EXP(-LN(2)/2))/(LN(2)/2)*DB60*DE60*VLOOKUP('Données projet'!$B$13,Paramètres!$A$1:$I$89,3,0)*0.475*44/12</f>
        <v>6.1142711227023955E-4</v>
      </c>
      <c r="DI60" s="22">
        <f t="shared" si="15"/>
        <v>2.0731020173892145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67.418397967506294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19.3</v>
      </c>
      <c r="DO60" s="12">
        <f>IF('Données projet'!$A$166&gt;35,DO59+DN60-DW59,IF(A60&lt;'Données projet'!$A$166,$DL$205^A60,IF(A60='Données projet'!$A$166,'Données projet'!$B$166,DO59+DN60-DW59)))</f>
        <v>621.09999999999957</v>
      </c>
      <c r="DP60" s="17">
        <f>DO60*VLOOKUP('Données projet'!$B$14,Paramètres!$A$1:$I$89,3,0)*VLOOKUP('Données projet'!$B$14,Paramètres!$A$1:$I$89,5,0)</f>
        <v>347.19489999999979</v>
      </c>
      <c r="DQ60" s="13">
        <f t="shared" si="43"/>
        <v>80.984641788647266</v>
      </c>
      <c r="DR60" s="20">
        <f t="shared" si="16"/>
        <v>745.74603528189357</v>
      </c>
      <c r="DS60" s="59">
        <f t="shared" si="17"/>
        <v>1029.6134944960834</v>
      </c>
      <c r="DT60" s="59">
        <f ca="1">AVERAGE(OFFSET($DS$3,0,0,'Données projet'!$E$14+1,1))-AVERAGE(OFFSET($H$3,0,0,'Données projet'!$E$14+1,1))</f>
        <v>532.64469322244281</v>
      </c>
      <c r="DU60" s="59">
        <f t="shared" si="44"/>
        <v>525.88014011096413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6.6901791216955084</v>
      </c>
      <c r="EB60" s="21">
        <f>EXP(-LN(2)/25)*EB59+(1-EXP(-LN(2)/25))/(LN(2)/25)*Calculateur!DW60*Calculateur!DY60*VLOOKUP('Données projet'!$B$14,Paramètres!$A$1:$I$89,3,0)*0.475*44/12</f>
        <v>18.334318156242976</v>
      </c>
      <c r="EC60" s="21">
        <f>EXP(-LN(2)/2)*EC59+(1-EXP(-LN(2)/2))/(LN(2)/2)*DW60*DZ60*VLOOKUP('Données projet'!$B$14,Paramètres!$A$1:$I$89,3,0)*0.475*44/12</f>
        <v>3.148134973125443E-3</v>
      </c>
      <c r="ED60" s="22">
        <f t="shared" si="18"/>
        <v>25.027645412911607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67.418397967506294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7.8</v>
      </c>
      <c r="EJ60" s="12">
        <f>IF('Données projet'!$A$192&gt;35,EJ59+EI60-ER59,IF(A60&lt;'Données projet'!$A$192,$EG$205^A60,IF(A60='Données projet'!$A$192,'Données projet'!$B$192,EJ59+EI60-ER59)))</f>
        <v>211.60000000000014</v>
      </c>
      <c r="EK60" s="17">
        <f>EJ60*VLOOKUP('Données projet'!$B$15,Paramètres!$A$1:$I$89,3,0)*VLOOKUP('Données projet'!$B$15,Paramètres!$A$1:$I$89,5,0)</f>
        <v>191.45568000000011</v>
      </c>
      <c r="EL60" s="13">
        <f t="shared" si="45"/>
        <v>47.861639935303188</v>
      </c>
      <c r="EM60" s="20">
        <f t="shared" si="19"/>
        <v>416.81099888731995</v>
      </c>
      <c r="EN60" s="59">
        <f t="shared" si="20"/>
        <v>700.6784581015097</v>
      </c>
      <c r="EO60" s="59">
        <f ca="1">AVERAGE(OFFSET($EN$3,0,0,'Données projet'!$E$15+1,1))-AVERAGE(OFFSET($H$3,0,0,'Données projet'!$E$15+1,1))</f>
        <v>398.27843768730202</v>
      </c>
      <c r="EP60" s="59">
        <f t="shared" si="46"/>
        <v>252.3617347568813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0</v>
      </c>
      <c r="EW60" s="21">
        <f>EXP(-LN(2)/25)*EW59+(1-EXP(-LN(2)/25))/(LN(2)/25)*Calculateur!ER60*Calculateur!ET60*VLOOKUP('Données projet'!$B$15,Paramètres!$A$1:$I$89,3,0)*0.475*44/12</f>
        <v>1.4691982791705009</v>
      </c>
      <c r="EX60" s="21">
        <f>EXP(-LN(2)/2)*EX59+(1-EXP(-LN(2)/2))/(LN(2)/2)*ER60*EU60*VLOOKUP('Données projet'!$B$15,Paramètres!$A$1:$I$89,3,0)*0.475*44/12</f>
        <v>5.3424436511093131E-4</v>
      </c>
      <c r="EY60" s="22">
        <f t="shared" si="21"/>
        <v>1.4697325235356118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67.418397967506294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7.8</v>
      </c>
      <c r="FE60" s="12">
        <f>IF('Données projet'!$A$218&gt;35,FE59+FD60-FM59,IF(A60&lt;'Données projet'!$A$218,$FB$205^A60,IF(A60='Données projet'!$A$218,'Données projet'!$B$218,FE59+FD60-FM59)))</f>
        <v>211.60000000000014</v>
      </c>
      <c r="FF60" s="17">
        <f>FE60*VLOOKUP('Données projet'!$B$16,Paramètres!$A$1:$I$89,3,0)*VLOOKUP('Données projet'!$B$16,Paramètres!$A$1:$I$89,5,0)</f>
        <v>204.65952000000016</v>
      </c>
      <c r="FG60" s="13">
        <f t="shared" si="47"/>
        <v>50.766812591921436</v>
      </c>
      <c r="FH60" s="20">
        <f t="shared" si="22"/>
        <v>444.8675292642634</v>
      </c>
      <c r="FI60" s="59">
        <f t="shared" si="23"/>
        <v>728.73498847845315</v>
      </c>
      <c r="FJ60" s="59">
        <f ca="1">AVERAGE(OFFSET($FI$3,0,0,'Données projet'!$E$16+1,1))-AVERAGE(OFFSET($H$3,0,0,'Données projet'!$E$16+1,1))</f>
        <v>422.28024471365825</v>
      </c>
      <c r="FK60" s="59">
        <f t="shared" si="48"/>
        <v>266.49730479813206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0</v>
      </c>
      <c r="FR60" s="21">
        <f>EXP(-LN(2)/25)*FR59+(1-EXP(-LN(2)/25))/(LN(2)/25)*Calculateur!FM60*Calculateur!FO60*VLOOKUP('Données projet'!$B$16,Paramètres!$A$1:$I$89,3,0)*0.475*44/12</f>
        <v>1.5705222984236391</v>
      </c>
      <c r="FS60" s="21">
        <f>EXP(-LN(2)/2)*FS59+(1-EXP(-LN(2)/2))/(LN(2)/2)*FM60*FP60*VLOOKUP('Données projet'!$B$16,Paramètres!$A$1:$I$89,3,0)*0.475*44/12</f>
        <v>5.7108880408409887E-4</v>
      </c>
      <c r="FT60" s="22">
        <f t="shared" si="24"/>
        <v>1.5710933872277233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67.418397967506294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8</v>
      </c>
      <c r="FZ60" s="12">
        <f>IF('Données projet'!$A$244&gt;35,FZ59+FY60-GH59,IF(A60&lt;'Données projet'!$A$244,$FW$205^A60,IF(A60='Données projet'!$A$244,'Données projet'!$B$244,FZ59+FY60-GH59)))</f>
        <v>239.00000000000011</v>
      </c>
      <c r="GA60" s="17">
        <f>FZ60*VLOOKUP('Données projet'!$B$17,Paramètres!$A$1:$I$89,3,0)*VLOOKUP('Données projet'!$B$17,Paramètres!$A$1:$I$89,5,0)</f>
        <v>186.4200000000001</v>
      </c>
      <c r="GB60" s="13">
        <f t="shared" si="49"/>
        <v>46.747591580384608</v>
      </c>
      <c r="GC60" s="20">
        <f t="shared" si="25"/>
        <v>406.10022200250336</v>
      </c>
      <c r="GD60" s="59">
        <f t="shared" si="26"/>
        <v>689.96768121669311</v>
      </c>
      <c r="GE60" s="59">
        <f ca="1">AVERAGE(OFFSET($GD$3,0,0,'Données projet'!$E$17+1,1))-AVERAGE(OFFSET($H$3,0,0,'Données projet'!$E$17+1,1))</f>
        <v>300.95722646933314</v>
      </c>
      <c r="GF60" s="59">
        <f t="shared" si="50"/>
        <v>269.52365224623759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>
        <f>EXP(-LN(2)/35)*GL59+(1-EXP(-LN(2)/35))/(LN(2)/35)*GH60*GI60*VLOOKUP('Données projet'!$B$17,Paramètres!$A$1:$I$89,3,0)*0.475*44/12</f>
        <v>0.52131265883341615</v>
      </c>
      <c r="GM60" s="21">
        <f>EXP(-LN(2)/25)*GM59+(1-EXP(-LN(2)/25))/(LN(2)/25)*Calculateur!GH60*Calculateur!GJ60*VLOOKUP('Données projet'!$B$17,Paramètres!$A$1:$I$89,3,0)*0.475*44/12</f>
        <v>2.9512985899786495</v>
      </c>
      <c r="GN60" s="21">
        <f>EXP(-LN(2)/2)*GN59+(1-EXP(-LN(2)/2))/(LN(2)/2)*GH60*GK60*VLOOKUP('Données projet'!$B$17,Paramètres!$A$1:$I$89,3,0)*0.475*44/12</f>
        <v>7.6467691041785715E-4</v>
      </c>
      <c r="GO60" s="21">
        <f t="shared" si="27"/>
        <v>3.4733759257224834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67.418397967506294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1.4000000000000001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5.1333333333333337</v>
      </c>
      <c r="H61" s="67">
        <f t="shared" si="1"/>
        <v>236.13333333333335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67.463182991172573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9.8000000000000007</v>
      </c>
      <c r="N61" s="13">
        <f>IF('Données projet'!$A$36&gt;35,N60+M61-V60,IF(A61&lt;'Données projet'!$A$36,$K$205^A61,IF(A61='Données projet'!$A$36,'Données projet'!$B$36,N60+M61-V60)))</f>
        <v>281.39999999999998</v>
      </c>
      <c r="O61" s="13">
        <f>N61*VLOOKUP('Données projet'!$B$9,Paramètres!$A$1:$I$89,3,0)*VLOOKUP('Données projet'!$B$9,Paramètres!$A$1:$I$89,5,0)</f>
        <v>254.61071999999999</v>
      </c>
      <c r="P61" s="13">
        <f t="shared" si="33"/>
        <v>61.572204587965679</v>
      </c>
      <c r="Q61" s="20">
        <f t="shared" si="53"/>
        <v>550.68526032404009</v>
      </c>
      <c r="R61" s="59">
        <f t="shared" si="0"/>
        <v>834.71693129167284</v>
      </c>
      <c r="S61" s="59">
        <f ca="1">AVERAGE(OFFSET($R$3,0,0,'Données projet'!$E$9+1,1))-AVERAGE(OFFSET($H$3,0,0,'Données projet'!$E$9+1,1))</f>
        <v>479.46542424895119</v>
      </c>
      <c r="T61" s="59">
        <f t="shared" si="34"/>
        <v>337.96395820277337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1.3833503629239017</v>
      </c>
      <c r="AA61" s="21">
        <f>EXP(-LN(2)/25)*AA60+(1-EXP(-LN(2)/25))/(LN(2)/25)*Calculateur!V61*Calculateur!X61*VLOOKUP('Données projet'!$B$9,Paramètres!$A$1:$I$89,3,0)*0.475*44/12</f>
        <v>5.1911550781960889</v>
      </c>
      <c r="AB61" s="21">
        <f>EXP(-LN(2)/2)*AB60+(1-EXP(-LN(2)/2))/(LN(2)/2)*V61*Y61*VLOOKUP('Données projet'!$B$9,Paramètres!$A$1:$I$89,3,0)*0.475*44/12</f>
        <v>1.3155112777164686E-3</v>
      </c>
      <c r="AC61" s="22">
        <f t="shared" si="3"/>
        <v>6.5758209523977067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67.463182991172573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9.8000000000000007</v>
      </c>
      <c r="AI61" s="13">
        <f>IF('Données projet'!$A$62&gt;35,AI60+AH61-AQ60,IF(A61&lt;'Données projet'!$A$62,$AF$205^A61,IF(A61='Données projet'!$A$62,'Données projet'!$B$62,AI60+AH61-AQ60)))</f>
        <v>281.39999999999998</v>
      </c>
      <c r="AJ61" s="13">
        <f>AI61*VLOOKUP('Données projet'!$B$10,Paramètres!$A$1:$I$89,3,0)*VLOOKUP('Données projet'!$B$10,Paramètres!$A$1:$I$89,5,0)</f>
        <v>272.17007999999998</v>
      </c>
      <c r="AK61" s="13">
        <f t="shared" si="35"/>
        <v>65.309600243828299</v>
      </c>
      <c r="AL61" s="20">
        <f t="shared" si="4"/>
        <v>587.77710975800085</v>
      </c>
      <c r="AM61" s="59">
        <f t="shared" si="5"/>
        <v>871.8087807256336</v>
      </c>
      <c r="AN61" s="59">
        <f ca="1">AVERAGE(OFFSET($AM$3,0,0,'Données projet'!$E$10+1,1))-AVERAGE(OFFSET($H$3,0,0,'Données projet'!$E$10+1,1))</f>
        <v>508.94560627895089</v>
      </c>
      <c r="AO61" s="59">
        <f t="shared" si="36"/>
        <v>357.86868650263034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1.4787538362289989</v>
      </c>
      <c r="AV61" s="21">
        <f>EXP(-LN(2)/25)*AV60+(1-EXP(-LN(2)/25))/(LN(2)/25)*Calculateur!AQ61*Calculateur!AS61*VLOOKUP('Données projet'!$B$10,Paramètres!$A$1:$I$89,3,0)*0.475*44/12</f>
        <v>5.5491657732440967</v>
      </c>
      <c r="AW61" s="21">
        <f>EXP(-LN(2)/2)*AW60+(1-EXP(-LN(2)/2))/(LN(2)/2)*AQ61*AT61*VLOOKUP('Données projet'!$B$10,Paramètres!$A$1:$I$89,3,0)*0.475*44/12</f>
        <v>1.4062361934210502E-3</v>
      </c>
      <c r="AX61" s="21">
        <f t="shared" si="6"/>
        <v>7.0293258456665164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67.463182991172573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9.6999999999999993</v>
      </c>
      <c r="BD61" s="12">
        <f>IF('Données projet'!$A$88&gt;35,BD60+BC61-BL60,IF(A61&lt;'Données projet'!$A$88,$BA$205^A61,IF(A61='Données projet'!$A$88,'Données projet'!$B$88,BD60+BC61-BL60)))</f>
        <v>325.59999999999997</v>
      </c>
      <c r="BE61" s="13">
        <f>BD61*VLOOKUP('Données projet'!$B$11,Paramètres!$A$1:$I$89,3,0)*VLOOKUP('Données projet'!$B$11,Paramètres!$A$1:$I$89,5,0)</f>
        <v>253.96799999999999</v>
      </c>
      <c r="BF61" s="13">
        <f t="shared" si="37"/>
        <v>61.434848029666512</v>
      </c>
      <c r="BG61" s="20">
        <f t="shared" si="7"/>
        <v>549.32662698500246</v>
      </c>
      <c r="BH61" s="59">
        <f t="shared" si="8"/>
        <v>833.35829795263521</v>
      </c>
      <c r="BI61" s="59">
        <f ca="1">AVERAGE(OFFSET($BH$3,0,0,'Données projet'!$E$11+1,1))-AVERAGE(OFFSET($H$3,0,0,'Données projet'!$E$11+1,1))</f>
        <v>383.03154033422328</v>
      </c>
      <c r="BJ61" s="59">
        <f t="shared" si="38"/>
        <v>373.27897156169877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0.83052130778990418</v>
      </c>
      <c r="BQ61" s="21">
        <f>EXP(-LN(2)/25)*BQ60+(1-EXP(-LN(2)/25))/(LN(2)/25)*Calculateur!BL61*Calculateur!BN61*VLOOKUP('Données projet'!$B$11,Paramètres!$A$1:$I$89,3,0)*0.475*44/12</f>
        <v>3.8513177497944087</v>
      </c>
      <c r="BR61" s="21">
        <f>EXP(-LN(2)/2)*BR60+(1-EXP(-LN(2)/2))/(LN(2)/2)*BL61*BO61*VLOOKUP('Données projet'!$B$11,Paramètres!$A$1:$I$89,3,0)*0.475*44/12</f>
        <v>7.9780148905650851E-4</v>
      </c>
      <c r="BS61" s="22">
        <f t="shared" si="9"/>
        <v>4.6826368590733694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67.463182991172573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9.8000000000000007</v>
      </c>
      <c r="BY61" s="12">
        <f>IF('Données projet'!$A$114&gt;35,BY60+BX61-CG60,IF(A61&lt;'Données projet'!$A$114,$BV$205^A61,IF(A61='Données projet'!$A$114,'Données projet'!$B$114,BY60+BX61-CG60)))</f>
        <v>281.39999999999998</v>
      </c>
      <c r="BZ61" s="13">
        <f>BY61*VLOOKUP('Données projet'!$B$12,Paramètres!$A$1:$I$89,3,0)*VLOOKUP('Données projet'!$B$12,Paramètres!$A$1:$I$89,5,0)</f>
        <v>237.05135999999999</v>
      </c>
      <c r="CA61" s="13">
        <f t="shared" si="39"/>
        <v>57.804660499743029</v>
      </c>
      <c r="CB61" s="20">
        <f t="shared" si="10"/>
        <v>513.54090237038565</v>
      </c>
      <c r="CC61" s="59">
        <f t="shared" si="11"/>
        <v>797.5725733380184</v>
      </c>
      <c r="CD61" s="59">
        <f ca="1">AVERAGE(OFFSET($CC$3,0,0,'Données projet'!$E$12+1,1))-AVERAGE(OFFSET($H$3,0,0,'Données projet'!$E$12+1,1))</f>
        <v>449.94334483948603</v>
      </c>
      <c r="CE61" s="59">
        <f t="shared" si="40"/>
        <v>318.02929110264176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1.2879468896188051</v>
      </c>
      <c r="CL61" s="21">
        <f>EXP(-LN(2)/25)*CL60+(1-EXP(-LN(2)/25))/(LN(2)/25)*Calculateur!CG61*Calculateur!CI61*VLOOKUP('Données projet'!$B$12,Paramètres!$A$1:$I$89,3,0)*0.475*44/12</f>
        <v>4.8331443831480847</v>
      </c>
      <c r="CM61" s="21">
        <f>EXP(-LN(2)/2)*CM60+(1-EXP(-LN(2)/2))/(LN(2)/2)*CG61*CJ61*VLOOKUP('Données projet'!$B$12,Paramètres!$A$1:$I$89,3,0)*0.475*44/12</f>
        <v>1.2247863620118836E-3</v>
      </c>
      <c r="CN61" s="22">
        <f t="shared" si="12"/>
        <v>6.1223160591289014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67.463182991172573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10.9</v>
      </c>
      <c r="CT61" s="12">
        <f>IF('Données projet'!$A$140&gt;35,CT60+CS61-DB60,IF(A61&lt;'Données projet'!$A$140,$CQ$205^A61,IF(A61='Données projet'!$A$140,'Données projet'!$B$140,CT60+CS61-DB60)))</f>
        <v>276.20000000000005</v>
      </c>
      <c r="CU61" s="17">
        <f>CT61*VLOOKUP('Données projet'!$B$13,Paramètres!$A$1:$I$89,3,0)*VLOOKUP('Données projet'!$B$13,Paramètres!$A$1:$I$89,5,0)</f>
        <v>236.97960000000003</v>
      </c>
      <c r="CV61" s="13">
        <f t="shared" si="41"/>
        <v>57.789198481082025</v>
      </c>
      <c r="CW61" s="20">
        <f t="shared" si="13"/>
        <v>513.38899068788453</v>
      </c>
      <c r="CX61" s="59">
        <f t="shared" si="14"/>
        <v>797.42066165551728</v>
      </c>
      <c r="CY61" s="59">
        <f ca="1">AVERAGE(OFFSET($CX$3,0,0,'Données projet'!$E$13+1,1))-AVERAGE(OFFSET($H$3,0,0,'Données projet'!$E$13+1,1))</f>
        <v>565.32667500225568</v>
      </c>
      <c r="CZ61" s="59">
        <f t="shared" si="42"/>
        <v>275.06957234480944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0</v>
      </c>
      <c r="DG61" s="21">
        <f>EXP(-LN(2)/25)*DG60+(1-EXP(-LN(2)/25))/(LN(2)/25)*Calculateur!DB61*Calculateur!DD61*VLOOKUP('Données projet'!$B$13,Paramètres!$A$1:$I$89,3,0)*0.475*44/12</f>
        <v>2.0158182260982778</v>
      </c>
      <c r="DH61" s="21">
        <f>EXP(-LN(2)/2)*DH60+(1-EXP(-LN(2)/2))/(LN(2)/2)*DB61*DE61*VLOOKUP('Données projet'!$B$13,Paramètres!$A$1:$I$89,3,0)*0.475*44/12</f>
        <v>4.3234425728759491E-4</v>
      </c>
      <c r="DI61" s="22">
        <f t="shared" si="15"/>
        <v>2.0162505703555653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67.463182991172573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19.3</v>
      </c>
      <c r="DO61" s="12">
        <f>IF('Données projet'!$A$166&gt;35,DO60+DN61-DW60,IF(A61&lt;'Données projet'!$A$166,$DL$205^A61,IF(A61='Données projet'!$A$166,'Données projet'!$B$166,DO60+DN61-DW60)))</f>
        <v>640.39999999999952</v>
      </c>
      <c r="DP61" s="17">
        <f>DO61*VLOOKUP('Données projet'!$B$14,Paramètres!$A$1:$I$89,3,0)*VLOOKUP('Données projet'!$B$14,Paramètres!$A$1:$I$89,5,0)</f>
        <v>357.98359999999974</v>
      </c>
      <c r="DQ61" s="13">
        <f t="shared" si="43"/>
        <v>83.204253314675796</v>
      </c>
      <c r="DR61" s="20">
        <f t="shared" si="16"/>
        <v>768.40217785639322</v>
      </c>
      <c r="DS61" s="59">
        <f t="shared" si="17"/>
        <v>1052.433848824026</v>
      </c>
      <c r="DT61" s="59">
        <f ca="1">AVERAGE(OFFSET($DS$3,0,0,'Données projet'!$E$14+1,1))-AVERAGE(OFFSET($H$3,0,0,'Données projet'!$E$14+1,1))</f>
        <v>532.64469322244281</v>
      </c>
      <c r="DU61" s="59">
        <f t="shared" si="44"/>
        <v>525.88014011096413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6.5589887897253973</v>
      </c>
      <c r="EB61" s="21">
        <f>EXP(-LN(2)/25)*EB60+(1-EXP(-LN(2)/25))/(LN(2)/25)*Calculateur!DW61*Calculateur!DY61*VLOOKUP('Données projet'!$B$14,Paramètres!$A$1:$I$89,3,0)*0.475*44/12</f>
        <v>17.832965262100622</v>
      </c>
      <c r="EC61" s="21">
        <f>EXP(-LN(2)/2)*EC60+(1-EXP(-LN(2)/2))/(LN(2)/2)*DW61*DZ61*VLOOKUP('Données projet'!$B$14,Paramètres!$A$1:$I$89,3,0)*0.475*44/12</f>
        <v>2.2260675875875303E-3</v>
      </c>
      <c r="ED61" s="22">
        <f t="shared" si="18"/>
        <v>24.394180119413608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67.463182991172573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7.8</v>
      </c>
      <c r="EJ61" s="12">
        <f>IF('Données projet'!$A$192&gt;35,EJ60+EI61-ER60,IF(A61&lt;'Données projet'!$A$192,$EG$205^A61,IF(A61='Données projet'!$A$192,'Données projet'!$B$192,EJ60+EI61-ER60)))</f>
        <v>219.40000000000015</v>
      </c>
      <c r="EK61" s="17">
        <f>EJ61*VLOOKUP('Données projet'!$B$15,Paramètres!$A$1:$I$89,3,0)*VLOOKUP('Données projet'!$B$15,Paramètres!$A$1:$I$89,5,0)</f>
        <v>198.51312000000013</v>
      </c>
      <c r="EL61" s="13">
        <f t="shared" si="45"/>
        <v>49.417254724004458</v>
      </c>
      <c r="EM61" s="20">
        <f t="shared" si="19"/>
        <v>431.81206931097466</v>
      </c>
      <c r="EN61" s="59">
        <f t="shared" si="20"/>
        <v>715.84374027860747</v>
      </c>
      <c r="EO61" s="59">
        <f ca="1">AVERAGE(OFFSET($EN$3,0,0,'Données projet'!$E$15+1,1))-AVERAGE(OFFSET($H$3,0,0,'Données projet'!$E$15+1,1))</f>
        <v>398.27843768730202</v>
      </c>
      <c r="EP61" s="59">
        <f t="shared" si="46"/>
        <v>252.3617347568813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0</v>
      </c>
      <c r="EW61" s="21">
        <f>EXP(-LN(2)/25)*EW60+(1-EXP(-LN(2)/25))/(LN(2)/25)*Calculateur!ER61*Calculateur!ET61*VLOOKUP('Données projet'!$B$15,Paramètres!$A$1:$I$89,3,0)*0.475*44/12</f>
        <v>1.429022974964804</v>
      </c>
      <c r="EX61" s="21">
        <f>EXP(-LN(2)/2)*EX60+(1-EXP(-LN(2)/2))/(LN(2)/2)*ER61*EU61*VLOOKUP('Données projet'!$B$15,Paramètres!$A$1:$I$89,3,0)*0.475*44/12</f>
        <v>3.7776781338064131E-4</v>
      </c>
      <c r="EY61" s="22">
        <f t="shared" si="21"/>
        <v>1.4294007427781847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67.463182991172573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7.8</v>
      </c>
      <c r="FE61" s="12">
        <f>IF('Données projet'!$A$218&gt;35,FE60+FD61-FM60,IF(A61&lt;'Données projet'!$A$218,$FB$205^A61,IF(A61='Données projet'!$A$218,'Données projet'!$B$218,FE60+FD61-FM60)))</f>
        <v>219.40000000000015</v>
      </c>
      <c r="FF61" s="17">
        <f>FE61*VLOOKUP('Données projet'!$B$16,Paramètres!$A$1:$I$89,3,0)*VLOOKUP('Données projet'!$B$16,Paramètres!$A$1:$I$89,5,0)</f>
        <v>212.20368000000013</v>
      </c>
      <c r="FG61" s="13">
        <f t="shared" si="47"/>
        <v>52.416852259387269</v>
      </c>
      <c r="FH61" s="20">
        <f t="shared" si="22"/>
        <v>460.88076035176641</v>
      </c>
      <c r="FI61" s="59">
        <f t="shared" si="23"/>
        <v>744.91243131939927</v>
      </c>
      <c r="FJ61" s="59">
        <f ca="1">AVERAGE(OFFSET($FI$3,0,0,'Données projet'!$E$16+1,1))-AVERAGE(OFFSET($H$3,0,0,'Données projet'!$E$16+1,1))</f>
        <v>422.28024471365825</v>
      </c>
      <c r="FK61" s="59">
        <f t="shared" si="48"/>
        <v>266.49730479813206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0</v>
      </c>
      <c r="FR61" s="21">
        <f>EXP(-LN(2)/25)*FR60+(1-EXP(-LN(2)/25))/(LN(2)/25)*Calculateur!FM61*Calculateur!FO61*VLOOKUP('Données projet'!$B$16,Paramètres!$A$1:$I$89,3,0)*0.475*44/12</f>
        <v>1.5275762835830664</v>
      </c>
      <c r="FS61" s="21">
        <f>EXP(-LN(2)/2)*FS60+(1-EXP(-LN(2)/2))/(LN(2)/2)*FM61*FP61*VLOOKUP('Données projet'!$B$16,Paramètres!$A$1:$I$89,3,0)*0.475*44/12</f>
        <v>4.0382076602758202E-4</v>
      </c>
      <c r="FT61" s="22">
        <f t="shared" si="24"/>
        <v>1.5279801043490939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67.463182991172573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8</v>
      </c>
      <c r="FZ61" s="12">
        <f>IF('Données projet'!$A$244&gt;35,FZ60+FY61-GH60,IF(A61&lt;'Données projet'!$A$244,$FW$205^A61,IF(A61='Données projet'!$A$244,'Données projet'!$B$244,FZ60+FY61-GH60)))</f>
        <v>247.00000000000011</v>
      </c>
      <c r="GA61" s="17">
        <f>FZ61*VLOOKUP('Données projet'!$B$17,Paramètres!$A$1:$I$89,3,0)*VLOOKUP('Données projet'!$B$17,Paramètres!$A$1:$I$89,5,0)</f>
        <v>192.66000000000008</v>
      </c>
      <c r="GB61" s="13">
        <f t="shared" si="49"/>
        <v>48.127564387788738</v>
      </c>
      <c r="GC61" s="20">
        <f t="shared" si="25"/>
        <v>419.3716746420655</v>
      </c>
      <c r="GD61" s="59">
        <f t="shared" si="26"/>
        <v>703.40334560969836</v>
      </c>
      <c r="GE61" s="59">
        <f ca="1">AVERAGE(OFFSET($GD$3,0,0,'Données projet'!$E$17+1,1))-AVERAGE(OFFSET($H$3,0,0,'Données projet'!$E$17+1,1))</f>
        <v>300.95722646933314</v>
      </c>
      <c r="GF61" s="59">
        <f t="shared" si="50"/>
        <v>269.52365224623759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>
        <f>EXP(-LN(2)/35)*GL60+(1-EXP(-LN(2)/35))/(LN(2)/35)*GH61*GI61*VLOOKUP('Données projet'!$B$17,Paramètres!$A$1:$I$89,3,0)*0.475*44/12</f>
        <v>0.51109003556301791</v>
      </c>
      <c r="GM61" s="21">
        <f>EXP(-LN(2)/25)*GM60+(1-EXP(-LN(2)/25))/(LN(2)/25)*Calculateur!GH61*Calculateur!GJ61*VLOOKUP('Données projet'!$B$17,Paramètres!$A$1:$I$89,3,0)*0.475*44/12</f>
        <v>2.8705951748336358</v>
      </c>
      <c r="GN61" s="21">
        <f>EXP(-LN(2)/2)*GN60+(1-EXP(-LN(2)/2))/(LN(2)/2)*GH61*GK61*VLOOKUP('Données projet'!$B$17,Paramètres!$A$1:$I$89,3,0)*0.475*44/12</f>
        <v>5.4070822877324491E-4</v>
      </c>
      <c r="GO61" s="21">
        <f t="shared" si="27"/>
        <v>3.3822259186254273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67.463182991172573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1.4000000000000001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5.1333333333333337</v>
      </c>
      <c r="H62" s="67">
        <f t="shared" si="1"/>
        <v>236.13333333333335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67.507191094802536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9.8000000000000007</v>
      </c>
      <c r="N62" s="13">
        <f>IF('Données projet'!$A$36&gt;35,N61+M62-V61,IF(A62&lt;'Données projet'!$A$36,$K$205^A62,IF(A62='Données projet'!$A$36,'Données projet'!$B$36,N61+M62-V61)))</f>
        <v>291.2</v>
      </c>
      <c r="O62" s="13">
        <f>N62*VLOOKUP('Données projet'!$B$9,Paramètres!$A$1:$I$89,3,0)*VLOOKUP('Données projet'!$B$9,Paramètres!$A$1:$I$89,5,0)</f>
        <v>263.47775999999999</v>
      </c>
      <c r="P62" s="13">
        <f t="shared" si="33"/>
        <v>63.46312159763346</v>
      </c>
      <c r="Q62" s="20">
        <f t="shared" si="53"/>
        <v>569.42203544921153</v>
      </c>
      <c r="R62" s="59">
        <f t="shared" si="0"/>
        <v>853.61506946348754</v>
      </c>
      <c r="S62" s="59">
        <f ca="1">AVERAGE(OFFSET($R$3,0,0,'Données projet'!$E$9+1,1))-AVERAGE(OFFSET($H$3,0,0,'Données projet'!$E$9+1,1))</f>
        <v>479.46542424895119</v>
      </c>
      <c r="T62" s="59">
        <f t="shared" si="34"/>
        <v>337.96395820277337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1.356223706067371</v>
      </c>
      <c r="AA62" s="21">
        <f>EXP(-LN(2)/25)*AA61+(1-EXP(-LN(2)/25))/(LN(2)/25)*Calculateur!V62*Calculateur!X62*VLOOKUP('Données projet'!$B$9,Paramètres!$A$1:$I$89,3,0)*0.475*44/12</f>
        <v>5.0492026695918355</v>
      </c>
      <c r="AB62" s="21">
        <f>EXP(-LN(2)/2)*AB61+(1-EXP(-LN(2)/2))/(LN(2)/2)*V62*Y62*VLOOKUP('Données projet'!$B$9,Paramètres!$A$1:$I$89,3,0)*0.475*44/12</f>
        <v>9.3020694520069456E-4</v>
      </c>
      <c r="AC62" s="22">
        <f t="shared" si="3"/>
        <v>6.4063565826044071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67.507191094802536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9.8000000000000007</v>
      </c>
      <c r="AI62" s="13">
        <f>IF('Données projet'!$A$62&gt;35,AI61+AH62-AQ61,IF(A62&lt;'Données projet'!$A$62,$AF$205^A62,IF(A62='Données projet'!$A$62,'Données projet'!$B$62,AI61+AH62-AQ61)))</f>
        <v>291.2</v>
      </c>
      <c r="AJ62" s="13">
        <f>AI62*VLOOKUP('Données projet'!$B$10,Paramètres!$A$1:$I$89,3,0)*VLOOKUP('Données projet'!$B$10,Paramètres!$A$1:$I$89,5,0)</f>
        <v>281.64864</v>
      </c>
      <c r="AK62" s="13">
        <f t="shared" si="35"/>
        <v>67.315294774697747</v>
      </c>
      <c r="AL62" s="20">
        <f t="shared" si="4"/>
        <v>607.77885306593191</v>
      </c>
      <c r="AM62" s="59">
        <f t="shared" si="5"/>
        <v>891.97188708020781</v>
      </c>
      <c r="AN62" s="59">
        <f ca="1">AVERAGE(OFFSET($AM$3,0,0,'Données projet'!$E$10+1,1))-AVERAGE(OFFSET($H$3,0,0,'Données projet'!$E$10+1,1))</f>
        <v>508.94560627895089</v>
      </c>
      <c r="AO62" s="59">
        <f t="shared" si="36"/>
        <v>357.86868650263034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1.4497563754513281</v>
      </c>
      <c r="AV62" s="21">
        <f>EXP(-LN(2)/25)*AV61+(1-EXP(-LN(2)/25))/(LN(2)/25)*Calculateur!AQ62*Calculateur!AS62*VLOOKUP('Données projet'!$B$10,Paramètres!$A$1:$I$89,3,0)*0.475*44/12</f>
        <v>5.3974235433567914</v>
      </c>
      <c r="AW62" s="21">
        <f>EXP(-LN(2)/2)*AW61+(1-EXP(-LN(2)/2))/(LN(2)/2)*AQ62*AT62*VLOOKUP('Données projet'!$B$10,Paramètres!$A$1:$I$89,3,0)*0.475*44/12</f>
        <v>9.9435914831798203E-4</v>
      </c>
      <c r="AX62" s="21">
        <f t="shared" si="6"/>
        <v>6.8481742779564376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67.507191094802536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9.6999999999999993</v>
      </c>
      <c r="BD62" s="12">
        <f>IF('Données projet'!$A$88&gt;35,BD61+BC62-BL61,IF(A62&lt;'Données projet'!$A$88,$BA$205^A62,IF(A62='Données projet'!$A$88,'Données projet'!$B$88,BD61+BC62-BL61)))</f>
        <v>335.29999999999995</v>
      </c>
      <c r="BE62" s="13">
        <f>BD62*VLOOKUP('Données projet'!$B$11,Paramètres!$A$1:$I$89,3,0)*VLOOKUP('Données projet'!$B$11,Paramètres!$A$1:$I$89,5,0)</f>
        <v>261.53399999999999</v>
      </c>
      <c r="BF62" s="13">
        <f t="shared" si="37"/>
        <v>63.049252730843492</v>
      </c>
      <c r="BG62" s="20">
        <f t="shared" si="7"/>
        <v>565.31583183955229</v>
      </c>
      <c r="BH62" s="59">
        <f t="shared" si="8"/>
        <v>849.50886585382818</v>
      </c>
      <c r="BI62" s="59">
        <f ca="1">AVERAGE(OFFSET($BH$3,0,0,'Données projet'!$E$11+1,1))-AVERAGE(OFFSET($H$3,0,0,'Données projet'!$E$11+1,1))</f>
        <v>383.03154033422328</v>
      </c>
      <c r="BJ62" s="59">
        <f t="shared" si="38"/>
        <v>373.27897156169877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0.81423529151212248</v>
      </c>
      <c r="BQ62" s="21">
        <f>EXP(-LN(2)/25)*BQ61+(1-EXP(-LN(2)/25))/(LN(2)/25)*Calculateur!BL62*Calculateur!BN62*VLOOKUP('Données projet'!$B$11,Paramètres!$A$1:$I$89,3,0)*0.475*44/12</f>
        <v>3.7460032633942824</v>
      </c>
      <c r="BR62" s="21">
        <f>EXP(-LN(2)/2)*BR61+(1-EXP(-LN(2)/2))/(LN(2)/2)*BL62*BO62*VLOOKUP('Données projet'!$B$11,Paramètres!$A$1:$I$89,3,0)*0.475*44/12</f>
        <v>5.6413084295258234E-4</v>
      </c>
      <c r="BS62" s="22">
        <f t="shared" si="9"/>
        <v>4.5608026857493575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67.507191094802536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9.8000000000000007</v>
      </c>
      <c r="BY62" s="12">
        <f>IF('Données projet'!$A$114&gt;35,BY61+BX62-CG61,IF(A62&lt;'Données projet'!$A$114,$BV$205^A62,IF(A62='Données projet'!$A$114,'Données projet'!$B$114,BY61+BX62-CG61)))</f>
        <v>291.2</v>
      </c>
      <c r="BZ62" s="13">
        <f>BY62*VLOOKUP('Données projet'!$B$12,Paramètres!$A$1:$I$89,3,0)*VLOOKUP('Données projet'!$B$12,Paramètres!$A$1:$I$89,5,0)</f>
        <v>245.30688000000001</v>
      </c>
      <c r="CA62" s="13">
        <f t="shared" si="39"/>
        <v>59.579874112906374</v>
      </c>
      <c r="CB62" s="20">
        <f t="shared" si="10"/>
        <v>531.01109674664531</v>
      </c>
      <c r="CC62" s="59">
        <f t="shared" si="11"/>
        <v>815.20413076092132</v>
      </c>
      <c r="CD62" s="59">
        <f ca="1">AVERAGE(OFFSET($CC$3,0,0,'Données projet'!$E$12+1,1))-AVERAGE(OFFSET($H$3,0,0,'Données projet'!$E$12+1,1))</f>
        <v>449.94334483948603</v>
      </c>
      <c r="CE62" s="59">
        <f t="shared" si="40"/>
        <v>318.02929110264176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1.2626910366834143</v>
      </c>
      <c r="CL62" s="21">
        <f>EXP(-LN(2)/25)*CL61+(1-EXP(-LN(2)/25))/(LN(2)/25)*Calculateur!CG62*Calculateur!CI62*VLOOKUP('Données projet'!$B$12,Paramètres!$A$1:$I$89,3,0)*0.475*44/12</f>
        <v>4.7009817958268831</v>
      </c>
      <c r="CM62" s="21">
        <f>EXP(-LN(2)/2)*CM61+(1-EXP(-LN(2)/2))/(LN(2)/2)*CG62*CJ62*VLOOKUP('Données projet'!$B$12,Paramètres!$A$1:$I$89,3,0)*0.475*44/12</f>
        <v>8.660547420834046E-4</v>
      </c>
      <c r="CN62" s="22">
        <f t="shared" si="12"/>
        <v>5.964538887252381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67.507191094802536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10.9</v>
      </c>
      <c r="CT62" s="12">
        <f>IF('Données projet'!$A$140&gt;35,CT61+CS62-DB61,IF(A62&lt;'Données projet'!$A$140,$CQ$205^A62,IF(A62='Données projet'!$A$140,'Données projet'!$B$140,CT61+CS62-DB61)))</f>
        <v>287.10000000000002</v>
      </c>
      <c r="CU62" s="17">
        <f>CT62*VLOOKUP('Données projet'!$B$13,Paramètres!$A$1:$I$89,3,0)*VLOOKUP('Données projet'!$B$13,Paramètres!$A$1:$I$89,5,0)</f>
        <v>246.33180000000004</v>
      </c>
      <c r="CV62" s="13">
        <f t="shared" si="41"/>
        <v>59.799776565359551</v>
      </c>
      <c r="CW62" s="20">
        <f t="shared" si="13"/>
        <v>533.17916251800114</v>
      </c>
      <c r="CX62" s="59">
        <f t="shared" si="14"/>
        <v>817.37219653227703</v>
      </c>
      <c r="CY62" s="59">
        <f ca="1">AVERAGE(OFFSET($CX$3,0,0,'Données projet'!$E$13+1,1))-AVERAGE(OFFSET($H$3,0,0,'Données projet'!$E$13+1,1))</f>
        <v>565.32667500225568</v>
      </c>
      <c r="CZ62" s="59">
        <f t="shared" si="42"/>
        <v>275.06957234480944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0</v>
      </c>
      <c r="DG62" s="21">
        <f>EXP(-LN(2)/25)*DG61+(1-EXP(-LN(2)/25))/(LN(2)/25)*Calculateur!DB62*Calculateur!DD62*VLOOKUP('Données projet'!$B$13,Paramètres!$A$1:$I$89,3,0)*0.475*44/12</f>
        <v>1.9606955706983471</v>
      </c>
      <c r="DH62" s="21">
        <f>EXP(-LN(2)/2)*DH61+(1-EXP(-LN(2)/2))/(LN(2)/2)*DB62*DE62*VLOOKUP('Données projet'!$B$13,Paramètres!$A$1:$I$89,3,0)*0.475*44/12</f>
        <v>3.0571355613511977E-4</v>
      </c>
      <c r="DI62" s="22">
        <f t="shared" si="15"/>
        <v>1.9610012842544822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67.507191094802536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19.3</v>
      </c>
      <c r="DO62" s="12">
        <f>IF('Données projet'!$A$166&gt;35,DO61+DN62-DW61,IF(A62&lt;'Données projet'!$A$166,$DL$205^A62,IF(A62='Données projet'!$A$166,'Données projet'!$B$166,DO61+DN62-DW61)))</f>
        <v>659.69999999999948</v>
      </c>
      <c r="DP62" s="17">
        <f>DO62*VLOOKUP('Données projet'!$B$14,Paramètres!$A$1:$I$89,3,0)*VLOOKUP('Données projet'!$B$14,Paramètres!$A$1:$I$89,5,0)</f>
        <v>368.77229999999969</v>
      </c>
      <c r="DQ62" s="13">
        <f t="shared" si="43"/>
        <v>85.416090852521961</v>
      </c>
      <c r="DR62" s="20">
        <f t="shared" si="16"/>
        <v>791.04478073480857</v>
      </c>
      <c r="DS62" s="59">
        <f t="shared" si="17"/>
        <v>1075.2378147490845</v>
      </c>
      <c r="DT62" s="59">
        <f ca="1">AVERAGE(OFFSET($DS$3,0,0,'Données projet'!$E$14+1,1))-AVERAGE(OFFSET($H$3,0,0,'Données projet'!$E$14+1,1))</f>
        <v>532.64469322244281</v>
      </c>
      <c r="DU62" s="59">
        <f t="shared" si="44"/>
        <v>525.88014011096413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6.4303710201470183</v>
      </c>
      <c r="EB62" s="21">
        <f>EXP(-LN(2)/25)*EB61+(1-EXP(-LN(2)/25))/(LN(2)/25)*Calculateur!DW62*Calculateur!DY62*VLOOKUP('Données projet'!$B$14,Paramètres!$A$1:$I$89,3,0)*0.475*44/12</f>
        <v>17.345321889213594</v>
      </c>
      <c r="EC62" s="21">
        <f>EXP(-LN(2)/2)*EC61+(1-EXP(-LN(2)/2))/(LN(2)/2)*DW62*DZ62*VLOOKUP('Données projet'!$B$14,Paramètres!$A$1:$I$89,3,0)*0.475*44/12</f>
        <v>1.5740674865627215E-3</v>
      </c>
      <c r="ED62" s="22">
        <f t="shared" si="18"/>
        <v>23.777266976847173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67.507191094802536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7.8</v>
      </c>
      <c r="EJ62" s="12">
        <f>IF('Données projet'!$A$192&gt;35,EJ61+EI62-ER61,IF(A62&lt;'Données projet'!$A$192,$EG$205^A62,IF(A62='Données projet'!$A$192,'Données projet'!$B$192,EJ61+EI62-ER61)))</f>
        <v>227.20000000000016</v>
      </c>
      <c r="EK62" s="17">
        <f>EJ62*VLOOKUP('Données projet'!$B$15,Paramètres!$A$1:$I$89,3,0)*VLOOKUP('Données projet'!$B$15,Paramètres!$A$1:$I$89,5,0)</f>
        <v>205.57056000000014</v>
      </c>
      <c r="EL62" s="13">
        <f t="shared" si="45"/>
        <v>50.966443946767434</v>
      </c>
      <c r="EM62" s="20">
        <f t="shared" si="19"/>
        <v>446.80194854062023</v>
      </c>
      <c r="EN62" s="59">
        <f t="shared" si="20"/>
        <v>730.99498255489618</v>
      </c>
      <c r="EO62" s="59">
        <f ca="1">AVERAGE(OFFSET($EN$3,0,0,'Données projet'!$E$15+1,1))-AVERAGE(OFFSET($H$3,0,0,'Données projet'!$E$15+1,1))</f>
        <v>398.27843768730202</v>
      </c>
      <c r="EP62" s="59">
        <f t="shared" si="46"/>
        <v>252.3617347568813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0</v>
      </c>
      <c r="EW62" s="21">
        <f>EXP(-LN(2)/25)*EW61+(1-EXP(-LN(2)/25))/(LN(2)/25)*Calculateur!ER62*Calculateur!ET62*VLOOKUP('Données projet'!$B$15,Paramètres!$A$1:$I$89,3,0)*0.475*44/12</f>
        <v>1.3899462665653393</v>
      </c>
      <c r="EX62" s="21">
        <f>EXP(-LN(2)/2)*EX61+(1-EXP(-LN(2)/2))/(LN(2)/2)*ER62*EU62*VLOOKUP('Données projet'!$B$15,Paramètres!$A$1:$I$89,3,0)*0.475*44/12</f>
        <v>2.6712218255546565E-4</v>
      </c>
      <c r="EY62" s="22">
        <f t="shared" si="21"/>
        <v>1.3902133887478947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67.507191094802536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7.8</v>
      </c>
      <c r="FE62" s="12">
        <f>IF('Données projet'!$A$218&gt;35,FE61+FD62-FM61,IF(A62&lt;'Données projet'!$A$218,$FB$205^A62,IF(A62='Données projet'!$A$218,'Données projet'!$B$218,FE61+FD62-FM61)))</f>
        <v>227.20000000000016</v>
      </c>
      <c r="FF62" s="17">
        <f>FE62*VLOOKUP('Données projet'!$B$16,Paramètres!$A$1:$I$89,3,0)*VLOOKUP('Données projet'!$B$16,Paramètres!$A$1:$I$89,5,0)</f>
        <v>219.74784000000014</v>
      </c>
      <c r="FG62" s="13">
        <f t="shared" si="47"/>
        <v>54.060076332940611</v>
      </c>
      <c r="FH62" s="20">
        <f t="shared" si="22"/>
        <v>476.88212094653846</v>
      </c>
      <c r="FI62" s="59">
        <f t="shared" si="23"/>
        <v>761.07515496081442</v>
      </c>
      <c r="FJ62" s="59">
        <f ca="1">AVERAGE(OFFSET($FI$3,0,0,'Données projet'!$E$16+1,1))-AVERAGE(OFFSET($H$3,0,0,'Données projet'!$E$16+1,1))</f>
        <v>422.28024471365825</v>
      </c>
      <c r="FK62" s="59">
        <f t="shared" si="48"/>
        <v>266.49730479813206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0</v>
      </c>
      <c r="FR62" s="21">
        <f>EXP(-LN(2)/25)*FR61+(1-EXP(-LN(2)/25))/(LN(2)/25)*Calculateur!FM62*Calculateur!FO62*VLOOKUP('Données projet'!$B$16,Paramètres!$A$1:$I$89,3,0)*0.475*44/12</f>
        <v>1.485804629776742</v>
      </c>
      <c r="FS62" s="21">
        <f>EXP(-LN(2)/2)*FS61+(1-EXP(-LN(2)/2))/(LN(2)/2)*FM62*FP62*VLOOKUP('Données projet'!$B$16,Paramètres!$A$1:$I$89,3,0)*0.475*44/12</f>
        <v>2.8554440204204943E-4</v>
      </c>
      <c r="FT62" s="22">
        <f t="shared" si="24"/>
        <v>1.486090174178784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67.507191094802536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8</v>
      </c>
      <c r="FZ62" s="12">
        <f>IF('Données projet'!$A$244&gt;35,FZ61+FY62-GH61,IF(A62&lt;'Données projet'!$A$244,$FW$205^A62,IF(A62='Données projet'!$A$244,'Données projet'!$B$244,FZ61+FY62-GH61)))</f>
        <v>255.00000000000011</v>
      </c>
      <c r="GA62" s="17">
        <f>FZ62*VLOOKUP('Données projet'!$B$17,Paramètres!$A$1:$I$89,3,0)*VLOOKUP('Données projet'!$B$17,Paramètres!$A$1:$I$89,5,0)</f>
        <v>198.90000000000009</v>
      </c>
      <c r="GB62" s="13">
        <f t="shared" si="49"/>
        <v>49.502343477105569</v>
      </c>
      <c r="GC62" s="20">
        <f t="shared" si="25"/>
        <v>432.63408155595903</v>
      </c>
      <c r="GD62" s="59">
        <f t="shared" si="26"/>
        <v>716.82711557023504</v>
      </c>
      <c r="GE62" s="59">
        <f ca="1">AVERAGE(OFFSET($GD$3,0,0,'Données projet'!$E$17+1,1))-AVERAGE(OFFSET($H$3,0,0,'Données projet'!$E$17+1,1))</f>
        <v>300.95722646933314</v>
      </c>
      <c r="GF62" s="59">
        <f t="shared" si="50"/>
        <v>269.52365224623759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>
        <f>EXP(-LN(2)/35)*GL61+(1-EXP(-LN(2)/35))/(LN(2)/35)*GH62*GI62*VLOOKUP('Données projet'!$B$17,Paramètres!$A$1:$I$89,3,0)*0.475*44/12</f>
        <v>0.50106787169976763</v>
      </c>
      <c r="GM62" s="21">
        <f>EXP(-LN(2)/25)*GM61+(1-EXP(-LN(2)/25))/(LN(2)/25)*Calculateur!GH62*Calculateur!GJ62*VLOOKUP('Données projet'!$B$17,Paramètres!$A$1:$I$89,3,0)*0.475*44/12</f>
        <v>2.7920985988197704</v>
      </c>
      <c r="GN62" s="21">
        <f>EXP(-LN(2)/2)*GN61+(1-EXP(-LN(2)/2))/(LN(2)/2)*GH62*GK62*VLOOKUP('Données projet'!$B$17,Paramètres!$A$1:$I$89,3,0)*0.475*44/12</f>
        <v>3.8233845520892857E-4</v>
      </c>
      <c r="GO62" s="21">
        <f t="shared" si="27"/>
        <v>3.2935488089747471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67.507191094802536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1.4000000000000001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5.1333333333333337</v>
      </c>
      <c r="H63" s="67">
        <f t="shared" si="1"/>
        <v>236.13333333333335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67.550435756221916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301</v>
      </c>
      <c r="L63" s="12">
        <f>VLOOKUP(A63,'Données projet'!$A$35:$I$55,9,0)</f>
        <v>9.8000000000000007</v>
      </c>
      <c r="M63" s="12">
        <f t="array" ref="M63">INDEX(L:L,MIN(IF(ISNUMBER(L63:L259),ROW(L63:L259),"")))</f>
        <v>9.8000000000000007</v>
      </c>
      <c r="N63" s="13">
        <f>IF('Données projet'!$A$36&gt;35,N62+M63-V62,IF(A63&lt;'Données projet'!$A$36,$K$205^A63,IF(A63='Données projet'!$A$36,'Données projet'!$B$36,N62+M63-V62)))</f>
        <v>301</v>
      </c>
      <c r="O63" s="13">
        <f>N63*VLOOKUP('Données projet'!$B$9,Paramètres!$A$1:$I$89,3,0)*VLOOKUP('Données projet'!$B$9,Paramètres!$A$1:$I$89,5,0)</f>
        <v>272.34479999999996</v>
      </c>
      <c r="P63" s="13">
        <f t="shared" si="33"/>
        <v>65.346644318451652</v>
      </c>
      <c r="Q63" s="20">
        <f t="shared" si="53"/>
        <v>588.14593218796983</v>
      </c>
      <c r="R63" s="59">
        <f t="shared" si="0"/>
        <v>872.4975299607836</v>
      </c>
      <c r="S63" s="59">
        <f ca="1">AVERAGE(OFFSET($R$3,0,0,'Données projet'!$E$9+1,1))-AVERAGE(OFFSET($H$3,0,0,'Données projet'!$E$9+1,1))</f>
        <v>479.46542424895119</v>
      </c>
      <c r="T63" s="59">
        <f t="shared" si="34"/>
        <v>337.96395820277337</v>
      </c>
      <c r="U63" s="15">
        <f>IF(ISNA(VLOOKUP(A63,'Données projet'!$A$35:$I$55,3,0)),0,VLOOKUP(A63,'Données projet'!$A$35:$I$55,3,0))</f>
        <v>5</v>
      </c>
      <c r="V63" s="15">
        <f>IF(ISNA(VLOOKUP(A63,'Données projet'!$A$35:$I$55,4,0)),0,VLOOKUP(A63,'Données projet'!$A$35:$I$55,4,0))</f>
        <v>56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1.3296289864061699</v>
      </c>
      <c r="AA63" s="21">
        <f>EXP(-LN(2)/25)*AA62+(1-EXP(-LN(2)/25))/(LN(2)/25)*Calculateur!V63*Calculateur!X63*VLOOKUP('Données projet'!$B$9,Paramètres!$A$1:$I$89,3,0)*0.475*44/12</f>
        <v>4.9111319570658187</v>
      </c>
      <c r="AB63" s="21">
        <f>EXP(-LN(2)/2)*AB62+(1-EXP(-LN(2)/2))/(LN(2)/2)*V63*Y63*VLOOKUP('Données projet'!$B$9,Paramètres!$A$1:$I$89,3,0)*0.475*44/12</f>
        <v>6.5775563885823443E-4</v>
      </c>
      <c r="AC63" s="22">
        <f t="shared" si="3"/>
        <v>6.2414186991108469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67.550435756221916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301</v>
      </c>
      <c r="AG63" s="12">
        <f>VLOOKUP(A63,'Données projet'!$A$61:$I$81,9,0)</f>
        <v>9.8000000000000007</v>
      </c>
      <c r="AH63" s="12">
        <f t="array" ref="AH63">INDEX(AG:AG,MIN(IF(ISNUMBER(AG63:AG259),ROW(AG63:AG259),"")))</f>
        <v>9.8000000000000007</v>
      </c>
      <c r="AI63" s="13">
        <f>IF('Données projet'!$A$62&gt;35,AI62+AH63-AQ62,IF(A63&lt;'Données projet'!$A$62,$AF$205^A63,IF(A63='Données projet'!$A$62,'Données projet'!$B$62,AI62+AH63-AQ62)))</f>
        <v>301</v>
      </c>
      <c r="AJ63" s="13">
        <f>AI63*VLOOKUP('Données projet'!$B$10,Paramètres!$A$1:$I$89,3,0)*VLOOKUP('Données projet'!$B$10,Paramètres!$A$1:$I$89,5,0)</f>
        <v>291.12720000000002</v>
      </c>
      <c r="AK63" s="13">
        <f t="shared" si="35"/>
        <v>69.313146187847352</v>
      </c>
      <c r="AL63" s="20">
        <f t="shared" si="4"/>
        <v>627.76693627716747</v>
      </c>
      <c r="AM63" s="59">
        <f t="shared" si="5"/>
        <v>912.11853404998124</v>
      </c>
      <c r="AN63" s="59">
        <f ca="1">AVERAGE(OFFSET($AM$3,0,0,'Données projet'!$E$10+1,1))-AVERAGE(OFFSET($H$3,0,0,'Données projet'!$E$10+1,1))</f>
        <v>508.94560627895089</v>
      </c>
      <c r="AO63" s="59">
        <f t="shared" si="36"/>
        <v>357.86868650263034</v>
      </c>
      <c r="AP63" s="15">
        <f>IF(ISNA(VLOOKUP(A63,'Données projet'!$A$61:$I$81,3,0)),0,VLOOKUP(A63,'Données projet'!$A$61:$I$81,3,0))</f>
        <v>5</v>
      </c>
      <c r="AQ63" s="15">
        <f>IF(ISNA(VLOOKUP(A63,'Données projet'!$A$61:$I$81,4,0)),0,VLOOKUP(A63,'Données projet'!$A$61:$I$81,4,0))</f>
        <v>56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1.4213275371928027</v>
      </c>
      <c r="AV63" s="21">
        <f>EXP(-LN(2)/25)*AV62+(1-EXP(-LN(2)/25))/(LN(2)/25)*Calculateur!AQ63*Calculateur!AS63*VLOOKUP('Données projet'!$B$10,Paramètres!$A$1:$I$89,3,0)*0.475*44/12</f>
        <v>5.2498307127255321</v>
      </c>
      <c r="AW63" s="21">
        <f>EXP(-LN(2)/2)*AW62+(1-EXP(-LN(2)/2))/(LN(2)/2)*AQ63*AT63*VLOOKUP('Données projet'!$B$10,Paramètres!$A$1:$I$89,3,0)*0.475*44/12</f>
        <v>7.0311809671052509E-4</v>
      </c>
      <c r="AX63" s="21">
        <f t="shared" si="6"/>
        <v>6.6718613680150458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67.550435756221916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345</v>
      </c>
      <c r="BB63" s="12">
        <f>VLOOKUP(A63,'Données projet'!$A$87:$I$107,9,0)</f>
        <v>9.6999999999999993</v>
      </c>
      <c r="BC63" s="12">
        <f t="array" ref="BC63">INDEX(BB:BB,MIN(IF(ISNUMBER(BB63:BB259),ROW(BB63:BB259),"")))</f>
        <v>9.6999999999999993</v>
      </c>
      <c r="BD63" s="12">
        <f>IF('Données projet'!$A$88&gt;35,BD62+BC63-BL62,IF(A63&lt;'Données projet'!$A$88,$BA$205^A63,IF(A63='Données projet'!$A$88,'Données projet'!$B$88,BD62+BC63-BL62)))</f>
        <v>344.99999999999994</v>
      </c>
      <c r="BE63" s="13">
        <f>BD63*VLOOKUP('Données projet'!$B$11,Paramètres!$A$1:$I$89,3,0)*VLOOKUP('Données projet'!$B$11,Paramètres!$A$1:$I$89,5,0)</f>
        <v>269.09999999999997</v>
      </c>
      <c r="BF63" s="13">
        <f t="shared" si="37"/>
        <v>64.658229472790993</v>
      </c>
      <c r="BG63" s="20">
        <f t="shared" si="7"/>
        <v>581.29558299844416</v>
      </c>
      <c r="BH63" s="59">
        <f t="shared" si="8"/>
        <v>865.64718077125781</v>
      </c>
      <c r="BI63" s="59">
        <f ca="1">AVERAGE(OFFSET($BH$3,0,0,'Données projet'!$E$11+1,1))-AVERAGE(OFFSET($H$3,0,0,'Données projet'!$E$11+1,1))</f>
        <v>383.03154033422328</v>
      </c>
      <c r="BJ63" s="59">
        <f t="shared" si="38"/>
        <v>373.27897156169877</v>
      </c>
      <c r="BK63" s="15">
        <f>IF(ISNA(VLOOKUP(A63,'Données projet'!$A$87:$I$107,3,0)),0,VLOOKUP(A63,'Données projet'!$A$87:$I$107,3,0))</f>
        <v>5</v>
      </c>
      <c r="BL63" s="15">
        <f>IF(ISNA(VLOOKUP(A63,'Données projet'!$A$87:$I$107,4,0)),0,VLOOKUP(A63,'Données projet'!$A$87:$I$107,4,0))</f>
        <v>72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0.79826863408005899</v>
      </c>
      <c r="BQ63" s="21">
        <f>EXP(-LN(2)/25)*BQ62+(1-EXP(-LN(2)/25))/(LN(2)/25)*Calculateur!BL63*Calculateur!BN63*VLOOKUP('Données projet'!$B$11,Paramètres!$A$1:$I$89,3,0)*0.475*44/12</f>
        <v>3.6435686071630156</v>
      </c>
      <c r="BR63" s="21">
        <f>EXP(-LN(2)/2)*BR62+(1-EXP(-LN(2)/2))/(LN(2)/2)*BL63*BO63*VLOOKUP('Données projet'!$B$11,Paramètres!$A$1:$I$89,3,0)*0.475*44/12</f>
        <v>3.9890074452825425E-4</v>
      </c>
      <c r="BS63" s="22">
        <f t="shared" si="9"/>
        <v>4.4422361419876033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67.550435756221916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301</v>
      </c>
      <c r="BW63" s="12">
        <f>VLOOKUP(A63,'Données projet'!$A$113:$I$133,9,0)</f>
        <v>9.8000000000000007</v>
      </c>
      <c r="BX63" s="12">
        <f t="array" ref="BX63">INDEX(BW:BW,MIN(IF(ISNUMBER(BW63:BW259),ROW(BW63:BW259),"")))</f>
        <v>9.8000000000000007</v>
      </c>
      <c r="BY63" s="12">
        <f>IF('Données projet'!$A$114&gt;35,BY62+BX63-CG62,IF(A63&lt;'Données projet'!$A$114,$BV$205^A63,IF(A63='Données projet'!$A$114,'Données projet'!$B$114,BY62+BX63-CG62)))</f>
        <v>301</v>
      </c>
      <c r="BZ63" s="13">
        <f>BY63*VLOOKUP('Données projet'!$B$12,Paramètres!$A$1:$I$89,3,0)*VLOOKUP('Données projet'!$B$12,Paramètres!$A$1:$I$89,5,0)</f>
        <v>253.56240000000005</v>
      </c>
      <c r="CA63" s="13">
        <f t="shared" si="39"/>
        <v>61.348145886656177</v>
      </c>
      <c r="CB63" s="20">
        <f t="shared" si="10"/>
        <v>548.46920075259288</v>
      </c>
      <c r="CC63" s="59">
        <f t="shared" si="11"/>
        <v>832.82079852540664</v>
      </c>
      <c r="CD63" s="59">
        <f ca="1">AVERAGE(OFFSET($CC$3,0,0,'Données projet'!$E$12+1,1))-AVERAGE(OFFSET($H$3,0,0,'Données projet'!$E$12+1,1))</f>
        <v>449.94334483948603</v>
      </c>
      <c r="CE63" s="59">
        <f t="shared" si="40"/>
        <v>318.02929110264176</v>
      </c>
      <c r="CF63" s="15">
        <f>IF(ISNA(VLOOKUP(A63,'Données projet'!$A$113:$I$133,3,0)),0,VLOOKUP(A63,'Données projet'!$A$113:$I$133,3,0))</f>
        <v>5</v>
      </c>
      <c r="CG63" s="15">
        <f>IF(ISNA(VLOOKUP(A63,'Données projet'!$A$113:$I$133,4,0)),0,VLOOKUP(A63,'Données projet'!$A$113:$I$133,4,0))</f>
        <v>56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1.2379304356195373</v>
      </c>
      <c r="CL63" s="21">
        <f>EXP(-LN(2)/25)*CL62+(1-EXP(-LN(2)/25))/(LN(2)/25)*Calculateur!CG63*Calculateur!CI63*VLOOKUP('Données projet'!$B$12,Paramètres!$A$1:$I$89,3,0)*0.475*44/12</f>
        <v>4.5724332014061089</v>
      </c>
      <c r="CM63" s="21">
        <f>EXP(-LN(2)/2)*CM62+(1-EXP(-LN(2)/2))/(LN(2)/2)*CG63*CJ63*VLOOKUP('Données projet'!$B$12,Paramètres!$A$1:$I$89,3,0)*0.475*44/12</f>
        <v>6.1239318100594182E-4</v>
      </c>
      <c r="CN63" s="22">
        <f t="shared" si="12"/>
        <v>5.8109760302066524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67.550435756221916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298</v>
      </c>
      <c r="CR63" s="12">
        <f>VLOOKUP(A63,'Données projet'!$A$139:$I$159,9,0)</f>
        <v>10.9</v>
      </c>
      <c r="CS63" s="12">
        <f t="array" ref="CS63">INDEX(CR:CR,MIN(IF(ISNUMBER(CR63:CR259),ROW(CR63:CR259),"")))</f>
        <v>10.9</v>
      </c>
      <c r="CT63" s="12">
        <f>IF('Données projet'!$A$140&gt;35,CT62+CS63-DB62,IF(A63&lt;'Données projet'!$A$140,$CQ$205^A63,IF(A63='Données projet'!$A$140,'Données projet'!$B$140,CT62+CS63-DB62)))</f>
        <v>298</v>
      </c>
      <c r="CU63" s="17">
        <f>CT63*VLOOKUP('Données projet'!$B$13,Paramètres!$A$1:$I$89,3,0)*VLOOKUP('Données projet'!$B$13,Paramètres!$A$1:$I$89,5,0)</f>
        <v>255.68400000000003</v>
      </c>
      <c r="CV63" s="13">
        <f t="shared" si="41"/>
        <v>61.801486802994056</v>
      </c>
      <c r="CW63" s="20">
        <f t="shared" si="13"/>
        <v>552.95388951521466</v>
      </c>
      <c r="CX63" s="59">
        <f t="shared" si="14"/>
        <v>837.30548728802842</v>
      </c>
      <c r="CY63" s="59">
        <f ca="1">AVERAGE(OFFSET($CX$3,0,0,'Données projet'!$E$13+1,1))-AVERAGE(OFFSET($H$3,0,0,'Données projet'!$E$13+1,1))</f>
        <v>565.32667500225568</v>
      </c>
      <c r="CZ63" s="59">
        <f t="shared" si="42"/>
        <v>275.06957234480944</v>
      </c>
      <c r="DA63" s="15">
        <f>IF(ISNA(VLOOKUP(A63,'Données projet'!$A$139:$I$159,3,0)),0,VLOOKUP(A63,'Données projet'!$A$139:$I$159,3,0))</f>
        <v>4</v>
      </c>
      <c r="DB63" s="15">
        <f>IF(ISNA(VLOOKUP(A63,'Données projet'!$A$139:$I$159,4,0)),0,VLOOKUP(A63,'Données projet'!$A$139:$I$159,4,0))</f>
        <v>56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0</v>
      </c>
      <c r="DG63" s="21">
        <f>EXP(-LN(2)/25)*DG62+(1-EXP(-LN(2)/25))/(LN(2)/25)*Calculateur!DB63*Calculateur!DD63*VLOOKUP('Données projet'!$B$13,Paramètres!$A$1:$I$89,3,0)*0.475*44/12</f>
        <v>1.907080247209102</v>
      </c>
      <c r="DH63" s="21">
        <f>EXP(-LN(2)/2)*DH62+(1-EXP(-LN(2)/2))/(LN(2)/2)*DB63*DE63*VLOOKUP('Données projet'!$B$13,Paramètres!$A$1:$I$89,3,0)*0.475*44/12</f>
        <v>2.1617212864379745E-4</v>
      </c>
      <c r="DI63" s="22">
        <f t="shared" si="15"/>
        <v>1.9072964193377457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67.550435756221916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679</v>
      </c>
      <c r="DM63" s="12">
        <f>VLOOKUP(A63,'Données projet'!$A$165:$I$185,9,0)</f>
        <v>19.3</v>
      </c>
      <c r="DN63" s="12">
        <f t="array" ref="DN63">INDEX(DM:DM,MIN(IF(ISNUMBER(DM63:DM259),ROW(DM63:DM259),"")))</f>
        <v>19.3</v>
      </c>
      <c r="DO63" s="12">
        <f>IF('Données projet'!$A$166&gt;35,DO62+DN63-DW62,IF(A63&lt;'Données projet'!$A$166,$DL$205^A63,IF(A63='Données projet'!$A$166,'Données projet'!$B$166,DO62+DN63-DW62)))</f>
        <v>678.99999999999943</v>
      </c>
      <c r="DP63" s="17">
        <f>DO63*VLOOKUP('Données projet'!$B$14,Paramètres!$A$1:$I$89,3,0)*VLOOKUP('Données projet'!$B$14,Paramètres!$A$1:$I$89,5,0)</f>
        <v>379.56099999999969</v>
      </c>
      <c r="DQ63" s="13">
        <f t="shared" si="43"/>
        <v>87.620407950587037</v>
      </c>
      <c r="DR63" s="20">
        <f t="shared" si="16"/>
        <v>813.67428551393857</v>
      </c>
      <c r="DS63" s="59">
        <f t="shared" si="17"/>
        <v>1098.0258832867523</v>
      </c>
      <c r="DT63" s="59">
        <f ca="1">AVERAGE(OFFSET($DS$3,0,0,'Données projet'!$E$14+1,1))-AVERAGE(OFFSET($H$3,0,0,'Données projet'!$E$14+1,1))</f>
        <v>532.64469322244281</v>
      </c>
      <c r="DU63" s="59">
        <f t="shared" si="44"/>
        <v>525.88014011096413</v>
      </c>
      <c r="DV63" s="15">
        <f>IF(ISNA(VLOOKUP(A63,'Données projet'!$A$165:$I$185,3,0)),0,VLOOKUP(A63,'Données projet'!$A$165:$I$185,3,0))</f>
        <v>5</v>
      </c>
      <c r="DW63" s="15">
        <f>IF(ISNA(VLOOKUP(A63,'Données projet'!$A$165:$I$185,4,0)),0,VLOOKUP(A63,'Données projet'!$A$165:$I$185,4,0))</f>
        <v>96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6.3042753665809785</v>
      </c>
      <c r="EB63" s="21">
        <f>EXP(-LN(2)/25)*EB62+(1-EXP(-LN(2)/25))/(LN(2)/25)*Calculateur!DW63*Calculateur!DY63*VLOOKUP('Données projet'!$B$14,Paramètres!$A$1:$I$89,3,0)*0.475*44/12</f>
        <v>16.871013150002213</v>
      </c>
      <c r="EC63" s="21">
        <f>EXP(-LN(2)/2)*EC62+(1-EXP(-LN(2)/2))/(LN(2)/2)*DW63*DZ63*VLOOKUP('Données projet'!$B$14,Paramètres!$A$1:$I$89,3,0)*0.475*44/12</f>
        <v>1.1130337937937651E-3</v>
      </c>
      <c r="ED63" s="22">
        <f t="shared" si="18"/>
        <v>23.176401550376983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67.550435756221916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>
        <f>VLOOKUP(A63,'Données projet'!$A$191:$I$211,2,0)</f>
        <v>235</v>
      </c>
      <c r="EH63" s="12">
        <f>VLOOKUP(A63,'Données projet'!$A$191:$I$211,9,0)</f>
        <v>7.8</v>
      </c>
      <c r="EI63" s="12">
        <f t="array" ref="EI63">INDEX(EH:EH,MIN(IF(ISNUMBER(EH63:EH259),ROW(EH63:EH259),"")))</f>
        <v>7.8</v>
      </c>
      <c r="EJ63" s="12">
        <f>IF('Données projet'!$A$192&gt;35,EJ62+EI63-ER62,IF(A63&lt;'Données projet'!$A$192,$EG$205^A63,IF(A63='Données projet'!$A$192,'Données projet'!$B$192,EJ62+EI63-ER62)))</f>
        <v>235.00000000000017</v>
      </c>
      <c r="EK63" s="17">
        <f>EJ63*VLOOKUP('Données projet'!$B$15,Paramètres!$A$1:$I$89,3,0)*VLOOKUP('Données projet'!$B$15,Paramètres!$A$1:$I$89,5,0)</f>
        <v>212.62800000000016</v>
      </c>
      <c r="EL63" s="13">
        <f t="shared" si="45"/>
        <v>52.509453483719085</v>
      </c>
      <c r="EM63" s="20">
        <f t="shared" si="19"/>
        <v>461.78106481747767</v>
      </c>
      <c r="EN63" s="59">
        <f t="shared" si="20"/>
        <v>746.13266259029137</v>
      </c>
      <c r="EO63" s="59">
        <f ca="1">AVERAGE(OFFSET($EN$3,0,0,'Données projet'!$E$15+1,1))-AVERAGE(OFFSET($H$3,0,0,'Données projet'!$E$15+1,1))</f>
        <v>398.27843768730202</v>
      </c>
      <c r="EP63" s="59">
        <f t="shared" si="46"/>
        <v>252.3617347568813</v>
      </c>
      <c r="EQ63" s="15">
        <f>IF(ISNA(VLOOKUP(A63,'Données projet'!$A$191:$I$211,3,0)),0,VLOOKUP(A63,'Données projet'!$A$191:$I$211,3,0))</f>
        <v>4</v>
      </c>
      <c r="ER63" s="15">
        <f>IF(ISNA(VLOOKUP(A63,'Données projet'!$A$191:$I$211,4,0)),0,VLOOKUP(A63,'Données projet'!$A$191:$I$211,4,0))</f>
        <v>42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0</v>
      </c>
      <c r="EW63" s="21">
        <f>EXP(-LN(2)/25)*EW62+(1-EXP(-LN(2)/25))/(LN(2)/25)*Calculateur!ER63*Calculateur!ET63*VLOOKUP('Données projet'!$B$15,Paramètres!$A$1:$I$89,3,0)*0.475*44/12</f>
        <v>1.3519381128120127</v>
      </c>
      <c r="EX63" s="21">
        <f>EXP(-LN(2)/2)*EX62+(1-EXP(-LN(2)/2))/(LN(2)/2)*ER63*EU63*VLOOKUP('Données projet'!$B$15,Paramètres!$A$1:$I$89,3,0)*0.475*44/12</f>
        <v>1.8888390669032066E-4</v>
      </c>
      <c r="EY63" s="22">
        <f t="shared" si="21"/>
        <v>1.3521269967187031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67.550435756221916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>
        <f>VLOOKUP(A63,'Données projet'!$A$217:$I$237,2,0)</f>
        <v>235</v>
      </c>
      <c r="FC63" s="12">
        <f>VLOOKUP(A63,'Données projet'!$A$217:$I$237,9,0)</f>
        <v>7.8</v>
      </c>
      <c r="FD63" s="12">
        <f t="array" ref="FD63">INDEX(FC:FC,MIN(IF(ISNUMBER(FC63:FC259),ROW(FC63:FC259),"")))</f>
        <v>7.8</v>
      </c>
      <c r="FE63" s="12">
        <f>IF('Données projet'!$A$218&gt;35,FE62+FD63-FM62,IF(A63&lt;'Données projet'!$A$218,$FB$205^A63,IF(A63='Données projet'!$A$218,'Données projet'!$B$218,FE62+FD63-FM62)))</f>
        <v>235.00000000000017</v>
      </c>
      <c r="FF63" s="17">
        <f>FE63*VLOOKUP('Données projet'!$B$16,Paramètres!$A$1:$I$89,3,0)*VLOOKUP('Données projet'!$B$16,Paramètres!$A$1:$I$89,5,0)</f>
        <v>227.29200000000017</v>
      </c>
      <c r="FG63" s="13">
        <f t="shared" si="47"/>
        <v>55.696745617483749</v>
      </c>
      <c r="FH63" s="20">
        <f t="shared" si="22"/>
        <v>492.87206528378442</v>
      </c>
      <c r="FI63" s="59">
        <f t="shared" si="23"/>
        <v>777.22366305659807</v>
      </c>
      <c r="FJ63" s="59">
        <f ca="1">AVERAGE(OFFSET($FI$3,0,0,'Données projet'!$E$16+1,1))-AVERAGE(OFFSET($H$3,0,0,'Données projet'!$E$16+1,1))</f>
        <v>422.28024471365825</v>
      </c>
      <c r="FK63" s="59">
        <f t="shared" si="48"/>
        <v>266.49730479813206</v>
      </c>
      <c r="FL63" s="15">
        <f>IF(ISNA(VLOOKUP(A63,'Données projet'!$A$217:$I$237,3,0)),0,VLOOKUP(A63,'Données projet'!$A$217:$I$237,3,0))</f>
        <v>4</v>
      </c>
      <c r="FM63" s="15">
        <f>IF(ISNA(VLOOKUP(A63,'Données projet'!$A$217:$I$237,4,0)),0,VLOOKUP(A63,'Données projet'!$A$217:$I$237,4,0))</f>
        <v>42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>
        <f>EXP(-LN(2)/35)*FQ62+(1-EXP(-LN(2)/35))/(LN(2)/35)*FM63*FN63*VLOOKUP('Données projet'!$B$16,Paramètres!$A$1:$I$89,3,0)*0.475*44/12</f>
        <v>0</v>
      </c>
      <c r="FR63" s="21">
        <f>EXP(-LN(2)/25)*FR62+(1-EXP(-LN(2)/25))/(LN(2)/25)*Calculateur!FM63*Calculateur!FO63*VLOOKUP('Données projet'!$B$16,Paramètres!$A$1:$I$89,3,0)*0.475*44/12</f>
        <v>1.4451752240404274</v>
      </c>
      <c r="FS63" s="21">
        <f>EXP(-LN(2)/2)*FS62+(1-EXP(-LN(2)/2))/(LN(2)/2)*FM63*FP63*VLOOKUP('Données projet'!$B$16,Paramètres!$A$1:$I$89,3,0)*0.475*44/12</f>
        <v>2.0191038301379101E-4</v>
      </c>
      <c r="FT63" s="22">
        <f t="shared" si="24"/>
        <v>1.4453771344234412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67.550435756221916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8</v>
      </c>
      <c r="FZ63" s="12">
        <f>IF('Données projet'!$A$244&gt;35,FZ62+FY63-GH62,IF(A63&lt;'Données projet'!$A$244,$FW$205^A63,IF(A63='Données projet'!$A$244,'Données projet'!$B$244,FZ62+FY63-GH62)))</f>
        <v>263.00000000000011</v>
      </c>
      <c r="GA63" s="17">
        <f>FZ63*VLOOKUP('Données projet'!$B$17,Paramètres!$A$1:$I$89,3,0)*VLOOKUP('Données projet'!$B$17,Paramètres!$A$1:$I$89,5,0)</f>
        <v>205.1400000000001</v>
      </c>
      <c r="GB63" s="13">
        <f t="shared" si="49"/>
        <v>50.872110483472362</v>
      </c>
      <c r="GC63" s="20">
        <f t="shared" si="25"/>
        <v>445.88775909204782</v>
      </c>
      <c r="GD63" s="59">
        <f t="shared" si="26"/>
        <v>730.23935686486152</v>
      </c>
      <c r="GE63" s="59">
        <f ca="1">AVERAGE(OFFSET($GD$3,0,0,'Données projet'!$E$17+1,1))-AVERAGE(OFFSET($H$3,0,0,'Données projet'!$E$17+1,1))</f>
        <v>300.95722646933314</v>
      </c>
      <c r="GF63" s="59">
        <f t="shared" si="50"/>
        <v>269.52365224623759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>
        <f>EXP(-LN(2)/35)*GL62+(1-EXP(-LN(2)/35))/(LN(2)/35)*GH63*GI63*VLOOKUP('Données projet'!$B$17,Paramètres!$A$1:$I$89,3,0)*0.475*44/12</f>
        <v>0.49124223635695935</v>
      </c>
      <c r="GM63" s="21">
        <f>EXP(-LN(2)/25)*GM62+(1-EXP(-LN(2)/25))/(LN(2)/25)*Calculateur!GH63*Calculateur!GJ63*VLOOKUP('Données projet'!$B$17,Paramètres!$A$1:$I$89,3,0)*0.475*44/12</f>
        <v>2.7157485158049597</v>
      </c>
      <c r="GN63" s="21">
        <f>EXP(-LN(2)/2)*GN62+(1-EXP(-LN(2)/2))/(LN(2)/2)*GH63*GK63*VLOOKUP('Données projet'!$B$17,Paramètres!$A$1:$I$89,3,0)*0.475*44/12</f>
        <v>2.7035411438662245E-4</v>
      </c>
      <c r="GO63" s="21">
        <f t="shared" si="27"/>
        <v>3.2072611062763059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67.550435756221916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1.4000000000000001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5.1333333333333337</v>
      </c>
      <c r="H64" s="67">
        <f t="shared" si="1"/>
        <v>236.13333333333335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67.592930219446231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8.5</v>
      </c>
      <c r="N64" s="13">
        <f>IF('Données projet'!$A$36&gt;35,N63+M64-V63,IF(A64&lt;'Données projet'!$A$36,$K$205^A64,IF(A64='Données projet'!$A$36,'Données projet'!$B$36,N63+M64-V63)))</f>
        <v>253.5</v>
      </c>
      <c r="O64" s="13">
        <f>N64*VLOOKUP('Données projet'!$B$9,Paramètres!$A$1:$I$89,3,0)*VLOOKUP('Données projet'!$B$9,Paramètres!$A$1:$I$89,5,0)</f>
        <v>229.36680000000001</v>
      </c>
      <c r="P64" s="13">
        <f t="shared" si="33"/>
        <v>56.14574692729505</v>
      </c>
      <c r="Q64" s="20">
        <f t="shared" si="53"/>
        <v>497.26768589837212</v>
      </c>
      <c r="R64" s="59">
        <f t="shared" si="0"/>
        <v>781.77509670300833</v>
      </c>
      <c r="S64" s="59">
        <f ca="1">AVERAGE(OFFSET($R$3,0,0,'Données projet'!$E$9+1,1))-AVERAGE(OFFSET($H$3,0,0,'Données projet'!$E$9+1,1))</f>
        <v>479.46542424895119</v>
      </c>
      <c r="T64" s="59">
        <f t="shared" si="34"/>
        <v>337.96395820277337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1.3035557729763476</v>
      </c>
      <c r="AA64" s="21">
        <f>EXP(-LN(2)/25)*AA63+(1-EXP(-LN(2)/25))/(LN(2)/25)*Calculateur!V64*Calculateur!X64*VLOOKUP('Données projet'!$B$9,Paramètres!$A$1:$I$89,3,0)*0.475*44/12</f>
        <v>4.7768367954346491</v>
      </c>
      <c r="AB64" s="21">
        <f>EXP(-LN(2)/2)*AB63+(1-EXP(-LN(2)/2))/(LN(2)/2)*V64*Y64*VLOOKUP('Données projet'!$B$9,Paramètres!$A$1:$I$89,3,0)*0.475*44/12</f>
        <v>4.6510347260034739E-4</v>
      </c>
      <c r="AC64" s="22">
        <f t="shared" si="3"/>
        <v>6.0808576718835967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67.592930219446231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8.5</v>
      </c>
      <c r="AI64" s="13">
        <f>IF('Données projet'!$A$62&gt;35,AI63+AH64-AQ63,IF(A64&lt;'Données projet'!$A$62,$AF$205^A64,IF(A64='Données projet'!$A$62,'Données projet'!$B$62,AI63+AH64-AQ63)))</f>
        <v>253.5</v>
      </c>
      <c r="AJ64" s="13">
        <f>AI64*VLOOKUP('Données projet'!$B$10,Paramètres!$A$1:$I$89,3,0)*VLOOKUP('Données projet'!$B$10,Paramètres!$A$1:$I$89,5,0)</f>
        <v>245.18519999999998</v>
      </c>
      <c r="AK64" s="13">
        <f t="shared" si="35"/>
        <v>59.553759878357077</v>
      </c>
      <c r="AL64" s="20">
        <f t="shared" si="4"/>
        <v>530.75368845480523</v>
      </c>
      <c r="AM64" s="59">
        <f t="shared" si="5"/>
        <v>815.26109925944138</v>
      </c>
      <c r="AN64" s="59">
        <f ca="1">AVERAGE(OFFSET($AM$3,0,0,'Données projet'!$E$10+1,1))-AVERAGE(OFFSET($H$3,0,0,'Données projet'!$E$10+1,1))</f>
        <v>508.94560627895089</v>
      </c>
      <c r="AO64" s="59">
        <f t="shared" si="36"/>
        <v>357.86868650263034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1.3934561711126479</v>
      </c>
      <c r="AV64" s="21">
        <f>EXP(-LN(2)/25)*AV63+(1-EXP(-LN(2)/25))/(LN(2)/25)*Calculateur!AQ64*Calculateur!AS64*VLOOKUP('Données projet'!$B$10,Paramètres!$A$1:$I$89,3,0)*0.475*44/12</f>
        <v>5.1062738158094536</v>
      </c>
      <c r="AW64" s="21">
        <f>EXP(-LN(2)/2)*AW63+(1-EXP(-LN(2)/2))/(LN(2)/2)*AQ64*AT64*VLOOKUP('Données projet'!$B$10,Paramètres!$A$1:$I$89,3,0)*0.475*44/12</f>
        <v>4.9717957415899101E-4</v>
      </c>
      <c r="AX64" s="21">
        <f t="shared" si="6"/>
        <v>6.500227166496261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67.592930219446231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9.1</v>
      </c>
      <c r="BD64" s="12">
        <f>IF('Données projet'!$A$88&gt;35,BD63+BC64-BL63,IF(A64&lt;'Données projet'!$A$88,$BA$205^A64,IF(A64='Données projet'!$A$88,'Données projet'!$B$88,BD63+BC64-BL63)))</f>
        <v>282.09999999999997</v>
      </c>
      <c r="BE64" s="13">
        <f>BD64*VLOOKUP('Données projet'!$B$11,Paramètres!$A$1:$I$89,3,0)*VLOOKUP('Données projet'!$B$11,Paramètres!$A$1:$I$89,5,0)</f>
        <v>220.03799999999998</v>
      </c>
      <c r="BF64" s="13">
        <f t="shared" si="37"/>
        <v>54.123144749824128</v>
      </c>
      <c r="BG64" s="20">
        <f t="shared" si="7"/>
        <v>477.49732710594367</v>
      </c>
      <c r="BH64" s="59">
        <f t="shared" si="8"/>
        <v>762.00473791057993</v>
      </c>
      <c r="BI64" s="59">
        <f ca="1">AVERAGE(OFFSET($BH$3,0,0,'Données projet'!$E$11+1,1))-AVERAGE(OFFSET($H$3,0,0,'Données projet'!$E$11+1,1))</f>
        <v>383.03154033422328</v>
      </c>
      <c r="BJ64" s="59">
        <f t="shared" si="38"/>
        <v>373.27897156169877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0.78261507306153888</v>
      </c>
      <c r="BQ64" s="21">
        <f>EXP(-LN(2)/25)*BQ63+(1-EXP(-LN(2)/25))/(LN(2)/25)*Calculateur!BL64*Calculateur!BN64*VLOOKUP('Données projet'!$B$11,Paramètres!$A$1:$I$89,3,0)*0.475*44/12</f>
        <v>3.5439350319931973</v>
      </c>
      <c r="BR64" s="21">
        <f>EXP(-LN(2)/2)*BR63+(1-EXP(-LN(2)/2))/(LN(2)/2)*BL64*BO64*VLOOKUP('Données projet'!$B$11,Paramètres!$A$1:$I$89,3,0)*0.475*44/12</f>
        <v>2.8206542147629117E-4</v>
      </c>
      <c r="BS64" s="22">
        <f t="shared" si="9"/>
        <v>4.3268321704762123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67.592930219446231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8.5</v>
      </c>
      <c r="BY64" s="12">
        <f>IF('Données projet'!$A$114&gt;35,BY63+BX64-CG63,IF(A64&lt;'Données projet'!$A$114,$BV$205^A64,IF(A64='Données projet'!$A$114,'Données projet'!$B$114,BY63+BX64-CG63)))</f>
        <v>253.5</v>
      </c>
      <c r="BZ64" s="13">
        <f>BY64*VLOOKUP('Données projet'!$B$12,Paramètres!$A$1:$I$89,3,0)*VLOOKUP('Données projet'!$B$12,Paramètres!$A$1:$I$89,5,0)</f>
        <v>213.54840000000004</v>
      </c>
      <c r="CA64" s="13">
        <f t="shared" si="39"/>
        <v>52.710242573823848</v>
      </c>
      <c r="CB64" s="20">
        <f t="shared" si="10"/>
        <v>463.73380248274316</v>
      </c>
      <c r="CC64" s="59">
        <f t="shared" si="11"/>
        <v>748.24121328737942</v>
      </c>
      <c r="CD64" s="59">
        <f ca="1">AVERAGE(OFFSET($CC$3,0,0,'Données projet'!$E$12+1,1))-AVERAGE(OFFSET($H$3,0,0,'Données projet'!$E$12+1,1))</f>
        <v>449.94334483948603</v>
      </c>
      <c r="CE64" s="59">
        <f t="shared" si="40"/>
        <v>318.02929110264176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1.2136553748400476</v>
      </c>
      <c r="CL64" s="21">
        <f>EXP(-LN(2)/25)*CL63+(1-EXP(-LN(2)/25))/(LN(2)/25)*Calculateur!CG64*Calculateur!CI64*VLOOKUP('Données projet'!$B$12,Paramètres!$A$1:$I$89,3,0)*0.475*44/12</f>
        <v>4.4473997750598473</v>
      </c>
      <c r="CM64" s="21">
        <f>EXP(-LN(2)/2)*CM63+(1-EXP(-LN(2)/2))/(LN(2)/2)*CG64*CJ64*VLOOKUP('Données projet'!$B$12,Paramètres!$A$1:$I$89,3,0)*0.475*44/12</f>
        <v>4.330273710417023E-4</v>
      </c>
      <c r="CN64" s="22">
        <f t="shared" si="12"/>
        <v>5.661488177270936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67.592930219446231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10.199999999999999</v>
      </c>
      <c r="CT64" s="12">
        <f>IF('Données projet'!$A$140&gt;35,CT63+CS64-DB63,IF(A64&lt;'Données projet'!$A$140,$CQ$205^A64,IF(A64='Données projet'!$A$140,'Données projet'!$B$140,CT63+CS64-DB63)))</f>
        <v>252.2</v>
      </c>
      <c r="CU64" s="17">
        <f>CT64*VLOOKUP('Données projet'!$B$13,Paramètres!$A$1:$I$89,3,0)*VLOOKUP('Données projet'!$B$13,Paramètres!$A$1:$I$89,5,0)</f>
        <v>216.38760000000002</v>
      </c>
      <c r="CV64" s="13">
        <f t="shared" si="41"/>
        <v>53.328993492050351</v>
      </c>
      <c r="CW64" s="20">
        <f t="shared" si="13"/>
        <v>469.75640033198766</v>
      </c>
      <c r="CX64" s="59">
        <f t="shared" si="14"/>
        <v>754.26381113662387</v>
      </c>
      <c r="CY64" s="59">
        <f ca="1">AVERAGE(OFFSET($CX$3,0,0,'Données projet'!$E$13+1,1))-AVERAGE(OFFSET($H$3,0,0,'Données projet'!$E$13+1,1))</f>
        <v>565.32667500225568</v>
      </c>
      <c r="CZ64" s="59">
        <f t="shared" si="42"/>
        <v>275.06957234480944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0</v>
      </c>
      <c r="DG64" s="21">
        <f>EXP(-LN(2)/25)*DG63+(1-EXP(-LN(2)/25))/(LN(2)/25)*Calculateur!DB64*Calculateur!DD64*VLOOKUP('Données projet'!$B$13,Paramètres!$A$1:$I$89,3,0)*0.475*44/12</f>
        <v>1.8549310375601775</v>
      </c>
      <c r="DH64" s="21">
        <f>EXP(-LN(2)/2)*DH63+(1-EXP(-LN(2)/2))/(LN(2)/2)*DB64*DE64*VLOOKUP('Données projet'!$B$13,Paramètres!$A$1:$I$89,3,0)*0.475*44/12</f>
        <v>1.5285677806755989E-4</v>
      </c>
      <c r="DI64" s="22">
        <f t="shared" si="15"/>
        <v>1.8550838943382451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67.592930219446231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15.8</v>
      </c>
      <c r="DO64" s="12">
        <f>IF('Données projet'!$A$166&gt;35,DO63+DN64-DW63,IF(A64&lt;'Données projet'!$A$166,$DL$205^A64,IF(A64='Données projet'!$A$166,'Données projet'!$B$166,DO63+DN64-DW63)))</f>
        <v>598.79999999999939</v>
      </c>
      <c r="DP64" s="17">
        <f>DO64*VLOOKUP('Données projet'!$B$14,Paramètres!$A$1:$I$89,3,0)*VLOOKUP('Données projet'!$B$14,Paramètres!$A$1:$I$89,5,0)</f>
        <v>334.72919999999971</v>
      </c>
      <c r="DQ64" s="13">
        <f t="shared" si="43"/>
        <v>78.409977536916543</v>
      </c>
      <c r="DR64" s="20">
        <f t="shared" si="16"/>
        <v>719.55073421012912</v>
      </c>
      <c r="DS64" s="59">
        <f t="shared" si="17"/>
        <v>1004.0581450147654</v>
      </c>
      <c r="DT64" s="59">
        <f ca="1">AVERAGE(OFFSET($DS$3,0,0,'Données projet'!$E$14+1,1))-AVERAGE(OFFSET($H$3,0,0,'Données projet'!$E$14+1,1))</f>
        <v>532.64469322244281</v>
      </c>
      <c r="DU64" s="59">
        <f t="shared" si="44"/>
        <v>525.88014011096413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6.1806523718706146</v>
      </c>
      <c r="EB64" s="21">
        <f>EXP(-LN(2)/25)*EB63+(1-EXP(-LN(2)/25))/(LN(2)/25)*Calculateur!DW64*Calculateur!DY64*VLOOKUP('Données projet'!$B$14,Paramètres!$A$1:$I$89,3,0)*0.475*44/12</f>
        <v>16.40967440820738</v>
      </c>
      <c r="EC64" s="21">
        <f>EXP(-LN(2)/2)*EC63+(1-EXP(-LN(2)/2))/(LN(2)/2)*DW64*DZ64*VLOOKUP('Données projet'!$B$14,Paramètres!$A$1:$I$89,3,0)*0.475*44/12</f>
        <v>7.8703374328136075E-4</v>
      </c>
      <c r="ED64" s="22">
        <f t="shared" si="18"/>
        <v>22.591113813821277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67.592930219446231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7</v>
      </c>
      <c r="EJ64" s="12">
        <f>IF('Données projet'!$A$192&gt;35,EJ63+EI64-ER63,IF(A64&lt;'Données projet'!$A$192,$EG$205^A64,IF(A64='Données projet'!$A$192,'Données projet'!$B$192,EJ63+EI64-ER63)))</f>
        <v>200.00000000000017</v>
      </c>
      <c r="EK64" s="17">
        <f>EJ64*VLOOKUP('Données projet'!$B$15,Paramètres!$A$1:$I$89,3,0)*VLOOKUP('Données projet'!$B$15,Paramètres!$A$1:$I$89,5,0)</f>
        <v>180.96000000000015</v>
      </c>
      <c r="EL64" s="13">
        <f t="shared" si="45"/>
        <v>45.535702314871806</v>
      </c>
      <c r="EM64" s="20">
        <f t="shared" si="19"/>
        <v>394.48001486506865</v>
      </c>
      <c r="EN64" s="59">
        <f t="shared" si="20"/>
        <v>678.98742566970486</v>
      </c>
      <c r="EO64" s="59">
        <f ca="1">AVERAGE(OFFSET($EN$3,0,0,'Données projet'!$E$15+1,1))-AVERAGE(OFFSET($H$3,0,0,'Données projet'!$E$15+1,1))</f>
        <v>398.27843768730202</v>
      </c>
      <c r="EP64" s="59">
        <f t="shared" si="46"/>
        <v>252.3617347568813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0</v>
      </c>
      <c r="EW64" s="21">
        <f>EXP(-LN(2)/25)*EW63+(1-EXP(-LN(2)/25))/(LN(2)/25)*Calculateur!ER64*Calculateur!ET64*VLOOKUP('Données projet'!$B$15,Paramètres!$A$1:$I$89,3,0)*0.475*44/12</f>
        <v>1.3149692940218327</v>
      </c>
      <c r="EX64" s="21">
        <f>EXP(-LN(2)/2)*EX63+(1-EXP(-LN(2)/2))/(LN(2)/2)*ER64*EU64*VLOOKUP('Données projet'!$B$15,Paramètres!$A$1:$I$89,3,0)*0.475*44/12</f>
        <v>1.3356109127773283E-4</v>
      </c>
      <c r="EY64" s="22">
        <f t="shared" si="21"/>
        <v>1.3151028551131105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67.592930219446231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7</v>
      </c>
      <c r="FE64" s="12">
        <f>IF('Données projet'!$A$218&gt;35,FE63+FD64-FM63,IF(A64&lt;'Données projet'!$A$218,$FB$205^A64,IF(A64='Données projet'!$A$218,'Données projet'!$B$218,FE63+FD64-FM63)))</f>
        <v>200.00000000000017</v>
      </c>
      <c r="FF64" s="17">
        <f>FE64*VLOOKUP('Données projet'!$B$16,Paramètres!$A$1:$I$89,3,0)*VLOOKUP('Données projet'!$B$16,Paramètres!$A$1:$I$89,5,0)</f>
        <v>193.44000000000017</v>
      </c>
      <c r="FG64" s="13">
        <f t="shared" si="47"/>
        <v>48.299691961776787</v>
      </c>
      <c r="FH64" s="20">
        <f t="shared" si="22"/>
        <v>421.02996350009477</v>
      </c>
      <c r="FI64" s="59">
        <f t="shared" si="23"/>
        <v>705.53737430473097</v>
      </c>
      <c r="FJ64" s="59">
        <f ca="1">AVERAGE(OFFSET($FI$3,0,0,'Données projet'!$E$16+1,1))-AVERAGE(OFFSET($H$3,0,0,'Données projet'!$E$16+1,1))</f>
        <v>422.28024471365825</v>
      </c>
      <c r="FK64" s="59">
        <f t="shared" si="48"/>
        <v>266.49730479813206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0</v>
      </c>
      <c r="FR64" s="21">
        <f>EXP(-LN(2)/25)*FR63+(1-EXP(-LN(2)/25))/(LN(2)/25)*Calculateur!FM64*Calculateur!FO64*VLOOKUP('Données projet'!$B$16,Paramètres!$A$1:$I$89,3,0)*0.475*44/12</f>
        <v>1.40565683154058</v>
      </c>
      <c r="FS64" s="21">
        <f>EXP(-LN(2)/2)*FS63+(1-EXP(-LN(2)/2))/(LN(2)/2)*FM64*FP64*VLOOKUP('Données projet'!$B$16,Paramètres!$A$1:$I$89,3,0)*0.475*44/12</f>
        <v>1.4277220102102472E-4</v>
      </c>
      <c r="FT64" s="22">
        <f t="shared" si="24"/>
        <v>1.405799603741601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67.592930219446231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8</v>
      </c>
      <c r="FZ64" s="12">
        <f>IF('Données projet'!$A$244&gt;35,FZ63+FY64-GH63,IF(A64&lt;'Données projet'!$A$244,$FW$205^A64,IF(A64='Données projet'!$A$244,'Données projet'!$B$244,FZ63+FY64-GH63)))</f>
        <v>271.00000000000011</v>
      </c>
      <c r="GA64" s="17">
        <f>FZ64*VLOOKUP('Données projet'!$B$17,Paramètres!$A$1:$I$89,3,0)*VLOOKUP('Données projet'!$B$17,Paramètres!$A$1:$I$89,5,0)</f>
        <v>211.38000000000011</v>
      </c>
      <c r="GB64" s="13">
        <f t="shared" si="49"/>
        <v>52.23703536408425</v>
      </c>
      <c r="GC64" s="20">
        <f t="shared" si="25"/>
        <v>459.13300325911359</v>
      </c>
      <c r="GD64" s="59">
        <f t="shared" si="26"/>
        <v>743.64041406374986</v>
      </c>
      <c r="GE64" s="59">
        <f ca="1">AVERAGE(OFFSET($GD$3,0,0,'Données projet'!$E$17+1,1))-AVERAGE(OFFSET($H$3,0,0,'Données projet'!$E$17+1,1))</f>
        <v>300.95722646933314</v>
      </c>
      <c r="GF64" s="59">
        <f t="shared" si="50"/>
        <v>269.52365224623759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>
        <f>EXP(-LN(2)/35)*GL63+(1-EXP(-LN(2)/35))/(LN(2)/35)*GH64*GI64*VLOOKUP('Données projet'!$B$17,Paramètres!$A$1:$I$89,3,0)*0.475*44/12</f>
        <v>0.48160927573017775</v>
      </c>
      <c r="GM64" s="21">
        <f>EXP(-LN(2)/25)*GM63+(1-EXP(-LN(2)/25))/(LN(2)/25)*Calculateur!GH64*Calculateur!GJ64*VLOOKUP('Données projet'!$B$17,Paramètres!$A$1:$I$89,3,0)*0.475*44/12</f>
        <v>2.6414862298252655</v>
      </c>
      <c r="GN64" s="21">
        <f>EXP(-LN(2)/2)*GN63+(1-EXP(-LN(2)/2))/(LN(2)/2)*GH64*GK64*VLOOKUP('Données projet'!$B$17,Paramètres!$A$1:$I$89,3,0)*0.475*44/12</f>
        <v>1.9116922760446429E-4</v>
      </c>
      <c r="GO64" s="21">
        <f t="shared" si="27"/>
        <v>3.1232866747830474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67.592930219446231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1.4000000000000001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5.1333333333333337</v>
      </c>
      <c r="H65" s="67">
        <f t="shared" si="1"/>
        <v>236.13333333333335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67.634687498737009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8.5</v>
      </c>
      <c r="N65" s="13">
        <f>IF('Données projet'!$A$36&gt;35,N64+M65-V64,IF(A65&lt;'Données projet'!$A$36,$K$205^A65,IF(A65='Données projet'!$A$36,'Données projet'!$B$36,N64+M65-V64)))</f>
        <v>262</v>
      </c>
      <c r="O65" s="13">
        <f>N65*VLOOKUP('Données projet'!$B$9,Paramètres!$A$1:$I$89,3,0)*VLOOKUP('Données projet'!$B$9,Paramètres!$A$1:$I$89,5,0)</f>
        <v>237.05759999999998</v>
      </c>
      <c r="P65" s="13">
        <f t="shared" si="33"/>
        <v>57.806004997354641</v>
      </c>
      <c r="Q65" s="20">
        <f t="shared" si="53"/>
        <v>513.55411203705933</v>
      </c>
      <c r="R65" s="59">
        <f t="shared" si="0"/>
        <v>798.2146328657617</v>
      </c>
      <c r="S65" s="59">
        <f ca="1">AVERAGE(OFFSET($R$3,0,0,'Données projet'!$E$9+1,1))-AVERAGE(OFFSET($H$3,0,0,'Données projet'!$E$9+1,1))</f>
        <v>479.46542424895119</v>
      </c>
      <c r="T65" s="59">
        <f t="shared" si="34"/>
        <v>337.96395820277337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1.2779938393587942</v>
      </c>
      <c r="AA65" s="21">
        <f>EXP(-LN(2)/25)*AA64+(1-EXP(-LN(2)/25))/(LN(2)/25)*Calculateur!V65*Calculateur!X65*VLOOKUP('Données projet'!$B$9,Paramètres!$A$1:$I$89,3,0)*0.475*44/12</f>
        <v>4.6462139420605588</v>
      </c>
      <c r="AB65" s="21">
        <f>EXP(-LN(2)/2)*AB64+(1-EXP(-LN(2)/2))/(LN(2)/2)*V65*Y65*VLOOKUP('Données projet'!$B$9,Paramètres!$A$1:$I$89,3,0)*0.475*44/12</f>
        <v>3.2887781942911727E-4</v>
      </c>
      <c r="AC65" s="22">
        <f t="shared" si="3"/>
        <v>5.9245366592387825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67.634687498737009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8.5</v>
      </c>
      <c r="AI65" s="13">
        <f>IF('Données projet'!$A$62&gt;35,AI64+AH65-AQ64,IF(A65&lt;'Données projet'!$A$62,$AF$205^A65,IF(A65='Données projet'!$A$62,'Données projet'!$B$62,AI64+AH65-AQ64)))</f>
        <v>262</v>
      </c>
      <c r="AJ65" s="13">
        <f>AI65*VLOOKUP('Données projet'!$B$10,Paramètres!$A$1:$I$89,3,0)*VLOOKUP('Données projet'!$B$10,Paramètres!$A$1:$I$89,5,0)</f>
        <v>253.40640000000002</v>
      </c>
      <c r="AK65" s="13">
        <f t="shared" si="35"/>
        <v>61.314794611201144</v>
      </c>
      <c r="AL65" s="20">
        <f t="shared" si="4"/>
        <v>548.13941394784206</v>
      </c>
      <c r="AM65" s="59">
        <f t="shared" si="5"/>
        <v>832.79993477654443</v>
      </c>
      <c r="AN65" s="59">
        <f ca="1">AVERAGE(OFFSET($AM$3,0,0,'Données projet'!$E$10+1,1))-AVERAGE(OFFSET($H$3,0,0,'Données projet'!$E$10+1,1))</f>
        <v>508.94560627895089</v>
      </c>
      <c r="AO65" s="59">
        <f t="shared" si="36"/>
        <v>357.86868650263034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1.3661313455214701</v>
      </c>
      <c r="AV65" s="21">
        <f>EXP(-LN(2)/25)*AV64+(1-EXP(-LN(2)/25))/(LN(2)/25)*Calculateur!AQ65*Calculateur!AS65*VLOOKUP('Données projet'!$B$10,Paramètres!$A$1:$I$89,3,0)*0.475*44/12</f>
        <v>4.9666424897888746</v>
      </c>
      <c r="AW65" s="21">
        <f>EXP(-LN(2)/2)*AW64+(1-EXP(-LN(2)/2))/(LN(2)/2)*AQ65*AT65*VLOOKUP('Données projet'!$B$10,Paramètres!$A$1:$I$89,3,0)*0.475*44/12</f>
        <v>3.5155904835526254E-4</v>
      </c>
      <c r="AX65" s="21">
        <f t="shared" si="6"/>
        <v>6.3331253943587003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67.634687498737009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9.1</v>
      </c>
      <c r="BD65" s="12">
        <f>IF('Données projet'!$A$88&gt;35,BD64+BC65-BL64,IF(A65&lt;'Données projet'!$A$88,$BA$205^A65,IF(A65='Données projet'!$A$88,'Données projet'!$B$88,BD64+BC65-BL64)))</f>
        <v>291.2</v>
      </c>
      <c r="BE65" s="13">
        <f>BD65*VLOOKUP('Données projet'!$B$11,Paramètres!$A$1:$I$89,3,0)*VLOOKUP('Données projet'!$B$11,Paramètres!$A$1:$I$89,5,0)</f>
        <v>227.136</v>
      </c>
      <c r="BF65" s="13">
        <f t="shared" si="37"/>
        <v>55.662966886685133</v>
      </c>
      <c r="BG65" s="20">
        <f t="shared" si="7"/>
        <v>492.54153399430999</v>
      </c>
      <c r="BH65" s="59">
        <f t="shared" si="8"/>
        <v>777.2020548230123</v>
      </c>
      <c r="BI65" s="59">
        <f ca="1">AVERAGE(OFFSET($BH$3,0,0,'Données projet'!$E$11+1,1))-AVERAGE(OFFSET($H$3,0,0,'Données projet'!$E$11+1,1))</f>
        <v>383.03154033422328</v>
      </c>
      <c r="BJ65" s="59">
        <f t="shared" si="38"/>
        <v>373.27897156169877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0.7672684688268625</v>
      </c>
      <c r="BQ65" s="21">
        <f>EXP(-LN(2)/25)*BQ64+(1-EXP(-LN(2)/25))/(LN(2)/25)*Calculateur!BL65*Calculateur!BN65*VLOOKUP('Données projet'!$B$11,Paramètres!$A$1:$I$89,3,0)*0.475*44/12</f>
        <v>3.4470259421758995</v>
      </c>
      <c r="BR65" s="21">
        <f>EXP(-LN(2)/2)*BR64+(1-EXP(-LN(2)/2))/(LN(2)/2)*BL65*BO65*VLOOKUP('Données projet'!$B$11,Paramètres!$A$1:$I$89,3,0)*0.475*44/12</f>
        <v>1.9945037226412713E-4</v>
      </c>
      <c r="BS65" s="22">
        <f t="shared" si="9"/>
        <v>4.2144938613750265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67.634687498737009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8.5</v>
      </c>
      <c r="BY65" s="12">
        <f>IF('Données projet'!$A$114&gt;35,BY64+BX65-CG64,IF(A65&lt;'Données projet'!$A$114,$BV$205^A65,IF(A65='Données projet'!$A$114,'Données projet'!$B$114,BY64+BX65-CG64)))</f>
        <v>262</v>
      </c>
      <c r="BZ65" s="13">
        <f>BY65*VLOOKUP('Données projet'!$B$12,Paramètres!$A$1:$I$89,3,0)*VLOOKUP('Données projet'!$B$12,Paramètres!$A$1:$I$89,5,0)</f>
        <v>220.70880000000002</v>
      </c>
      <c r="CA65" s="13">
        <f t="shared" si="39"/>
        <v>54.268911046456566</v>
      </c>
      <c r="CB65" s="20">
        <f t="shared" si="10"/>
        <v>478.91951340591186</v>
      </c>
      <c r="CC65" s="59">
        <f t="shared" si="11"/>
        <v>763.58003423461423</v>
      </c>
      <c r="CD65" s="59">
        <f ca="1">AVERAGE(OFFSET($CC$3,0,0,'Données projet'!$E$12+1,1))-AVERAGE(OFFSET($H$3,0,0,'Données projet'!$E$12+1,1))</f>
        <v>449.94334483948603</v>
      </c>
      <c r="CE65" s="59">
        <f t="shared" si="40"/>
        <v>318.02929110264176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1.1898563331961187</v>
      </c>
      <c r="CL65" s="21">
        <f>EXP(-LN(2)/25)*CL64+(1-EXP(-LN(2)/25))/(LN(2)/25)*Calculateur!CG65*Calculateur!CI65*VLOOKUP('Données projet'!$B$12,Paramètres!$A$1:$I$89,3,0)*0.475*44/12</f>
        <v>4.3257853943322466</v>
      </c>
      <c r="CM65" s="21">
        <f>EXP(-LN(2)/2)*CM64+(1-EXP(-LN(2)/2))/(LN(2)/2)*CG65*CJ65*VLOOKUP('Données projet'!$B$12,Paramètres!$A$1:$I$89,3,0)*0.475*44/12</f>
        <v>3.0619659050297091E-4</v>
      </c>
      <c r="CN65" s="22">
        <f t="shared" si="12"/>
        <v>5.5159479241188683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67.634687498737009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10.199999999999999</v>
      </c>
      <c r="CT65" s="12">
        <f>IF('Données projet'!$A$140&gt;35,CT64+CS65-DB64,IF(A65&lt;'Données projet'!$A$140,$CQ$205^A65,IF(A65='Données projet'!$A$140,'Données projet'!$B$140,CT64+CS65-DB64)))</f>
        <v>262.39999999999998</v>
      </c>
      <c r="CU65" s="17">
        <f>CT65*VLOOKUP('Données projet'!$B$13,Paramètres!$A$1:$I$89,3,0)*VLOOKUP('Données projet'!$B$13,Paramètres!$A$1:$I$89,5,0)</f>
        <v>225.13919999999999</v>
      </c>
      <c r="CV65" s="13">
        <f t="shared" si="41"/>
        <v>55.230359897131031</v>
      </c>
      <c r="CW65" s="20">
        <f t="shared" si="13"/>
        <v>488.31031682083653</v>
      </c>
      <c r="CX65" s="59">
        <f t="shared" si="14"/>
        <v>772.97083764953891</v>
      </c>
      <c r="CY65" s="59">
        <f ca="1">AVERAGE(OFFSET($CX$3,0,0,'Données projet'!$E$13+1,1))-AVERAGE(OFFSET($H$3,0,0,'Données projet'!$E$13+1,1))</f>
        <v>565.32667500225568</v>
      </c>
      <c r="CZ65" s="59">
        <f t="shared" si="42"/>
        <v>275.06957234480944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0</v>
      </c>
      <c r="DG65" s="21">
        <f>EXP(-LN(2)/25)*DG64+(1-EXP(-LN(2)/25))/(LN(2)/25)*Calculateur!DB65*Calculateur!DD65*VLOOKUP('Données projet'!$B$13,Paramètres!$A$1:$I$89,3,0)*0.475*44/12</f>
        <v>1.8042078507915107</v>
      </c>
      <c r="DH65" s="21">
        <f>EXP(-LN(2)/2)*DH64+(1-EXP(-LN(2)/2))/(LN(2)/2)*DB65*DE65*VLOOKUP('Données projet'!$B$13,Paramètres!$A$1:$I$89,3,0)*0.475*44/12</f>
        <v>1.0808606432189873E-4</v>
      </c>
      <c r="DI65" s="22">
        <f t="shared" si="15"/>
        <v>1.8043159368558326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67.634687498737009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15.8</v>
      </c>
      <c r="DO65" s="12">
        <f>IF('Données projet'!$A$166&gt;35,DO64+DN65-DW64,IF(A65&lt;'Données projet'!$A$166,$DL$205^A65,IF(A65='Données projet'!$A$166,'Données projet'!$B$166,DO64+DN65-DW64)))</f>
        <v>614.59999999999934</v>
      </c>
      <c r="DP65" s="17">
        <f>DO65*VLOOKUP('Données projet'!$B$14,Paramètres!$A$1:$I$89,3,0)*VLOOKUP('Données projet'!$B$14,Paramètres!$A$1:$I$89,5,0)</f>
        <v>343.56139999999965</v>
      </c>
      <c r="DQ65" s="13">
        <f t="shared" si="43"/>
        <v>80.235307380202258</v>
      </c>
      <c r="DR65" s="20">
        <f t="shared" si="16"/>
        <v>738.11259868718491</v>
      </c>
      <c r="DS65" s="59">
        <f t="shared" si="17"/>
        <v>1022.7731195158873</v>
      </c>
      <c r="DT65" s="59">
        <f ca="1">AVERAGE(OFFSET($DS$3,0,0,'Données projet'!$E$14+1,1))-AVERAGE(OFFSET($H$3,0,0,'Données projet'!$E$14+1,1))</f>
        <v>532.64469322244281</v>
      </c>
      <c r="DU65" s="59">
        <f t="shared" si="44"/>
        <v>525.88014011096413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6.0594535486839396</v>
      </c>
      <c r="EB65" s="21">
        <f>EXP(-LN(2)/25)*EB64+(1-EXP(-LN(2)/25))/(LN(2)/25)*Calculateur!DW65*Calculateur!DY65*VLOOKUP('Données projet'!$B$14,Paramètres!$A$1:$I$89,3,0)*0.475*44/12</f>
        <v>15.960950998567677</v>
      </c>
      <c r="EC65" s="21">
        <f>EXP(-LN(2)/2)*EC64+(1-EXP(-LN(2)/2))/(LN(2)/2)*DW65*DZ65*VLOOKUP('Données projet'!$B$14,Paramètres!$A$1:$I$89,3,0)*0.475*44/12</f>
        <v>5.5651689689688256E-4</v>
      </c>
      <c r="ED65" s="22">
        <f t="shared" si="18"/>
        <v>22.020961064148512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67.634687498737009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7</v>
      </c>
      <c r="EJ65" s="12">
        <f>IF('Données projet'!$A$192&gt;35,EJ64+EI65-ER64,IF(A65&lt;'Données projet'!$A$192,$EG$205^A65,IF(A65='Données projet'!$A$192,'Données projet'!$B$192,EJ64+EI65-ER64)))</f>
        <v>207.00000000000017</v>
      </c>
      <c r="EK65" s="17">
        <f>EJ65*VLOOKUP('Données projet'!$B$15,Paramètres!$A$1:$I$89,3,0)*VLOOKUP('Données projet'!$B$15,Paramètres!$A$1:$I$89,5,0)</f>
        <v>187.29360000000014</v>
      </c>
      <c r="EL65" s="13">
        <f t="shared" si="45"/>
        <v>46.941107550760456</v>
      </c>
      <c r="EM65" s="20">
        <f t="shared" si="19"/>
        <v>407.95878231757462</v>
      </c>
      <c r="EN65" s="59">
        <f t="shared" si="20"/>
        <v>692.61930314627693</v>
      </c>
      <c r="EO65" s="59">
        <f ca="1">AVERAGE(OFFSET($EN$3,0,0,'Données projet'!$E$15+1,1))-AVERAGE(OFFSET($H$3,0,0,'Données projet'!$E$15+1,1))</f>
        <v>398.27843768730202</v>
      </c>
      <c r="EP65" s="59">
        <f t="shared" si="46"/>
        <v>252.3617347568813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0</v>
      </c>
      <c r="EW65" s="21">
        <f>EXP(-LN(2)/25)*EW64+(1-EXP(-LN(2)/25))/(LN(2)/25)*Calculateur!ER65*Calculateur!ET65*VLOOKUP('Données projet'!$B$15,Paramètres!$A$1:$I$89,3,0)*0.475*44/12</f>
        <v>1.2790113895255759</v>
      </c>
      <c r="EX65" s="21">
        <f>EXP(-LN(2)/2)*EX64+(1-EXP(-LN(2)/2))/(LN(2)/2)*ER65*EU65*VLOOKUP('Données projet'!$B$15,Paramètres!$A$1:$I$89,3,0)*0.475*44/12</f>
        <v>9.4441953345160328E-5</v>
      </c>
      <c r="EY65" s="22">
        <f t="shared" si="21"/>
        <v>1.279105831478921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67.634687498737009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7</v>
      </c>
      <c r="FE65" s="12">
        <f>IF('Données projet'!$A$218&gt;35,FE64+FD65-FM64,IF(A65&lt;'Données projet'!$A$218,$FB$205^A65,IF(A65='Données projet'!$A$218,'Données projet'!$B$218,FE64+FD65-FM64)))</f>
        <v>207.00000000000017</v>
      </c>
      <c r="FF65" s="17">
        <f>FE65*VLOOKUP('Données projet'!$B$16,Paramètres!$A$1:$I$89,3,0)*VLOOKUP('Données projet'!$B$16,Paramètres!$A$1:$I$89,5,0)</f>
        <v>200.21040000000019</v>
      </c>
      <c r="FG65" s="13">
        <f t="shared" si="47"/>
        <v>49.790404447235098</v>
      </c>
      <c r="FH65" s="20">
        <f t="shared" si="22"/>
        <v>435.41806774560138</v>
      </c>
      <c r="FI65" s="59">
        <f t="shared" si="23"/>
        <v>720.07858857430369</v>
      </c>
      <c r="FJ65" s="59">
        <f ca="1">AVERAGE(OFFSET($FI$3,0,0,'Données projet'!$E$16+1,1))-AVERAGE(OFFSET($H$3,0,0,'Données projet'!$E$16+1,1))</f>
        <v>422.28024471365825</v>
      </c>
      <c r="FK65" s="59">
        <f t="shared" si="48"/>
        <v>266.49730479813206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0</v>
      </c>
      <c r="FR65" s="21">
        <f>EXP(-LN(2)/25)*FR64+(1-EXP(-LN(2)/25))/(LN(2)/25)*Calculateur!FM65*Calculateur!FO65*VLOOKUP('Données projet'!$B$16,Paramètres!$A$1:$I$89,3,0)*0.475*44/12</f>
        <v>1.3672190715618227</v>
      </c>
      <c r="FS65" s="21">
        <f>EXP(-LN(2)/2)*FS64+(1-EXP(-LN(2)/2))/(LN(2)/2)*FM65*FP65*VLOOKUP('Données projet'!$B$16,Paramètres!$A$1:$I$89,3,0)*0.475*44/12</f>
        <v>1.009551915068955E-4</v>
      </c>
      <c r="FT65" s="22">
        <f t="shared" si="24"/>
        <v>1.3673200267533296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67.634687498737009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8</v>
      </c>
      <c r="FZ65" s="12">
        <f>IF('Données projet'!$A$244&gt;35,FZ64+FY65-GH64,IF(A65&lt;'Données projet'!$A$244,$FW$205^A65,IF(A65='Données projet'!$A$244,'Données projet'!$B$244,FZ64+FY65-GH64)))</f>
        <v>279.00000000000011</v>
      </c>
      <c r="GA65" s="17">
        <f>FZ65*VLOOKUP('Données projet'!$B$17,Paramètres!$A$1:$I$89,3,0)*VLOOKUP('Données projet'!$B$17,Paramètres!$A$1:$I$89,5,0)</f>
        <v>217.62000000000009</v>
      </c>
      <c r="GB65" s="13">
        <f t="shared" si="49"/>
        <v>53.597277471320098</v>
      </c>
      <c r="GC65" s="20">
        <f t="shared" si="25"/>
        <v>472.37009159588268</v>
      </c>
      <c r="GD65" s="59">
        <f t="shared" si="26"/>
        <v>757.03061242458512</v>
      </c>
      <c r="GE65" s="59">
        <f ca="1">AVERAGE(OFFSET($GD$3,0,0,'Données projet'!$E$17+1,1))-AVERAGE(OFFSET($H$3,0,0,'Données projet'!$E$17+1,1))</f>
        <v>300.95722646933314</v>
      </c>
      <c r="GF65" s="59">
        <f t="shared" si="50"/>
        <v>269.52365224623759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>
        <f>EXP(-LN(2)/35)*GL64+(1-EXP(-LN(2)/35))/(LN(2)/35)*GH65*GI65*VLOOKUP('Données projet'!$B$17,Paramètres!$A$1:$I$89,3,0)*0.475*44/12</f>
        <v>0.47216521158576152</v>
      </c>
      <c r="GM65" s="21">
        <f>EXP(-LN(2)/25)*GM64+(1-EXP(-LN(2)/25))/(LN(2)/25)*Calculateur!GH65*Calculateur!GJ65*VLOOKUP('Données projet'!$B$17,Paramètres!$A$1:$I$89,3,0)*0.475*44/12</f>
        <v>2.5692546499609699</v>
      </c>
      <c r="GN65" s="21">
        <f>EXP(-LN(2)/2)*GN64+(1-EXP(-LN(2)/2))/(LN(2)/2)*GH65*GK65*VLOOKUP('Données projet'!$B$17,Paramètres!$A$1:$I$89,3,0)*0.475*44/12</f>
        <v>1.3517705719331123E-4</v>
      </c>
      <c r="GO65" s="21">
        <f t="shared" si="27"/>
        <v>3.0415550386039243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67.634687498737009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1.4000000000000001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5.1333333333333337</v>
      </c>
      <c r="H66" s="67">
        <f t="shared" si="1"/>
        <v>236.13333333333335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67.675720382587372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8.5</v>
      </c>
      <c r="N66" s="13">
        <f>IF('Données projet'!$A$36&gt;35,N65+M66-V65,IF(A66&lt;'Données projet'!$A$36,$K$205^A66,IF(A66='Données projet'!$A$36,'Données projet'!$B$36,N65+M66-V65)))</f>
        <v>270.5</v>
      </c>
      <c r="O66" s="13">
        <f>N66*VLOOKUP('Données projet'!$B$9,Paramètres!$A$1:$I$89,3,0)*VLOOKUP('Données projet'!$B$9,Paramètres!$A$1:$I$89,5,0)</f>
        <v>244.74839999999998</v>
      </c>
      <c r="P66" s="13">
        <f t="shared" si="33"/>
        <v>59.460004038665112</v>
      </c>
      <c r="Q66" s="20">
        <f t="shared" si="53"/>
        <v>529.82963703400833</v>
      </c>
      <c r="R66" s="59">
        <f t="shared" si="0"/>
        <v>814.64061177016197</v>
      </c>
      <c r="S66" s="59">
        <f ca="1">AVERAGE(OFFSET($R$3,0,0,'Données projet'!$E$9+1,1))-AVERAGE(OFFSET($H$3,0,0,'Données projet'!$E$9+1,1))</f>
        <v>479.46542424895119</v>
      </c>
      <c r="T66" s="59">
        <f t="shared" si="34"/>
        <v>337.96395820277337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1.2529331596682411</v>
      </c>
      <c r="AA66" s="21">
        <f>EXP(-LN(2)/25)*AA65+(1-EXP(-LN(2)/25))/(LN(2)/25)*Calculateur!V66*Calculateur!X66*VLOOKUP('Données projet'!$B$9,Paramètres!$A$1:$I$89,3,0)*0.475*44/12</f>
        <v>4.519162977481141</v>
      </c>
      <c r="AB66" s="21">
        <f>EXP(-LN(2)/2)*AB65+(1-EXP(-LN(2)/2))/(LN(2)/2)*V66*Y66*VLOOKUP('Données projet'!$B$9,Paramètres!$A$1:$I$89,3,0)*0.475*44/12</f>
        <v>2.3255173630017372E-4</v>
      </c>
      <c r="AC66" s="22">
        <f t="shared" si="3"/>
        <v>5.7723286888856817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67.675720382587372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8.5</v>
      </c>
      <c r="AI66" s="13">
        <f>IF('Données projet'!$A$62&gt;35,AI65+AH66-AQ65,IF(A66&lt;'Données projet'!$A$62,$AF$205^A66,IF(A66='Données projet'!$A$62,'Données projet'!$B$62,AI65+AH66-AQ65)))</f>
        <v>270.5</v>
      </c>
      <c r="AJ66" s="13">
        <f>AI66*VLOOKUP('Données projet'!$B$10,Paramètres!$A$1:$I$89,3,0)*VLOOKUP('Données projet'!$B$10,Paramètres!$A$1:$I$89,5,0)</f>
        <v>261.62760000000003</v>
      </c>
      <c r="AK66" s="13">
        <f t="shared" si="35"/>
        <v>63.06919039602851</v>
      </c>
      <c r="AL66" s="20">
        <f t="shared" si="4"/>
        <v>565.51357660641634</v>
      </c>
      <c r="AM66" s="59">
        <f t="shared" si="5"/>
        <v>850.32455134256998</v>
      </c>
      <c r="AN66" s="59">
        <f ca="1">AVERAGE(OFFSET($AM$3,0,0,'Données projet'!$E$10+1,1))-AVERAGE(OFFSET($H$3,0,0,'Données projet'!$E$10+1,1))</f>
        <v>508.94560627895089</v>
      </c>
      <c r="AO66" s="59">
        <f t="shared" si="36"/>
        <v>357.86868650263034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1.3393423430936375</v>
      </c>
      <c r="AV66" s="21">
        <f>EXP(-LN(2)/25)*AV65+(1-EXP(-LN(2)/25))/(LN(2)/25)*Calculateur!AQ66*Calculateur!AS66*VLOOKUP('Données projet'!$B$10,Paramètres!$A$1:$I$89,3,0)*0.475*44/12</f>
        <v>4.8308293897212211</v>
      </c>
      <c r="AW66" s="21">
        <f>EXP(-LN(2)/2)*AW65+(1-EXP(-LN(2)/2))/(LN(2)/2)*AQ66*AT66*VLOOKUP('Données projet'!$B$10,Paramètres!$A$1:$I$89,3,0)*0.475*44/12</f>
        <v>2.4858978707949551E-4</v>
      </c>
      <c r="AX66" s="21">
        <f t="shared" si="6"/>
        <v>6.1704203226019381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67.675720382587372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9.1</v>
      </c>
      <c r="BD66" s="12">
        <f>IF('Données projet'!$A$88&gt;35,BD65+BC66-BL65,IF(A66&lt;'Données projet'!$A$88,$BA$205^A66,IF(A66='Données projet'!$A$88,'Données projet'!$B$88,BD65+BC66-BL65)))</f>
        <v>300.3</v>
      </c>
      <c r="BE66" s="13">
        <f>BD66*VLOOKUP('Données projet'!$B$11,Paramètres!$A$1:$I$89,3,0)*VLOOKUP('Données projet'!$B$11,Paramètres!$A$1:$I$89,5,0)</f>
        <v>234.23400000000001</v>
      </c>
      <c r="BF66" s="13">
        <f t="shared" si="37"/>
        <v>57.197197133603488</v>
      </c>
      <c r="BG66" s="20">
        <f t="shared" si="7"/>
        <v>507.57600167435936</v>
      </c>
      <c r="BH66" s="59">
        <f t="shared" si="8"/>
        <v>792.38697641051306</v>
      </c>
      <c r="BI66" s="59">
        <f ca="1">AVERAGE(OFFSET($BH$3,0,0,'Données projet'!$E$11+1,1))-AVERAGE(OFFSET($H$3,0,0,'Données projet'!$E$11+1,1))</f>
        <v>383.03154033422328</v>
      </c>
      <c r="BJ66" s="59">
        <f t="shared" si="38"/>
        <v>373.27897156169877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0.75222280214072379</v>
      </c>
      <c r="BQ66" s="21">
        <f>EXP(-LN(2)/25)*BQ65+(1-EXP(-LN(2)/25))/(LN(2)/25)*Calculateur!BL66*Calculateur!BN66*VLOOKUP('Données projet'!$B$11,Paramètres!$A$1:$I$89,3,0)*0.475*44/12</f>
        <v>3.3527668365158836</v>
      </c>
      <c r="BR66" s="21">
        <f>EXP(-LN(2)/2)*BR65+(1-EXP(-LN(2)/2))/(LN(2)/2)*BL66*BO66*VLOOKUP('Données projet'!$B$11,Paramètres!$A$1:$I$89,3,0)*0.475*44/12</f>
        <v>1.4103271073814558E-4</v>
      </c>
      <c r="BS66" s="22">
        <f t="shared" si="9"/>
        <v>4.1051306713673457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67.675720382587372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8.5</v>
      </c>
      <c r="BY66" s="12">
        <f>IF('Données projet'!$A$114&gt;35,BY65+BX66-CG65,IF(A66&lt;'Données projet'!$A$114,$BV$205^A66,IF(A66='Données projet'!$A$114,'Données projet'!$B$114,BY65+BX66-CG65)))</f>
        <v>270.5</v>
      </c>
      <c r="BZ66" s="13">
        <f>BY66*VLOOKUP('Données projet'!$B$12,Paramètres!$A$1:$I$89,3,0)*VLOOKUP('Données projet'!$B$12,Paramètres!$A$1:$I$89,5,0)</f>
        <v>227.86920000000003</v>
      </c>
      <c r="CA66" s="13">
        <f t="shared" si="39"/>
        <v>55.82170347430052</v>
      </c>
      <c r="CB66" s="20">
        <f t="shared" si="10"/>
        <v>494.09499021774013</v>
      </c>
      <c r="CC66" s="59">
        <f t="shared" si="11"/>
        <v>778.90596495389377</v>
      </c>
      <c r="CD66" s="59">
        <f ca="1">AVERAGE(OFFSET($CC$3,0,0,'Données projet'!$E$12+1,1))-AVERAGE(OFFSET($H$3,0,0,'Données projet'!$E$12+1,1))</f>
        <v>449.94334483948603</v>
      </c>
      <c r="CE66" s="59">
        <f t="shared" si="40"/>
        <v>318.02929110264176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1.1665239762428452</v>
      </c>
      <c r="CL66" s="21">
        <f>EXP(-LN(2)/25)*CL65+(1-EXP(-LN(2)/25))/(LN(2)/25)*Calculateur!CG66*Calculateur!CI66*VLOOKUP('Données projet'!$B$12,Paramètres!$A$1:$I$89,3,0)*0.475*44/12</f>
        <v>4.2074965652410645</v>
      </c>
      <c r="CM66" s="21">
        <f>EXP(-LN(2)/2)*CM65+(1-EXP(-LN(2)/2))/(LN(2)/2)*CG66*CJ66*VLOOKUP('Données projet'!$B$12,Paramètres!$A$1:$I$89,3,0)*0.475*44/12</f>
        <v>2.1651368552085115E-4</v>
      </c>
      <c r="CN66" s="22">
        <f t="shared" si="12"/>
        <v>5.3742370551694307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67.675720382587372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10.199999999999999</v>
      </c>
      <c r="CT66" s="12">
        <f>IF('Données projet'!$A$140&gt;35,CT65+CS66-DB65,IF(A66&lt;'Données projet'!$A$140,$CQ$205^A66,IF(A66='Données projet'!$A$140,'Données projet'!$B$140,CT65+CS66-DB65)))</f>
        <v>272.59999999999997</v>
      </c>
      <c r="CU66" s="17">
        <f>CT66*VLOOKUP('Données projet'!$B$13,Paramètres!$A$1:$I$89,3,0)*VLOOKUP('Données projet'!$B$13,Paramètres!$A$1:$I$89,5,0)</f>
        <v>233.89080000000001</v>
      </c>
      <c r="CV66" s="13">
        <f t="shared" si="41"/>
        <v>57.123140349023068</v>
      </c>
      <c r="CW66" s="20">
        <f t="shared" si="13"/>
        <v>506.84927944121517</v>
      </c>
      <c r="CX66" s="59">
        <f t="shared" si="14"/>
        <v>791.66025417736887</v>
      </c>
      <c r="CY66" s="59">
        <f ca="1">AVERAGE(OFFSET($CX$3,0,0,'Données projet'!$E$13+1,1))-AVERAGE(OFFSET($H$3,0,0,'Données projet'!$E$13+1,1))</f>
        <v>565.32667500225568</v>
      </c>
      <c r="CZ66" s="59">
        <f t="shared" si="42"/>
        <v>275.06957234480944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0</v>
      </c>
      <c r="DG66" s="21">
        <f>EXP(-LN(2)/25)*DG65+(1-EXP(-LN(2)/25))/(LN(2)/25)*Calculateur!DB66*Calculateur!DD66*VLOOKUP('Données projet'!$B$13,Paramètres!$A$1:$I$89,3,0)*0.475*44/12</f>
        <v>1.7548716922324494</v>
      </c>
      <c r="DH66" s="21">
        <f>EXP(-LN(2)/2)*DH65+(1-EXP(-LN(2)/2))/(LN(2)/2)*DB66*DE66*VLOOKUP('Données projet'!$B$13,Paramètres!$A$1:$I$89,3,0)*0.475*44/12</f>
        <v>7.6428389033779943E-5</v>
      </c>
      <c r="DI66" s="22">
        <f t="shared" si="15"/>
        <v>1.7549481206214832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67.675720382587372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15.8</v>
      </c>
      <c r="DO66" s="12">
        <f>IF('Données projet'!$A$166&gt;35,DO65+DN66-DW65,IF(A66&lt;'Données projet'!$A$166,$DL$205^A66,IF(A66='Données projet'!$A$166,'Données projet'!$B$166,DO65+DN66-DW65)))</f>
        <v>630.3999999999993</v>
      </c>
      <c r="DP66" s="17">
        <f>DO66*VLOOKUP('Données projet'!$B$14,Paramètres!$A$1:$I$89,3,0)*VLOOKUP('Données projet'!$B$14,Paramètres!$A$1:$I$89,5,0)</f>
        <v>352.39359999999965</v>
      </c>
      <c r="DQ66" s="13">
        <f t="shared" si="43"/>
        <v>82.055182662578147</v>
      </c>
      <c r="DR66" s="20">
        <f t="shared" si="16"/>
        <v>756.66496313732296</v>
      </c>
      <c r="DS66" s="59">
        <f t="shared" si="17"/>
        <v>1041.4759378734766</v>
      </c>
      <c r="DT66" s="59">
        <f ca="1">AVERAGE(OFFSET($DS$3,0,0,'Données projet'!$E$14+1,1))-AVERAGE(OFFSET($H$3,0,0,'Données projet'!$E$14+1,1))</f>
        <v>532.64469322244281</v>
      </c>
      <c r="DU66" s="59">
        <f t="shared" si="44"/>
        <v>525.88014011096413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5.9406313604959724</v>
      </c>
      <c r="EB66" s="21">
        <f>EXP(-LN(2)/25)*EB65+(1-EXP(-LN(2)/25))/(LN(2)/25)*Calculateur!DW66*Calculateur!DY66*VLOOKUP('Données projet'!$B$14,Paramètres!$A$1:$I$89,3,0)*0.475*44/12</f>
        <v>15.524497954161911</v>
      </c>
      <c r="EC66" s="21">
        <f>EXP(-LN(2)/2)*EC65+(1-EXP(-LN(2)/2))/(LN(2)/2)*DW66*DZ66*VLOOKUP('Données projet'!$B$14,Paramètres!$A$1:$I$89,3,0)*0.475*44/12</f>
        <v>3.9351687164068037E-4</v>
      </c>
      <c r="ED66" s="22">
        <f t="shared" si="18"/>
        <v>21.465522831529523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67.675720382587372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7</v>
      </c>
      <c r="EJ66" s="12">
        <f>IF('Données projet'!$A$192&gt;35,EJ65+EI66-ER65,IF(A66&lt;'Données projet'!$A$192,$EG$205^A66,IF(A66='Données projet'!$A$192,'Données projet'!$B$192,EJ65+EI66-ER65)))</f>
        <v>214.00000000000017</v>
      </c>
      <c r="EK66" s="17">
        <f>EJ66*VLOOKUP('Données projet'!$B$15,Paramètres!$A$1:$I$89,3,0)*VLOOKUP('Données projet'!$B$15,Paramètres!$A$1:$I$89,5,0)</f>
        <v>193.62720000000016</v>
      </c>
      <c r="EL66" s="13">
        <f t="shared" si="45"/>
        <v>48.340990547231236</v>
      </c>
      <c r="EM66" s="20">
        <f t="shared" si="19"/>
        <v>421.42793186976132</v>
      </c>
      <c r="EN66" s="59">
        <f t="shared" si="20"/>
        <v>706.23890660591496</v>
      </c>
      <c r="EO66" s="59">
        <f ca="1">AVERAGE(OFFSET($EN$3,0,0,'Données projet'!$E$15+1,1))-AVERAGE(OFFSET($H$3,0,0,'Données projet'!$E$15+1,1))</f>
        <v>398.27843768730202</v>
      </c>
      <c r="EP66" s="59">
        <f t="shared" si="46"/>
        <v>252.3617347568813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0</v>
      </c>
      <c r="EW66" s="21">
        <f>EXP(-LN(2)/25)*EW65+(1-EXP(-LN(2)/25))/(LN(2)/25)*Calculateur!ER66*Calculateur!ET66*VLOOKUP('Données projet'!$B$15,Paramètres!$A$1:$I$89,3,0)*0.475*44/12</f>
        <v>1.2440367558187133</v>
      </c>
      <c r="EX66" s="21">
        <f>EXP(-LN(2)/2)*EX65+(1-EXP(-LN(2)/2))/(LN(2)/2)*ER66*EU66*VLOOKUP('Données projet'!$B$15,Paramètres!$A$1:$I$89,3,0)*0.475*44/12</f>
        <v>6.6780545638866413E-5</v>
      </c>
      <c r="EY66" s="22">
        <f t="shared" si="21"/>
        <v>1.2441035363643522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67.675720382587372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7</v>
      </c>
      <c r="FE66" s="12">
        <f>IF('Données projet'!$A$218&gt;35,FE65+FD66-FM65,IF(A66&lt;'Données projet'!$A$218,$FB$205^A66,IF(A66='Données projet'!$A$218,'Données projet'!$B$218,FE65+FD66-FM65)))</f>
        <v>214.00000000000017</v>
      </c>
      <c r="FF66" s="17">
        <f>FE66*VLOOKUP('Données projet'!$B$16,Paramètres!$A$1:$I$89,3,0)*VLOOKUP('Données projet'!$B$16,Paramètres!$A$1:$I$89,5,0)</f>
        <v>206.98080000000016</v>
      </c>
      <c r="FG66" s="13">
        <f t="shared" si="47"/>
        <v>51.275259496675787</v>
      </c>
      <c r="FH66" s="20">
        <f t="shared" si="22"/>
        <v>449.7959702900439</v>
      </c>
      <c r="FI66" s="59">
        <f t="shared" si="23"/>
        <v>734.60694502619754</v>
      </c>
      <c r="FJ66" s="59">
        <f ca="1">AVERAGE(OFFSET($FI$3,0,0,'Données projet'!$E$16+1,1))-AVERAGE(OFFSET($H$3,0,0,'Données projet'!$E$16+1,1))</f>
        <v>422.28024471365825</v>
      </c>
      <c r="FK66" s="59">
        <f t="shared" si="48"/>
        <v>266.49730479813206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0</v>
      </c>
      <c r="FR66" s="21">
        <f>EXP(-LN(2)/25)*FR65+(1-EXP(-LN(2)/25))/(LN(2)/25)*Calculateur!FM66*Calculateur!FO66*VLOOKUP('Données projet'!$B$16,Paramètres!$A$1:$I$89,3,0)*0.475*44/12</f>
        <v>1.3298323941510384</v>
      </c>
      <c r="FS66" s="21">
        <f>EXP(-LN(2)/2)*FS65+(1-EXP(-LN(2)/2))/(LN(2)/2)*FM66*FP66*VLOOKUP('Données projet'!$B$16,Paramètres!$A$1:$I$89,3,0)*0.475*44/12</f>
        <v>7.1386100510512359E-5</v>
      </c>
      <c r="FT66" s="22">
        <f t="shared" si="24"/>
        <v>1.329903780251549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67.675720382587372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8</v>
      </c>
      <c r="FZ66" s="12">
        <f>IF('Données projet'!$A$244&gt;35,FZ65+FY66-GH65,IF(A66&lt;'Données projet'!$A$244,$FW$205^A66,IF(A66='Données projet'!$A$244,'Données projet'!$B$244,FZ65+FY66-GH65)))</f>
        <v>287.00000000000011</v>
      </c>
      <c r="GA66" s="17">
        <f>FZ66*VLOOKUP('Données projet'!$B$17,Paramètres!$A$1:$I$89,3,0)*VLOOKUP('Données projet'!$B$17,Paramètres!$A$1:$I$89,5,0)</f>
        <v>223.8600000000001</v>
      </c>
      <c r="GB66" s="13">
        <f t="shared" si="49"/>
        <v>54.952986499326279</v>
      </c>
      <c r="GC66" s="20">
        <f t="shared" si="25"/>
        <v>485.59928481966011</v>
      </c>
      <c r="GD66" s="59">
        <f t="shared" si="26"/>
        <v>770.41025955581381</v>
      </c>
      <c r="GE66" s="59">
        <f ca="1">AVERAGE(OFFSET($GD$3,0,0,'Données projet'!$E$17+1,1))-AVERAGE(OFFSET($H$3,0,0,'Données projet'!$E$17+1,1))</f>
        <v>300.95722646933314</v>
      </c>
      <c r="GF66" s="59">
        <f t="shared" si="50"/>
        <v>269.52365224623759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>
        <f>EXP(-LN(2)/35)*GL65+(1-EXP(-LN(2)/35))/(LN(2)/35)*GH66*GI66*VLOOKUP('Données projet'!$B$17,Paramètres!$A$1:$I$89,3,0)*0.475*44/12</f>
        <v>0.46290633977890694</v>
      </c>
      <c r="GM66" s="21">
        <f>EXP(-LN(2)/25)*GM65+(1-EXP(-LN(2)/25))/(LN(2)/25)*Calculateur!GH66*Calculateur!GJ66*VLOOKUP('Données projet'!$B$17,Paramètres!$A$1:$I$89,3,0)*0.475*44/12</f>
        <v>2.4989982464465572</v>
      </c>
      <c r="GN66" s="21">
        <f>EXP(-LN(2)/2)*GN65+(1-EXP(-LN(2)/2))/(LN(2)/2)*GH66*GK66*VLOOKUP('Données projet'!$B$17,Paramètres!$A$1:$I$89,3,0)*0.475*44/12</f>
        <v>9.5584613802232143E-5</v>
      </c>
      <c r="GO66" s="21">
        <f t="shared" si="27"/>
        <v>2.9620001708392665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67.675720382587372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1.4000000000000001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5.1333333333333337</v>
      </c>
      <c r="H67" s="67">
        <f t="shared" si="1"/>
        <v>236.13333333333335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67.716041437638722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8.5</v>
      </c>
      <c r="N67" s="13">
        <f>IF('Données projet'!$A$36&gt;35,N66+M67-V66,IF(A67&lt;'Données projet'!$A$36,$K$205^A67,IF(A67='Données projet'!$A$36,'Données projet'!$B$36,N66+M67-V66)))</f>
        <v>279</v>
      </c>
      <c r="O67" s="13">
        <f>N67*VLOOKUP('Données projet'!$B$9,Paramètres!$A$1:$I$89,3,0)*VLOOKUP('Données projet'!$B$9,Paramètres!$A$1:$I$89,5,0)</f>
        <v>252.4392</v>
      </c>
      <c r="P67" s="13">
        <f t="shared" si="33"/>
        <v>61.107963296116218</v>
      </c>
      <c r="Q67" s="20">
        <f t="shared" ref="Q67:Q98" si="54">(O67+P67)*0.475*44/12</f>
        <v>546.09464274073571</v>
      </c>
      <c r="R67" s="59">
        <f t="shared" ref="R67:R130" si="55">Q67+(I67+J67)*44/12</f>
        <v>831.05346134541105</v>
      </c>
      <c r="S67" s="59">
        <f ca="1">AVERAGE(OFFSET($R$3,0,0,'Données projet'!$E$9+1,1))-AVERAGE(OFFSET($H$3,0,0,'Données projet'!$E$9+1,1))</f>
        <v>479.46542424895119</v>
      </c>
      <c r="T67" s="59">
        <f t="shared" si="34"/>
        <v>337.96395820277337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1.2283639046209145</v>
      </c>
      <c r="AA67" s="21">
        <f>EXP(-LN(2)/25)*AA66+(1-EXP(-LN(2)/25))/(LN(2)/25)*Calculateur!V67*Calculateur!X67*VLOOKUP('Données projet'!$B$9,Paramètres!$A$1:$I$89,3,0)*0.475*44/12</f>
        <v>4.3955862282094671</v>
      </c>
      <c r="AB67" s="21">
        <f>EXP(-LN(2)/2)*AB66+(1-EXP(-LN(2)/2))/(LN(2)/2)*V67*Y67*VLOOKUP('Données projet'!$B$9,Paramètres!$A$1:$I$89,3,0)*0.475*44/12</f>
        <v>1.6443890971455866E-4</v>
      </c>
      <c r="AC67" s="22">
        <f t="shared" si="3"/>
        <v>5.6241145717400967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67.716041437638722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8.5</v>
      </c>
      <c r="AI67" s="13">
        <f>IF('Données projet'!$A$62&gt;35,AI66+AH67-AQ66,IF(A67&lt;'Données projet'!$A$62,$AF$205^A67,IF(A67='Données projet'!$A$62,'Données projet'!$B$62,AI66+AH67-AQ66)))</f>
        <v>279</v>
      </c>
      <c r="AJ67" s="13">
        <f>AI67*VLOOKUP('Données projet'!$B$10,Paramètres!$A$1:$I$89,3,0)*VLOOKUP('Données projet'!$B$10,Paramètres!$A$1:$I$89,5,0)</f>
        <v>269.84879999999998</v>
      </c>
      <c r="AK67" s="13">
        <f t="shared" si="35"/>
        <v>64.817179785761795</v>
      </c>
      <c r="AL67" s="20">
        <f t="shared" si="4"/>
        <v>582.87658146020169</v>
      </c>
      <c r="AM67" s="59">
        <f t="shared" si="5"/>
        <v>867.83540006487692</v>
      </c>
      <c r="AN67" s="59">
        <f ca="1">AVERAGE(OFFSET($AM$3,0,0,'Données projet'!$E$10+1,1))-AVERAGE(OFFSET($H$3,0,0,'Données projet'!$E$10+1,1))</f>
        <v>508.94560627895089</v>
      </c>
      <c r="AO67" s="59">
        <f t="shared" si="36"/>
        <v>357.86868650263034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1.3130786566637367</v>
      </c>
      <c r="AV67" s="21">
        <f>EXP(-LN(2)/25)*AV66+(1-EXP(-LN(2)/25))/(LN(2)/25)*Calculateur!AQ67*Calculateur!AS67*VLOOKUP('Données projet'!$B$10,Paramètres!$A$1:$I$89,3,0)*0.475*44/12</f>
        <v>4.6987301060170177</v>
      </c>
      <c r="AW67" s="21">
        <f>EXP(-LN(2)/2)*AW66+(1-EXP(-LN(2)/2))/(LN(2)/2)*AQ67*AT67*VLOOKUP('Données projet'!$B$10,Paramètres!$A$1:$I$89,3,0)*0.475*44/12</f>
        <v>1.7577952417763127E-4</v>
      </c>
      <c r="AX67" s="21">
        <f t="shared" si="6"/>
        <v>6.0119845422049316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67.716041437638722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9.1</v>
      </c>
      <c r="BD67" s="12">
        <f>IF('Données projet'!$A$88&gt;35,BD66+BC67-BL66,IF(A67&lt;'Données projet'!$A$88,$BA$205^A67,IF(A67='Données projet'!$A$88,'Données projet'!$B$88,BD66+BC67-BL66)))</f>
        <v>309.40000000000003</v>
      </c>
      <c r="BE67" s="13">
        <f>BD67*VLOOKUP('Données projet'!$B$11,Paramètres!$A$1:$I$89,3,0)*VLOOKUP('Données projet'!$B$11,Paramètres!$A$1:$I$89,5,0)</f>
        <v>241.33200000000002</v>
      </c>
      <c r="BF67" s="13">
        <f t="shared" si="37"/>
        <v>58.72602439130111</v>
      </c>
      <c r="BG67" s="20">
        <f t="shared" si="7"/>
        <v>522.6010591481828</v>
      </c>
      <c r="BH67" s="59">
        <f t="shared" si="8"/>
        <v>807.55987775285803</v>
      </c>
      <c r="BI67" s="59">
        <f ca="1">AVERAGE(OFFSET($BH$3,0,0,'Données projet'!$E$11+1,1))-AVERAGE(OFFSET($H$3,0,0,'Données projet'!$E$11+1,1))</f>
        <v>383.03154033422328</v>
      </c>
      <c r="BJ67" s="59">
        <f t="shared" si="38"/>
        <v>373.27897156169877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0.73747217180134972</v>
      </c>
      <c r="BQ67" s="21">
        <f>EXP(-LN(2)/25)*BQ66+(1-EXP(-LN(2)/25))/(LN(2)/25)*Calculateur!BL67*Calculateur!BN67*VLOOKUP('Données projet'!$B$11,Paramètres!$A$1:$I$89,3,0)*0.475*44/12</f>
        <v>3.2610852510570116</v>
      </c>
      <c r="BR67" s="21">
        <f>EXP(-LN(2)/2)*BR66+(1-EXP(-LN(2)/2))/(LN(2)/2)*BL67*BO67*VLOOKUP('Données projet'!$B$11,Paramètres!$A$1:$I$89,3,0)*0.475*44/12</f>
        <v>9.9725186132063563E-5</v>
      </c>
      <c r="BS67" s="22">
        <f t="shared" si="9"/>
        <v>3.9986571480444937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67.716041437638722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8.5</v>
      </c>
      <c r="BY67" s="12">
        <f>IF('Données projet'!$A$114&gt;35,BY66+BX67-CG66,IF(A67&lt;'Données projet'!$A$114,$BV$205^A67,IF(A67='Données projet'!$A$114,'Données projet'!$B$114,BY66+BX67-CG66)))</f>
        <v>279</v>
      </c>
      <c r="BZ67" s="13">
        <f>BY67*VLOOKUP('Données projet'!$B$12,Paramètres!$A$1:$I$89,3,0)*VLOOKUP('Données projet'!$B$12,Paramètres!$A$1:$I$89,5,0)</f>
        <v>235.02960000000002</v>
      </c>
      <c r="CA67" s="13">
        <f t="shared" si="39"/>
        <v>57.368825686861157</v>
      </c>
      <c r="CB67" s="20">
        <f t="shared" si="10"/>
        <v>509.26059140461649</v>
      </c>
      <c r="CC67" s="59">
        <f t="shared" si="11"/>
        <v>794.21941000929178</v>
      </c>
      <c r="CD67" s="59">
        <f ca="1">AVERAGE(OFFSET($CC$3,0,0,'Données projet'!$E$12+1,1))-AVERAGE(OFFSET($H$3,0,0,'Données projet'!$E$12+1,1))</f>
        <v>449.94334483948603</v>
      </c>
      <c r="CE67" s="59">
        <f t="shared" si="40"/>
        <v>318.02929110264176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1.1436491525780927</v>
      </c>
      <c r="CL67" s="21">
        <f>EXP(-LN(2)/25)*CL66+(1-EXP(-LN(2)/25))/(LN(2)/25)*Calculateur!CG67*Calculateur!CI67*VLOOKUP('Données projet'!$B$12,Paramètres!$A$1:$I$89,3,0)*0.475*44/12</f>
        <v>4.0924423504019192</v>
      </c>
      <c r="CM67" s="21">
        <f>EXP(-LN(2)/2)*CM66+(1-EXP(-LN(2)/2))/(LN(2)/2)*CG67*CJ67*VLOOKUP('Données projet'!$B$12,Paramètres!$A$1:$I$89,3,0)*0.475*44/12</f>
        <v>1.5309829525148545E-4</v>
      </c>
      <c r="CN67" s="22">
        <f t="shared" si="12"/>
        <v>5.2362446012752626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67.716041437638722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10.199999999999999</v>
      </c>
      <c r="CT67" s="12">
        <f>IF('Données projet'!$A$140&gt;35,CT66+CS67-DB66,IF(A67&lt;'Données projet'!$A$140,$CQ$205^A67,IF(A67='Données projet'!$A$140,'Données projet'!$B$140,CT66+CS67-DB66)))</f>
        <v>282.79999999999995</v>
      </c>
      <c r="CU67" s="17">
        <f>CT67*VLOOKUP('Données projet'!$B$13,Paramètres!$A$1:$I$89,3,0)*VLOOKUP('Données projet'!$B$13,Paramètres!$A$1:$I$89,5,0)</f>
        <v>242.64240000000001</v>
      </c>
      <c r="CV67" s="13">
        <f t="shared" si="41"/>
        <v>59.007692897618249</v>
      </c>
      <c r="CW67" s="20">
        <f t="shared" si="13"/>
        <v>525.37391179668509</v>
      </c>
      <c r="CX67" s="59">
        <f t="shared" si="14"/>
        <v>810.33273040136032</v>
      </c>
      <c r="CY67" s="59">
        <f ca="1">AVERAGE(OFFSET($CX$3,0,0,'Données projet'!$E$13+1,1))-AVERAGE(OFFSET($H$3,0,0,'Données projet'!$E$13+1,1))</f>
        <v>565.32667500225568</v>
      </c>
      <c r="CZ67" s="59">
        <f t="shared" si="42"/>
        <v>275.06957234480944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0</v>
      </c>
      <c r="DG67" s="21">
        <f>EXP(-LN(2)/25)*DG66+(1-EXP(-LN(2)/25))/(LN(2)/25)*Calculateur!DB67*Calculateur!DD67*VLOOKUP('Données projet'!$B$13,Paramètres!$A$1:$I$89,3,0)*0.475*44/12</f>
        <v>1.7068846335236616</v>
      </c>
      <c r="DH67" s="21">
        <f>EXP(-LN(2)/2)*DH66+(1-EXP(-LN(2)/2))/(LN(2)/2)*DB67*DE67*VLOOKUP('Données projet'!$B$13,Paramètres!$A$1:$I$89,3,0)*0.475*44/12</f>
        <v>5.4043032160949364E-5</v>
      </c>
      <c r="DI67" s="22">
        <f t="shared" si="15"/>
        <v>1.7069386765558225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67.716041437638722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15.8</v>
      </c>
      <c r="DO67" s="12">
        <f>IF('Données projet'!$A$166&gt;35,DO66+DN67-DW66,IF(A67&lt;'Données projet'!$A$166,$DL$205^A67,IF(A67='Données projet'!$A$166,'Données projet'!$B$166,DO66+DN67-DW66)))</f>
        <v>646.19999999999925</v>
      </c>
      <c r="DP67" s="17">
        <f>DO67*VLOOKUP('Données projet'!$B$14,Paramètres!$A$1:$I$89,3,0)*VLOOKUP('Données projet'!$B$14,Paramètres!$A$1:$I$89,5,0)</f>
        <v>361.22579999999965</v>
      </c>
      <c r="DQ67" s="13">
        <f t="shared" si="43"/>
        <v>83.869755817099659</v>
      </c>
      <c r="DR67" s="20">
        <f t="shared" si="16"/>
        <v>775.20809304811462</v>
      </c>
      <c r="DS67" s="59">
        <f t="shared" si="17"/>
        <v>1060.1669116527898</v>
      </c>
      <c r="DT67" s="59">
        <f ca="1">AVERAGE(OFFSET($DS$3,0,0,'Données projet'!$E$14+1,1))-AVERAGE(OFFSET($H$3,0,0,'Données projet'!$E$14+1,1))</f>
        <v>532.64469322244281</v>
      </c>
      <c r="DU67" s="59">
        <f t="shared" si="44"/>
        <v>525.88014011096413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5.8241392029439929</v>
      </c>
      <c r="EB67" s="21">
        <f>EXP(-LN(2)/25)*EB66+(1-EXP(-LN(2)/25))/(LN(2)/25)*Calculateur!DW67*Calculateur!DY67*VLOOKUP('Données projet'!$B$14,Paramètres!$A$1:$I$89,3,0)*0.475*44/12</f>
        <v>15.099979741207488</v>
      </c>
      <c r="EC67" s="21">
        <f>EXP(-LN(2)/2)*EC66+(1-EXP(-LN(2)/2))/(LN(2)/2)*DW67*DZ67*VLOOKUP('Données projet'!$B$14,Paramètres!$A$1:$I$89,3,0)*0.475*44/12</f>
        <v>2.7825844844844128E-4</v>
      </c>
      <c r="ED67" s="22">
        <f t="shared" si="18"/>
        <v>20.924397202599931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67.716041437638722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7</v>
      </c>
      <c r="EJ67" s="12">
        <f>IF('Données projet'!$A$192&gt;35,EJ66+EI67-ER66,IF(A67&lt;'Données projet'!$A$192,$EG$205^A67,IF(A67='Données projet'!$A$192,'Données projet'!$B$192,EJ66+EI67-ER66)))</f>
        <v>221.00000000000017</v>
      </c>
      <c r="EK67" s="17">
        <f>EJ67*VLOOKUP('Données projet'!$B$15,Paramètres!$A$1:$I$89,3,0)*VLOOKUP('Données projet'!$B$15,Paramètres!$A$1:$I$89,5,0)</f>
        <v>199.96080000000015</v>
      </c>
      <c r="EL67" s="13">
        <f t="shared" si="45"/>
        <v>49.735552653569265</v>
      </c>
      <c r="EM67" s="20">
        <f t="shared" si="19"/>
        <v>434.88781420496679</v>
      </c>
      <c r="EN67" s="59">
        <f t="shared" si="20"/>
        <v>719.84663280964207</v>
      </c>
      <c r="EO67" s="59">
        <f ca="1">AVERAGE(OFFSET($EN$3,0,0,'Données projet'!$E$15+1,1))-AVERAGE(OFFSET($H$3,0,0,'Données projet'!$E$15+1,1))</f>
        <v>398.27843768730202</v>
      </c>
      <c r="EP67" s="59">
        <f t="shared" si="46"/>
        <v>252.3617347568813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0</v>
      </c>
      <c r="EW67" s="21">
        <f>EXP(-LN(2)/25)*EW66+(1-EXP(-LN(2)/25))/(LN(2)/25)*Calculateur!ER67*Calculateur!ET67*VLOOKUP('Données projet'!$B$15,Paramètres!$A$1:$I$89,3,0)*0.475*44/12</f>
        <v>1.2100185053098009</v>
      </c>
      <c r="EX67" s="21">
        <f>EXP(-LN(2)/2)*EX66+(1-EXP(-LN(2)/2))/(LN(2)/2)*ER67*EU67*VLOOKUP('Données projet'!$B$15,Paramètres!$A$1:$I$89,3,0)*0.475*44/12</f>
        <v>4.7220976672580164E-5</v>
      </c>
      <c r="EY67" s="22">
        <f t="shared" si="21"/>
        <v>1.2100657262864736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67.716041437638722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7</v>
      </c>
      <c r="FE67" s="12">
        <f>IF('Données projet'!$A$218&gt;35,FE66+FD67-FM66,IF(A67&lt;'Données projet'!$A$218,$FB$205^A67,IF(A67='Données projet'!$A$218,'Données projet'!$B$218,FE66+FD67-FM66)))</f>
        <v>221.00000000000017</v>
      </c>
      <c r="FF67" s="17">
        <f>FE67*VLOOKUP('Données projet'!$B$16,Paramètres!$A$1:$I$89,3,0)*VLOOKUP('Données projet'!$B$16,Paramètres!$A$1:$I$89,5,0)</f>
        <v>213.75120000000015</v>
      </c>
      <c r="FG67" s="13">
        <f t="shared" si="47"/>
        <v>52.75447068116425</v>
      </c>
      <c r="FH67" s="20">
        <f t="shared" si="22"/>
        <v>464.16404310302801</v>
      </c>
      <c r="FI67" s="59">
        <f t="shared" si="23"/>
        <v>749.12286170770335</v>
      </c>
      <c r="FJ67" s="59">
        <f ca="1">AVERAGE(OFFSET($FI$3,0,0,'Données projet'!$E$16+1,1))-AVERAGE(OFFSET($H$3,0,0,'Données projet'!$E$16+1,1))</f>
        <v>422.28024471365825</v>
      </c>
      <c r="FK67" s="59">
        <f t="shared" si="48"/>
        <v>266.49730479813206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0</v>
      </c>
      <c r="FR67" s="21">
        <f>EXP(-LN(2)/25)*FR66+(1-EXP(-LN(2)/25))/(LN(2)/25)*Calculateur!FM67*Calculateur!FO67*VLOOKUP('Données projet'!$B$16,Paramètres!$A$1:$I$89,3,0)*0.475*44/12</f>
        <v>1.293468057400132</v>
      </c>
      <c r="FS67" s="21">
        <f>EXP(-LN(2)/2)*FS66+(1-EXP(-LN(2)/2))/(LN(2)/2)*FM67*FP67*VLOOKUP('Données projet'!$B$16,Paramètres!$A$1:$I$89,3,0)*0.475*44/12</f>
        <v>5.0477595753447752E-5</v>
      </c>
      <c r="FT67" s="22">
        <f t="shared" si="24"/>
        <v>1.2935185349958855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67.716041437638722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8</v>
      </c>
      <c r="FZ67" s="12">
        <f>IF('Données projet'!$A$244&gt;35,FZ66+FY67-GH66,IF(A67&lt;'Données projet'!$A$244,$FW$205^A67,IF(A67='Données projet'!$A$244,'Données projet'!$B$244,FZ66+FY67-GH66)))</f>
        <v>295.00000000000011</v>
      </c>
      <c r="GA67" s="17">
        <f>FZ67*VLOOKUP('Données projet'!$B$17,Paramètres!$A$1:$I$89,3,0)*VLOOKUP('Données projet'!$B$17,Paramètres!$A$1:$I$89,5,0)</f>
        <v>230.10000000000011</v>
      </c>
      <c r="GB67" s="13">
        <f t="shared" si="49"/>
        <v>56.304303322090803</v>
      </c>
      <c r="GC67" s="20">
        <f t="shared" si="25"/>
        <v>498.82082828597504</v>
      </c>
      <c r="GD67" s="59">
        <f t="shared" si="26"/>
        <v>783.77964689065038</v>
      </c>
      <c r="GE67" s="59">
        <f ca="1">AVERAGE(OFFSET($GD$3,0,0,'Données projet'!$E$17+1,1))-AVERAGE(OFFSET($H$3,0,0,'Données projet'!$E$17+1,1))</f>
        <v>300.95722646933314</v>
      </c>
      <c r="GF67" s="59">
        <f t="shared" si="50"/>
        <v>269.52365224623759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>
        <f>EXP(-LN(2)/35)*GL66+(1-EXP(-LN(2)/35))/(LN(2)/35)*GH67*GI67*VLOOKUP('Données projet'!$B$17,Paramètres!$A$1:$I$89,3,0)*0.475*44/12</f>
        <v>0.45382902880083059</v>
      </c>
      <c r="GM67" s="21">
        <f>EXP(-LN(2)/25)*GM66+(1-EXP(-LN(2)/25))/(LN(2)/25)*Calculateur!GH67*Calculateur!GJ67*VLOOKUP('Données projet'!$B$17,Paramètres!$A$1:$I$89,3,0)*0.475*44/12</f>
        <v>2.4306630079808698</v>
      </c>
      <c r="GN67" s="21">
        <f>EXP(-LN(2)/2)*GN66+(1-EXP(-LN(2)/2))/(LN(2)/2)*GH67*GK67*VLOOKUP('Données projet'!$B$17,Paramètres!$A$1:$I$89,3,0)*0.475*44/12</f>
        <v>6.7588528596655614E-5</v>
      </c>
      <c r="GO67" s="21">
        <f t="shared" si="27"/>
        <v>2.8845596253102967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67.716041437638722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1.4000000000000001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5.1333333333333337</v>
      </c>
      <c r="H68" s="67">
        <f t="shared" ref="H68:H131" si="56">(B68+E68+F68)*44/12+(C68+D68)*0.475*44/12</f>
        <v>236.13333333333335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67.755663012529311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8.5</v>
      </c>
      <c r="N68" s="13">
        <f>IF('Données projet'!$A$36&gt;35,N67+M68-V67,IF(A68&lt;'Données projet'!$A$36,$K$205^A68,IF(A68='Données projet'!$A$36,'Données projet'!$B$36,N67+M68-V67)))</f>
        <v>287.5</v>
      </c>
      <c r="O68" s="13">
        <f>N68*VLOOKUP('Données projet'!$B$9,Paramètres!$A$1:$I$89,3,0)*VLOOKUP('Données projet'!$B$9,Paramètres!$A$1:$I$89,5,0)</f>
        <v>260.13</v>
      </c>
      <c r="P68" s="13">
        <f t="shared" si="33"/>
        <v>62.750087896510983</v>
      </c>
      <c r="Q68" s="20">
        <f t="shared" si="54"/>
        <v>562.34948641975654</v>
      </c>
      <c r="R68" s="59">
        <f t="shared" si="55"/>
        <v>847.45358413236409</v>
      </c>
      <c r="S68" s="59">
        <f ca="1">AVERAGE(OFFSET($R$3,0,0,'Données projet'!$E$9+1,1))-AVERAGE(OFFSET($H$3,0,0,'Données projet'!$E$9+1,1))</f>
        <v>479.46542424895119</v>
      </c>
      <c r="T68" s="59">
        <f t="shared" si="34"/>
        <v>337.96395820277337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1.2042764376793</v>
      </c>
      <c r="AA68" s="21">
        <f>EXP(-LN(2)/25)*AA67+(1-EXP(-LN(2)/25))/(LN(2)/25)*Calculateur!V68*Calculateur!X68*VLOOKUP('Données projet'!$B$9,Paramètres!$A$1:$I$89,3,0)*0.475*44/12</f>
        <v>4.2753886916452455</v>
      </c>
      <c r="AB68" s="21">
        <f>EXP(-LN(2)/2)*AB67+(1-EXP(-LN(2)/2))/(LN(2)/2)*V68*Y68*VLOOKUP('Données projet'!$B$9,Paramètres!$A$1:$I$89,3,0)*0.475*44/12</f>
        <v>1.1627586815008689E-4</v>
      </c>
      <c r="AC68" s="22">
        <f t="shared" ref="AC68:AC131" si="57">SUM(Z68:AB68)</f>
        <v>5.4797814051926954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67.755663012529311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8.5</v>
      </c>
      <c r="AI68" s="13">
        <f>IF('Données projet'!$A$62&gt;35,AI67+AH68-AQ67,IF(A68&lt;'Données projet'!$A$62,$AF$205^A68,IF(A68='Données projet'!$A$62,'Données projet'!$B$62,AI67+AH68-AQ67)))</f>
        <v>287.5</v>
      </c>
      <c r="AJ68" s="13">
        <f>AI68*VLOOKUP('Données projet'!$B$10,Paramètres!$A$1:$I$89,3,0)*VLOOKUP('Données projet'!$B$10,Paramètres!$A$1:$I$89,5,0)</f>
        <v>278.07</v>
      </c>
      <c r="AK68" s="13">
        <f t="shared" si="35"/>
        <v>66.558980358276997</v>
      </c>
      <c r="AL68" s="20">
        <f t="shared" ref="AL68:AL131" si="58">(AJ68+AK68)*0.475*44/12</f>
        <v>600.22880745733244</v>
      </c>
      <c r="AM68" s="59">
        <f t="shared" ref="AM68:AM131" si="59">AL68+(AD68+AE68)*44/12</f>
        <v>885.33290516993998</v>
      </c>
      <c r="AN68" s="59">
        <f ca="1">AVERAGE(OFFSET($AM$3,0,0,'Données projet'!$E$10+1,1))-AVERAGE(OFFSET($H$3,0,0,'Données projet'!$E$10+1,1))</f>
        <v>508.94560627895089</v>
      </c>
      <c r="AO68" s="59">
        <f t="shared" si="36"/>
        <v>357.86868650263034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1.2873299851054592</v>
      </c>
      <c r="AV68" s="21">
        <f>EXP(-LN(2)/25)*AV67+(1-EXP(-LN(2)/25))/(LN(2)/25)*Calculateur!AQ68*Calculateur!AS68*VLOOKUP('Données projet'!$B$10,Paramètres!$A$1:$I$89,3,0)*0.475*44/12</f>
        <v>4.570243084172505</v>
      </c>
      <c r="AW68" s="21">
        <f>EXP(-LN(2)/2)*AW67+(1-EXP(-LN(2)/2))/(LN(2)/2)*AQ68*AT68*VLOOKUP('Données projet'!$B$10,Paramètres!$A$1:$I$89,3,0)*0.475*44/12</f>
        <v>1.2429489353974775E-4</v>
      </c>
      <c r="AX68" s="21">
        <f t="shared" ref="AX68:AX131" si="60">SUM(AU68:AW68)</f>
        <v>5.8576973641715036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67.755663012529311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9.1</v>
      </c>
      <c r="BD68" s="12">
        <f>IF('Données projet'!$A$88&gt;35,BD67+BC68-BL67,IF(A68&lt;'Données projet'!$A$88,$BA$205^A68,IF(A68='Données projet'!$A$88,'Données projet'!$B$88,BD67+BC68-BL67)))</f>
        <v>318.50000000000006</v>
      </c>
      <c r="BE68" s="13">
        <f>BD68*VLOOKUP('Données projet'!$B$11,Paramètres!$A$1:$I$89,3,0)*VLOOKUP('Données projet'!$B$11,Paramètres!$A$1:$I$89,5,0)</f>
        <v>248.43000000000006</v>
      </c>
      <c r="BF68" s="13">
        <f t="shared" si="37"/>
        <v>60.249625816963075</v>
      </c>
      <c r="BG68" s="20">
        <f t="shared" ref="BG68:BG131" si="61">(BE68+BF68)*0.475*44/12</f>
        <v>537.61701496454418</v>
      </c>
      <c r="BH68" s="59">
        <f t="shared" ref="BH68:BH131" si="62">BG68+(AY68+AZ68)*44/12</f>
        <v>822.72111267715172</v>
      </c>
      <c r="BI68" s="59">
        <f ca="1">AVERAGE(OFFSET($BH$3,0,0,'Données projet'!$E$11+1,1))-AVERAGE(OFFSET($H$3,0,0,'Données projet'!$E$11+1,1))</f>
        <v>383.03154033422328</v>
      </c>
      <c r="BJ68" s="59">
        <f t="shared" si="38"/>
        <v>373.27897156169877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0.72301079232593468</v>
      </c>
      <c r="BQ68" s="21">
        <f>EXP(-LN(2)/25)*BQ67+(1-EXP(-LN(2)/25))/(LN(2)/25)*Calculateur!BL68*Calculateur!BN68*VLOOKUP('Données projet'!$B$11,Paramètres!$A$1:$I$89,3,0)*0.475*44/12</f>
        <v>3.1719107033738374</v>
      </c>
      <c r="BR68" s="21">
        <f>EXP(-LN(2)/2)*BR67+(1-EXP(-LN(2)/2))/(LN(2)/2)*BL68*BO68*VLOOKUP('Données projet'!$B$11,Paramètres!$A$1:$I$89,3,0)*0.475*44/12</f>
        <v>7.0516355369072792E-5</v>
      </c>
      <c r="BS68" s="22">
        <f t="shared" ref="BS68:BS131" si="63">SUM(BP68:BR68)</f>
        <v>3.8949920120551411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67.755663012529311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8.5</v>
      </c>
      <c r="BY68" s="12">
        <f>IF('Données projet'!$A$114&gt;35,BY67+BX68-CG67,IF(A68&lt;'Données projet'!$A$114,$BV$205^A68,IF(A68='Données projet'!$A$114,'Données projet'!$B$114,BY67+BX68-CG67)))</f>
        <v>287.5</v>
      </c>
      <c r="BZ68" s="13">
        <f>BY68*VLOOKUP('Données projet'!$B$12,Paramètres!$A$1:$I$89,3,0)*VLOOKUP('Données projet'!$B$12,Paramètres!$A$1:$I$89,5,0)</f>
        <v>242.19</v>
      </c>
      <c r="CA68" s="13">
        <f t="shared" si="39"/>
        <v>58.910470259429353</v>
      </c>
      <c r="CB68" s="20">
        <f t="shared" ref="CB68:CB131" si="64">(BZ68+CA68)*0.475*44/12</f>
        <v>524.41665236850611</v>
      </c>
      <c r="CC68" s="59">
        <f t="shared" ref="CC68:CC131" si="65">CB68+(BT68+BU68)*44/12</f>
        <v>809.52075008111365</v>
      </c>
      <c r="CD68" s="59">
        <f ca="1">AVERAGE(OFFSET($CC$3,0,0,'Données projet'!$E$12+1,1))-AVERAGE(OFFSET($H$3,0,0,'Données projet'!$E$12+1,1))</f>
        <v>449.94334483948603</v>
      </c>
      <c r="CE68" s="59">
        <f t="shared" si="40"/>
        <v>318.02929110264176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1.1212228902531414</v>
      </c>
      <c r="CL68" s="21">
        <f>EXP(-LN(2)/25)*CL67+(1-EXP(-LN(2)/25))/(LN(2)/25)*Calculateur!CG68*Calculateur!CI68*VLOOKUP('Données projet'!$B$12,Paramètres!$A$1:$I$89,3,0)*0.475*44/12</f>
        <v>3.9805342991179891</v>
      </c>
      <c r="CM68" s="21">
        <f>EXP(-LN(2)/2)*CM67+(1-EXP(-LN(2)/2))/(LN(2)/2)*CG68*CJ68*VLOOKUP('Données projet'!$B$12,Paramètres!$A$1:$I$89,3,0)*0.475*44/12</f>
        <v>1.0825684276042557E-4</v>
      </c>
      <c r="CN68" s="22">
        <f t="shared" ref="CN68:CN131" si="66">SUM(CK68:CM68)</f>
        <v>5.1018654462138908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67.755663012529311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10.199999999999999</v>
      </c>
      <c r="CT68" s="12">
        <f>IF('Données projet'!$A$140&gt;35,CT67+CS68-DB67,IF(A68&lt;'Données projet'!$A$140,$CQ$205^A68,IF(A68='Données projet'!$A$140,'Données projet'!$B$140,CT67+CS68-DB67)))</f>
        <v>292.99999999999994</v>
      </c>
      <c r="CU68" s="17">
        <f>CT68*VLOOKUP('Données projet'!$B$13,Paramètres!$A$1:$I$89,3,0)*VLOOKUP('Données projet'!$B$13,Paramètres!$A$1:$I$89,5,0)</f>
        <v>251.39399999999998</v>
      </c>
      <c r="CV68" s="13">
        <f t="shared" si="41"/>
        <v>60.884348300643452</v>
      </c>
      <c r="CW68" s="20">
        <f t="shared" ref="CW68:CW131" si="67">(CU68+CV68)*0.475*44/12</f>
        <v>543.88478995695391</v>
      </c>
      <c r="CX68" s="59">
        <f t="shared" ref="CX68:CX131" si="68">CW68+(CO68+CP68)*44/12</f>
        <v>828.98888766956134</v>
      </c>
      <c r="CY68" s="59">
        <f ca="1">AVERAGE(OFFSET($CX$3,0,0,'Données projet'!$E$13+1,1))-AVERAGE(OFFSET($H$3,0,0,'Données projet'!$E$13+1,1))</f>
        <v>565.32667500225568</v>
      </c>
      <c r="CZ68" s="59">
        <f t="shared" si="42"/>
        <v>275.06957234480944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0</v>
      </c>
      <c r="DG68" s="21">
        <f>EXP(-LN(2)/25)*DG67+(1-EXP(-LN(2)/25))/(LN(2)/25)*Calculateur!DB68*Calculateur!DD68*VLOOKUP('Données projet'!$B$13,Paramètres!$A$1:$I$89,3,0)*0.475*44/12</f>
        <v>1.6602097834587954</v>
      </c>
      <c r="DH68" s="21">
        <f>EXP(-LN(2)/2)*DH67+(1-EXP(-LN(2)/2))/(LN(2)/2)*DB68*DE68*VLOOKUP('Données projet'!$B$13,Paramètres!$A$1:$I$89,3,0)*0.475*44/12</f>
        <v>3.8214194516889972E-5</v>
      </c>
      <c r="DI68" s="22">
        <f t="shared" ref="DI68:DI131" si="69">SUM(DF68:DH68)</f>
        <v>1.6602479976533124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67.755663012529311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15.8</v>
      </c>
      <c r="DO68" s="12">
        <f>IF('Données projet'!$A$166&gt;35,DO67+DN68-DW67,IF(A68&lt;'Données projet'!$A$166,$DL$205^A68,IF(A68='Données projet'!$A$166,'Données projet'!$B$166,DO67+DN68-DW67)))</f>
        <v>661.9999999999992</v>
      </c>
      <c r="DP68" s="17">
        <f>DO68*VLOOKUP('Données projet'!$B$14,Paramètres!$A$1:$I$89,3,0)*VLOOKUP('Données projet'!$B$14,Paramètres!$A$1:$I$89,5,0)</f>
        <v>370.05799999999954</v>
      </c>
      <c r="DQ68" s="13">
        <f t="shared" si="43"/>
        <v>85.679171397668327</v>
      </c>
      <c r="DR68" s="20">
        <f t="shared" ref="DR68:DR131" si="70">(DP68+DQ68)*0.475*44/12</f>
        <v>793.74224018427151</v>
      </c>
      <c r="DS68" s="59">
        <f t="shared" ref="DS68:DS131" si="71">DR68+(DJ68+DK68)*44/12</f>
        <v>1078.846337896879</v>
      </c>
      <c r="DT68" s="59">
        <f ca="1">AVERAGE(OFFSET($DS$3,0,0,'Données projet'!$E$14+1,1))-AVERAGE(OFFSET($H$3,0,0,'Données projet'!$E$14+1,1))</f>
        <v>532.64469322244281</v>
      </c>
      <c r="DU68" s="59">
        <f t="shared" si="44"/>
        <v>525.88014011096413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5.7099313855484075</v>
      </c>
      <c r="EB68" s="21">
        <f>EXP(-LN(2)/25)*EB67+(1-EXP(-LN(2)/25))/(LN(2)/25)*Calculateur!DW68*Calculateur!DY68*VLOOKUP('Données projet'!$B$14,Paramètres!$A$1:$I$89,3,0)*0.475*44/12</f>
        <v>14.687070001110746</v>
      </c>
      <c r="EC68" s="21">
        <f>EXP(-LN(2)/2)*EC67+(1-EXP(-LN(2)/2))/(LN(2)/2)*DW68*DZ68*VLOOKUP('Données projet'!$B$14,Paramètres!$A$1:$I$89,3,0)*0.475*44/12</f>
        <v>1.9675843582034019E-4</v>
      </c>
      <c r="ED68" s="22">
        <f t="shared" ref="ED68:ED131" si="72">SUM(EA68:EC68)</f>
        <v>20.397198145094972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67.755663012529311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7</v>
      </c>
      <c r="EJ68" s="12">
        <f>IF('Données projet'!$A$192&gt;35,EJ67+EI68-ER67,IF(A68&lt;'Données projet'!$A$192,$EG$205^A68,IF(A68='Données projet'!$A$192,'Données projet'!$B$192,EJ67+EI68-ER67)))</f>
        <v>228.00000000000017</v>
      </c>
      <c r="EK68" s="17">
        <f>EJ68*VLOOKUP('Données projet'!$B$15,Paramètres!$A$1:$I$89,3,0)*VLOOKUP('Données projet'!$B$15,Paramètres!$A$1:$I$89,5,0)</f>
        <v>206.29440000000017</v>
      </c>
      <c r="EL68" s="13">
        <f t="shared" si="45"/>
        <v>51.124981739560774</v>
      </c>
      <c r="EM68" s="20">
        <f t="shared" ref="EM68:EM131" si="73">(EK68+EL68)*0.475*44/12</f>
        <v>448.33875652973529</v>
      </c>
      <c r="EN68" s="59">
        <f t="shared" ref="EN68:EN131" si="74">EM68+(EE68+EF68)*44/12</f>
        <v>733.44285424234272</v>
      </c>
      <c r="EO68" s="59">
        <f ca="1">AVERAGE(OFFSET($EN$3,0,0,'Données projet'!$E$15+1,1))-AVERAGE(OFFSET($H$3,0,0,'Données projet'!$E$15+1,1))</f>
        <v>398.27843768730202</v>
      </c>
      <c r="EP68" s="59">
        <f t="shared" si="46"/>
        <v>252.3617347568813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0</v>
      </c>
      <c r="EW68" s="21">
        <f>EXP(-LN(2)/25)*EW67+(1-EXP(-LN(2)/25))/(LN(2)/25)*Calculateur!ER68*Calculateur!ET68*VLOOKUP('Données projet'!$B$15,Paramètres!$A$1:$I$89,3,0)*0.475*44/12</f>
        <v>1.1769304856499967</v>
      </c>
      <c r="EX68" s="21">
        <f>EXP(-LN(2)/2)*EX67+(1-EXP(-LN(2)/2))/(LN(2)/2)*ER68*EU68*VLOOKUP('Données projet'!$B$15,Paramètres!$A$1:$I$89,3,0)*0.475*44/12</f>
        <v>3.3390272819433207E-5</v>
      </c>
      <c r="EY68" s="22">
        <f t="shared" ref="EY68:EY131" si="75">SUM(EV68:EX68)</f>
        <v>1.176963875922816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67.755663012529311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7</v>
      </c>
      <c r="FE68" s="12">
        <f>IF('Données projet'!$A$218&gt;35,FE67+FD68-FM67,IF(A68&lt;'Données projet'!$A$218,$FB$205^A68,IF(A68='Données projet'!$A$218,'Données projet'!$B$218,FE67+FD68-FM67)))</f>
        <v>228.00000000000017</v>
      </c>
      <c r="FF68" s="17">
        <f>FE68*VLOOKUP('Données projet'!$B$16,Paramètres!$A$1:$I$89,3,0)*VLOOKUP('Données projet'!$B$16,Paramètres!$A$1:$I$89,5,0)</f>
        <v>220.52160000000015</v>
      </c>
      <c r="FG68" s="13">
        <f t="shared" si="47"/>
        <v>54.228237274069159</v>
      </c>
      <c r="FH68" s="20">
        <f t="shared" ref="FH68:FH131" si="76">(FF68+FG68)*0.475*44/12</f>
        <v>478.5226332523373</v>
      </c>
      <c r="FI68" s="59">
        <f t="shared" ref="FI68:FI131" si="77">FH68+(EZ68+FA68)*44/12</f>
        <v>763.62673096494473</v>
      </c>
      <c r="FJ68" s="59">
        <f ca="1">AVERAGE(OFFSET($FI$3,0,0,'Données projet'!$E$16+1,1))-AVERAGE(OFFSET($H$3,0,0,'Données projet'!$E$16+1,1))</f>
        <v>422.28024471365825</v>
      </c>
      <c r="FK68" s="59">
        <f t="shared" si="48"/>
        <v>266.49730479813206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>
        <f>EXP(-LN(2)/35)*FQ67+(1-EXP(-LN(2)/35))/(LN(2)/35)*FM68*FN68*VLOOKUP('Données projet'!$B$16,Paramètres!$A$1:$I$89,3,0)*0.475*44/12</f>
        <v>0</v>
      </c>
      <c r="FR68" s="21">
        <f>EXP(-LN(2)/25)*FR67+(1-EXP(-LN(2)/25))/(LN(2)/25)*Calculateur!FM68*Calculateur!FO68*VLOOKUP('Données projet'!$B$16,Paramètres!$A$1:$I$89,3,0)*0.475*44/12</f>
        <v>1.2580981053499967</v>
      </c>
      <c r="FS68" s="21">
        <f>EXP(-LN(2)/2)*FS67+(1-EXP(-LN(2)/2))/(LN(2)/2)*FM68*FP68*VLOOKUP('Données projet'!$B$16,Paramètres!$A$1:$I$89,3,0)*0.475*44/12</f>
        <v>3.5693050255256179E-5</v>
      </c>
      <c r="FT68" s="22">
        <f t="shared" ref="FT68:FT131" si="78">SUM(FQ68:FS68)</f>
        <v>1.2581337984002519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67.755663012529311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>
        <f>VLOOKUP(A68,'Données projet'!$A$243:$I$263,2,0)</f>
        <v>303</v>
      </c>
      <c r="FX68" s="12">
        <f>VLOOKUP(A68,'Données projet'!$A$243:$I$263,9,0)</f>
        <v>8</v>
      </c>
      <c r="FY68" s="12">
        <f t="array" ref="FY68">INDEX(FX:FX,MIN(IF(ISNUMBER(FX68:FX264),ROW(FX68:FX264),"")))</f>
        <v>8</v>
      </c>
      <c r="FZ68" s="12">
        <f>IF('Données projet'!$A$244&gt;35,FZ67+FY68-GH67,IF(A68&lt;'Données projet'!$A$244,$FW$205^A68,IF(A68='Données projet'!$A$244,'Données projet'!$B$244,FZ67+FY68-GH67)))</f>
        <v>303.00000000000011</v>
      </c>
      <c r="GA68" s="17">
        <f>FZ68*VLOOKUP('Données projet'!$B$17,Paramètres!$A$1:$I$89,3,0)*VLOOKUP('Données projet'!$B$17,Paramètres!$A$1:$I$89,5,0)</f>
        <v>236.34000000000009</v>
      </c>
      <c r="GB68" s="13">
        <f t="shared" si="49"/>
        <v>57.651360738051551</v>
      </c>
      <c r="GC68" s="20">
        <f t="shared" ref="GC68:GC131" si="79">(GA68+GB68)*0.475*44/12</f>
        <v>512.03495328543988</v>
      </c>
      <c r="GD68" s="59">
        <f t="shared" ref="GD68:GD131" si="80">GC68+(FU68+FV68)*44/12</f>
        <v>797.13905099804742</v>
      </c>
      <c r="GE68" s="59">
        <f ca="1">AVERAGE(OFFSET($GD$3,0,0,'Données projet'!$E$17+1,1))-AVERAGE(OFFSET($H$3,0,0,'Données projet'!$E$17+1,1))</f>
        <v>300.95722646933314</v>
      </c>
      <c r="GF68" s="59">
        <f t="shared" si="50"/>
        <v>269.52365224623759</v>
      </c>
      <c r="GG68" s="15">
        <f>IF(ISNA(VLOOKUP(A68,'Données projet'!$A$243:$I$263,3,0)),0,VLOOKUP(A68,'Données projet'!$A$243:$I$263,3,0))</f>
        <v>6</v>
      </c>
      <c r="GH68" s="15">
        <f>IF(ISNA(VLOOKUP(A68,'Données projet'!$A$243:$I$263,4,0)),0,VLOOKUP(A68,'Données projet'!$A$243:$I$263,4,0))</f>
        <v>53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>
        <f>EXP(-LN(2)/35)*GL67+(1-EXP(-LN(2)/35))/(LN(2)/35)*GH68*GI68*VLOOKUP('Données projet'!$B$17,Paramètres!$A$1:$I$89,3,0)*0.475*44/12</f>
        <v>0.4449297183544213</v>
      </c>
      <c r="GM68" s="21">
        <f>EXP(-LN(2)/25)*GM67+(1-EXP(-LN(2)/25))/(LN(2)/25)*Calculateur!GH68*Calculateur!GJ68*VLOOKUP('Données projet'!$B$17,Paramètres!$A$1:$I$89,3,0)*0.475*44/12</f>
        <v>2.3641964002046207</v>
      </c>
      <c r="GN68" s="21">
        <f>EXP(-LN(2)/2)*GN67+(1-EXP(-LN(2)/2))/(LN(2)/2)*GH68*GK68*VLOOKUP('Données projet'!$B$17,Paramètres!$A$1:$I$89,3,0)*0.475*44/12</f>
        <v>4.7792306901116072E-5</v>
      </c>
      <c r="GO68" s="21">
        <f t="shared" ref="GO68:GO131" si="81">SUM(GL68:GN68)</f>
        <v>2.8091739108659435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67.755663012529311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1.4000000000000001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5.1333333333333337</v>
      </c>
      <c r="H69" s="67">
        <f t="shared" si="56"/>
        <v>236.13333333333335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67.794597241676101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8.5</v>
      </c>
      <c r="N69" s="13">
        <f>IF('Données projet'!$A$36&gt;35,N68+M69-V68,IF(A69&lt;'Données projet'!$A$36,$K$205^A69,IF(A69='Données projet'!$A$36,'Données projet'!$B$36,N68+M69-V68)))</f>
        <v>296</v>
      </c>
      <c r="O69" s="13">
        <f>N69*VLOOKUP('Données projet'!$B$9,Paramètres!$A$1:$I$89,3,0)*VLOOKUP('Données projet'!$B$9,Paramètres!$A$1:$I$89,5,0)</f>
        <v>267.82079999999996</v>
      </c>
      <c r="P69" s="13">
        <f t="shared" ref="P69:P132" si="87">EXP(-1.0587+0.8836*LN(O69)+0.284)</f>
        <v>64.386570147897302</v>
      </c>
      <c r="Q69" s="20">
        <f t="shared" si="54"/>
        <v>578.59450300758772</v>
      </c>
      <c r="R69" s="59">
        <f t="shared" si="55"/>
        <v>863.84135956040018</v>
      </c>
      <c r="S69" s="59">
        <f ca="1">AVERAGE(OFFSET($R$3,0,0,'Données projet'!$E$9+1,1))-AVERAGE(OFFSET($H$3,0,0,'Données projet'!$E$9+1,1))</f>
        <v>479.46542424895119</v>
      </c>
      <c r="T69" s="59">
        <f t="shared" ref="T69:T132" si="88">$T$3</f>
        <v>337.96395820277337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1.1806613112725066</v>
      </c>
      <c r="AA69" s="21">
        <f>EXP(-LN(2)/25)*AA68+(1-EXP(-LN(2)/25))/(LN(2)/25)*Calculateur!V69*Calculateur!X69*VLOOKUP('Données projet'!$B$9,Paramètres!$A$1:$I$89,3,0)*0.475*44/12</f>
        <v>4.1584779630392861</v>
      </c>
      <c r="AB69" s="21">
        <f>EXP(-LN(2)/2)*AB68+(1-EXP(-LN(2)/2))/(LN(2)/2)*V69*Y69*VLOOKUP('Données projet'!$B$9,Paramètres!$A$1:$I$89,3,0)*0.475*44/12</f>
        <v>8.2219454857279344E-5</v>
      </c>
      <c r="AC69" s="22">
        <f t="shared" si="57"/>
        <v>5.3392214937666491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67.794597241676101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8.5</v>
      </c>
      <c r="AI69" s="13">
        <f>IF('Données projet'!$A$62&gt;35,AI68+AH69-AQ68,IF(A69&lt;'Données projet'!$A$62,$AF$205^A69,IF(A69='Données projet'!$A$62,'Données projet'!$B$62,AI68+AH69-AQ68)))</f>
        <v>296</v>
      </c>
      <c r="AJ69" s="13">
        <f>AI69*VLOOKUP('Données projet'!$B$10,Paramètres!$A$1:$I$89,3,0)*VLOOKUP('Données projet'!$B$10,Paramètres!$A$1:$I$89,5,0)</f>
        <v>286.2912</v>
      </c>
      <c r="AK69" s="13">
        <f t="shared" ref="AK69:AK132" si="89">EXP(-1.0587+0.8836*LN(AJ69)+0.284)</f>
        <v>68.294796094604408</v>
      </c>
      <c r="AL69" s="20">
        <f t="shared" si="58"/>
        <v>617.57060986476927</v>
      </c>
      <c r="AM69" s="59">
        <f t="shared" si="59"/>
        <v>902.81746641758173</v>
      </c>
      <c r="AN69" s="59">
        <f ca="1">AVERAGE(OFFSET($AM$3,0,0,'Données projet'!$E$10+1,1))-AVERAGE(OFFSET($H$3,0,0,'Données projet'!$E$10+1,1))</f>
        <v>508.94560627895089</v>
      </c>
      <c r="AO69" s="59">
        <f t="shared" ref="AO69:AO132" si="90">$AO$3</f>
        <v>357.86868650263034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1.2620862292913007</v>
      </c>
      <c r="AV69" s="21">
        <f>EXP(-LN(2)/25)*AV68+(1-EXP(-LN(2)/25))/(LN(2)/25)*Calculateur!AQ69*Calculateur!AS69*VLOOKUP('Données projet'!$B$10,Paramètres!$A$1:$I$89,3,0)*0.475*44/12</f>
        <v>4.4452695466971699</v>
      </c>
      <c r="AW69" s="21">
        <f>EXP(-LN(2)/2)*AW68+(1-EXP(-LN(2)/2))/(LN(2)/2)*AQ69*AT69*VLOOKUP('Données projet'!$B$10,Paramètres!$A$1:$I$89,3,0)*0.475*44/12</f>
        <v>8.7889762088815636E-5</v>
      </c>
      <c r="AX69" s="21">
        <f t="shared" si="60"/>
        <v>5.7074436657505592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67.794597241676101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9.1</v>
      </c>
      <c r="BD69" s="12">
        <f>IF('Données projet'!$A$88&gt;35,BD68+BC69-BL68,IF(A69&lt;'Données projet'!$A$88,$BA$205^A69,IF(A69='Données projet'!$A$88,'Données projet'!$B$88,BD68+BC69-BL68)))</f>
        <v>327.60000000000008</v>
      </c>
      <c r="BE69" s="13">
        <f>BD69*VLOOKUP('Données projet'!$B$11,Paramètres!$A$1:$I$89,3,0)*VLOOKUP('Données projet'!$B$11,Paramètres!$A$1:$I$89,5,0)</f>
        <v>255.52800000000008</v>
      </c>
      <c r="BF69" s="13">
        <f t="shared" ref="BF69:BF132" si="91">EXP(-1.0587+0.8836*LN(BE69)+0.284)</f>
        <v>61.768167868721527</v>
      </c>
      <c r="BG69" s="20">
        <f t="shared" si="61"/>
        <v>552.62415903802355</v>
      </c>
      <c r="BH69" s="59">
        <f t="shared" si="62"/>
        <v>837.8710155908359</v>
      </c>
      <c r="BI69" s="59">
        <f ca="1">AVERAGE(OFFSET($BH$3,0,0,'Données projet'!$E$11+1,1))-AVERAGE(OFFSET($H$3,0,0,'Données projet'!$E$11+1,1))</f>
        <v>383.03154033422328</v>
      </c>
      <c r="BJ69" s="59">
        <f t="shared" ref="BJ69:BJ132" si="92">$BJ$3</f>
        <v>373.27897156169877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0.70883299168146197</v>
      </c>
      <c r="BQ69" s="21">
        <f>EXP(-LN(2)/25)*BQ68+(1-EXP(-LN(2)/25))/(LN(2)/25)*Calculateur!BL69*Calculateur!BN69*VLOOKUP('Données projet'!$B$11,Paramètres!$A$1:$I$89,3,0)*0.475*44/12</f>
        <v>3.0851746383865453</v>
      </c>
      <c r="BR69" s="21">
        <f>EXP(-LN(2)/2)*BR68+(1-EXP(-LN(2)/2))/(LN(2)/2)*BL69*BO69*VLOOKUP('Données projet'!$B$11,Paramètres!$A$1:$I$89,3,0)*0.475*44/12</f>
        <v>4.9862593066031782E-5</v>
      </c>
      <c r="BS69" s="22">
        <f t="shared" si="63"/>
        <v>3.7940574926610733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67.794597241676101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8.5</v>
      </c>
      <c r="BY69" s="12">
        <f>IF('Données projet'!$A$114&gt;35,BY68+BX69-CG68,IF(A69&lt;'Données projet'!$A$114,$BV$205^A69,IF(A69='Données projet'!$A$114,'Données projet'!$B$114,BY68+BX69-CG68)))</f>
        <v>296</v>
      </c>
      <c r="BZ69" s="13">
        <f>BY69*VLOOKUP('Données projet'!$B$12,Paramètres!$A$1:$I$89,3,0)*VLOOKUP('Données projet'!$B$12,Paramètres!$A$1:$I$89,5,0)</f>
        <v>249.35040000000001</v>
      </c>
      <c r="CA69" s="13">
        <f t="shared" ref="CA69:CA132" si="93">EXP(-1.0587+0.8836*LN(BZ69)+0.284)</f>
        <v>60.446817732908166</v>
      </c>
      <c r="CB69" s="20">
        <f t="shared" si="64"/>
        <v>539.56348755148167</v>
      </c>
      <c r="CC69" s="59">
        <f t="shared" si="65"/>
        <v>824.81034410429402</v>
      </c>
      <c r="CD69" s="59">
        <f ca="1">AVERAGE(OFFSET($CC$3,0,0,'Données projet'!$E$12+1,1))-AVERAGE(OFFSET($H$3,0,0,'Données projet'!$E$12+1,1))</f>
        <v>449.94334483948603</v>
      </c>
      <c r="CE69" s="59">
        <f t="shared" ref="CE69:CE132" si="94">$CE$3</f>
        <v>318.02929110264176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1.099236393253713</v>
      </c>
      <c r="CL69" s="21">
        <f>EXP(-LN(2)/25)*CL68+(1-EXP(-LN(2)/25))/(LN(2)/25)*Calculateur!CG69*Calculateur!CI69*VLOOKUP('Données projet'!$B$12,Paramètres!$A$1:$I$89,3,0)*0.475*44/12</f>
        <v>3.8716863793814067</v>
      </c>
      <c r="CM69" s="21">
        <f>EXP(-LN(2)/2)*CM68+(1-EXP(-LN(2)/2))/(LN(2)/2)*CG69*CJ69*VLOOKUP('Données projet'!$B$12,Paramètres!$A$1:$I$89,3,0)*0.475*44/12</f>
        <v>7.6549147625742727E-5</v>
      </c>
      <c r="CN69" s="22">
        <f t="shared" si="66"/>
        <v>4.9709993217827462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67.794597241676101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10.199999999999999</v>
      </c>
      <c r="CT69" s="12">
        <f>IF('Données projet'!$A$140&gt;35,CT68+CS69-DB68,IF(A69&lt;'Données projet'!$A$140,$CQ$205^A69,IF(A69='Données projet'!$A$140,'Données projet'!$B$140,CT68+CS69-DB68)))</f>
        <v>303.19999999999993</v>
      </c>
      <c r="CU69" s="17">
        <f>CT69*VLOOKUP('Données projet'!$B$13,Paramètres!$A$1:$I$89,3,0)*VLOOKUP('Données projet'!$B$13,Paramètres!$A$1:$I$89,5,0)</f>
        <v>260.14559999999994</v>
      </c>
      <c r="CV69" s="13">
        <f t="shared" ref="CV69:CV132" si="95">EXP(-1.0587+0.8836*LN(CU69)+0.284)</f>
        <v>62.753412981017661</v>
      </c>
      <c r="CW69" s="20">
        <f t="shared" si="67"/>
        <v>562.38244760860573</v>
      </c>
      <c r="CX69" s="59">
        <f t="shared" si="68"/>
        <v>847.62930416141808</v>
      </c>
      <c r="CY69" s="59">
        <f ca="1">AVERAGE(OFFSET($CX$3,0,0,'Données projet'!$E$13+1,1))-AVERAGE(OFFSET($H$3,0,0,'Données projet'!$E$13+1,1))</f>
        <v>565.32667500225568</v>
      </c>
      <c r="CZ69" s="59">
        <f t="shared" ref="CZ69:CZ132" si="96">$CZ$3</f>
        <v>275.06957234480944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0</v>
      </c>
      <c r="DG69" s="21">
        <f>EXP(-LN(2)/25)*DG68+(1-EXP(-LN(2)/25))/(LN(2)/25)*Calculateur!DB69*Calculateur!DD69*VLOOKUP('Données projet'!$B$13,Paramètres!$A$1:$I$89,3,0)*0.475*44/12</f>
        <v>1.6148112596234767</v>
      </c>
      <c r="DH69" s="21">
        <f>EXP(-LN(2)/2)*DH68+(1-EXP(-LN(2)/2))/(LN(2)/2)*DB69*DE69*VLOOKUP('Données projet'!$B$13,Paramètres!$A$1:$I$89,3,0)*0.475*44/12</f>
        <v>2.7021516080474682E-5</v>
      </c>
      <c r="DI69" s="22">
        <f t="shared" si="69"/>
        <v>1.6148382811395572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67.794597241676101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15.8</v>
      </c>
      <c r="DO69" s="12">
        <f>IF('Données projet'!$A$166&gt;35,DO68+DN69-DW68,IF(A69&lt;'Données projet'!$A$166,$DL$205^A69,IF(A69='Données projet'!$A$166,'Données projet'!$B$166,DO68+DN69-DW68)))</f>
        <v>677.79999999999916</v>
      </c>
      <c r="DP69" s="17">
        <f>DO69*VLOOKUP('Données projet'!$B$14,Paramètres!$A$1:$I$89,3,0)*VLOOKUP('Données projet'!$B$14,Paramètres!$A$1:$I$89,5,0)</f>
        <v>378.89019999999948</v>
      </c>
      <c r="DQ69" s="13">
        <f t="shared" ref="DQ69:DQ132" si="97">EXP(-1.0587+0.8836*LN(DP69)+0.284)</f>
        <v>87.483566664488848</v>
      </c>
      <c r="DR69" s="20">
        <f t="shared" si="70"/>
        <v>812.26764360731715</v>
      </c>
      <c r="DS69" s="59">
        <f t="shared" si="71"/>
        <v>1097.5145001601295</v>
      </c>
      <c r="DT69" s="59">
        <f ca="1">AVERAGE(OFFSET($DS$3,0,0,'Données projet'!$E$14+1,1))-AVERAGE(OFFSET($H$3,0,0,'Données projet'!$E$14+1,1))</f>
        <v>532.64469322244281</v>
      </c>
      <c r="DU69" s="59">
        <f t="shared" ref="DU69:DU132" si="98">$DU$3</f>
        <v>525.88014011096413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5.5979631137920594</v>
      </c>
      <c r="EB69" s="21">
        <f>EXP(-LN(2)/25)*EB68+(1-EXP(-LN(2)/25))/(LN(2)/25)*Calculateur!DW69*Calculateur!DY69*VLOOKUP('Données projet'!$B$14,Paramètres!$A$1:$I$89,3,0)*0.475*44/12</f>
        <v>14.285451299570928</v>
      </c>
      <c r="EC69" s="21">
        <f>EXP(-LN(2)/2)*EC68+(1-EXP(-LN(2)/2))/(LN(2)/2)*DW69*DZ69*VLOOKUP('Données projet'!$B$14,Paramètres!$A$1:$I$89,3,0)*0.475*44/12</f>
        <v>1.3912922422422064E-4</v>
      </c>
      <c r="ED69" s="22">
        <f t="shared" si="72"/>
        <v>19.883553542587212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67.794597241676101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7</v>
      </c>
      <c r="EJ69" s="12">
        <f>IF('Données projet'!$A$192&gt;35,EJ68+EI69-ER68,IF(A69&lt;'Données projet'!$A$192,$EG$205^A69,IF(A69='Données projet'!$A$192,'Données projet'!$B$192,EJ68+EI69-ER68)))</f>
        <v>235.00000000000017</v>
      </c>
      <c r="EK69" s="17">
        <f>EJ69*VLOOKUP('Données projet'!$B$15,Paramètres!$A$1:$I$89,3,0)*VLOOKUP('Données projet'!$B$15,Paramètres!$A$1:$I$89,5,0)</f>
        <v>212.62800000000016</v>
      </c>
      <c r="EL69" s="13">
        <f t="shared" ref="EL69:EL132" si="99">EXP(-1.0587+0.8836*LN(EK69)+0.284)</f>
        <v>52.509453483719085</v>
      </c>
      <c r="EM69" s="20">
        <f t="shared" si="73"/>
        <v>461.78106481747767</v>
      </c>
      <c r="EN69" s="59">
        <f t="shared" si="74"/>
        <v>747.02792137029007</v>
      </c>
      <c r="EO69" s="59">
        <f ca="1">AVERAGE(OFFSET($EN$3,0,0,'Données projet'!$E$15+1,1))-AVERAGE(OFFSET($H$3,0,0,'Données projet'!$E$15+1,1))</f>
        <v>398.27843768730202</v>
      </c>
      <c r="EP69" s="59">
        <f t="shared" ref="EP69:EP132" si="100">$EP$3</f>
        <v>252.3617347568813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0</v>
      </c>
      <c r="EW69" s="21">
        <f>EXP(-LN(2)/25)*EW68+(1-EXP(-LN(2)/25))/(LN(2)/25)*Calculateur!ER69*Calculateur!ET69*VLOOKUP('Données projet'!$B$15,Paramètres!$A$1:$I$89,3,0)*0.475*44/12</f>
        <v>1.1447472596278132</v>
      </c>
      <c r="EX69" s="21">
        <f>EXP(-LN(2)/2)*EX68+(1-EXP(-LN(2)/2))/(LN(2)/2)*ER69*EU69*VLOOKUP('Données projet'!$B$15,Paramètres!$A$1:$I$89,3,0)*0.475*44/12</f>
        <v>2.3610488336290082E-5</v>
      </c>
      <c r="EY69" s="22">
        <f t="shared" si="75"/>
        <v>1.1447708701161494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67.794597241676101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7</v>
      </c>
      <c r="FE69" s="12">
        <f>IF('Données projet'!$A$218&gt;35,FE68+FD69-FM68,IF(A69&lt;'Données projet'!$A$218,$FB$205^A69,IF(A69='Données projet'!$A$218,'Données projet'!$B$218,FE68+FD69-FM68)))</f>
        <v>235.00000000000017</v>
      </c>
      <c r="FF69" s="17">
        <f>FE69*VLOOKUP('Données projet'!$B$16,Paramètres!$A$1:$I$89,3,0)*VLOOKUP('Données projet'!$B$16,Paramètres!$A$1:$I$89,5,0)</f>
        <v>227.29200000000017</v>
      </c>
      <c r="FG69" s="13">
        <f t="shared" ref="FG69:FG132" si="101">EXP(-1.0587+0.8836*LN(FF69)+0.284)</f>
        <v>55.696745617483749</v>
      </c>
      <c r="FH69" s="20">
        <f t="shared" si="76"/>
        <v>492.87206528378442</v>
      </c>
      <c r="FI69" s="59">
        <f t="shared" si="77"/>
        <v>778.11892183659688</v>
      </c>
      <c r="FJ69" s="59">
        <f ca="1">AVERAGE(OFFSET($FI$3,0,0,'Données projet'!$E$16+1,1))-AVERAGE(OFFSET($H$3,0,0,'Données projet'!$E$16+1,1))</f>
        <v>422.28024471365825</v>
      </c>
      <c r="FK69" s="59">
        <f t="shared" ref="FK69:FK132" si="102">$FK$3</f>
        <v>266.49730479813206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0</v>
      </c>
      <c r="FR69" s="21">
        <f>EXP(-LN(2)/25)*FR68+(1-EXP(-LN(2)/25))/(LN(2)/25)*Calculateur!FM69*Calculateur!FO69*VLOOKUP('Données projet'!$B$16,Paramètres!$A$1:$I$89,3,0)*0.475*44/12</f>
        <v>1.223695346498697</v>
      </c>
      <c r="FS69" s="21">
        <f>EXP(-LN(2)/2)*FS68+(1-EXP(-LN(2)/2))/(LN(2)/2)*FM69*FP69*VLOOKUP('Données projet'!$B$16,Paramètres!$A$1:$I$89,3,0)*0.475*44/12</f>
        <v>2.5238797876723876E-5</v>
      </c>
      <c r="FT69" s="22">
        <f t="shared" si="78"/>
        <v>1.2237205852965738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67.794597241676101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5.6</v>
      </c>
      <c r="FZ69" s="12">
        <f>IF('Données projet'!$A$244&gt;35,FZ68+FY69-GH68,IF(A69&lt;'Données projet'!$A$244,$FW$205^A69,IF(A69='Données projet'!$A$244,'Données projet'!$B$244,FZ68+FY69-GH68)))</f>
        <v>255.60000000000014</v>
      </c>
      <c r="GA69" s="17">
        <f>FZ69*VLOOKUP('Données projet'!$B$17,Paramètres!$A$1:$I$89,3,0)*VLOOKUP('Données projet'!$B$17,Paramètres!$A$1:$I$89,5,0)</f>
        <v>199.36800000000011</v>
      </c>
      <c r="GB69" s="13">
        <f t="shared" ref="GB69:GB132" si="103">EXP(-1.0587+0.8836*LN(GA69)+0.284)</f>
        <v>49.605247679671407</v>
      </c>
      <c r="GC69" s="20">
        <f t="shared" si="79"/>
        <v>433.62840637542786</v>
      </c>
      <c r="GD69" s="59">
        <f t="shared" si="80"/>
        <v>718.87526292824032</v>
      </c>
      <c r="GE69" s="59">
        <f ca="1">AVERAGE(OFFSET($GD$3,0,0,'Données projet'!$E$17+1,1))-AVERAGE(OFFSET($H$3,0,0,'Données projet'!$E$17+1,1))</f>
        <v>300.95722646933314</v>
      </c>
      <c r="GF69" s="59">
        <f t="shared" ref="GF69:GF132" si="104">$GF$3</f>
        <v>269.52365224623759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>
        <f>EXP(-LN(2)/35)*GL68+(1-EXP(-LN(2)/35))/(LN(2)/35)*GH69*GI69*VLOOKUP('Données projet'!$B$17,Paramètres!$A$1:$I$89,3,0)*0.475*44/12</f>
        <v>0.43620491795782274</v>
      </c>
      <c r="GM69" s="21">
        <f>EXP(-LN(2)/25)*GM68+(1-EXP(-LN(2)/25))/(LN(2)/25)*Calculateur!GH69*Calculateur!GJ69*VLOOKUP('Données projet'!$B$17,Paramètres!$A$1:$I$89,3,0)*0.475*44/12</f>
        <v>2.2995473253133403</v>
      </c>
      <c r="GN69" s="21">
        <f>EXP(-LN(2)/2)*GN68+(1-EXP(-LN(2)/2))/(LN(2)/2)*GH69*GK69*VLOOKUP('Données projet'!$B$17,Paramètres!$A$1:$I$89,3,0)*0.475*44/12</f>
        <v>3.3794264298327807E-5</v>
      </c>
      <c r="GO69" s="21">
        <f t="shared" si="81"/>
        <v>2.7357860375354615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67.794597241676101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1.4000000000000001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5.1333333333333337</v>
      </c>
      <c r="H70" s="67">
        <f t="shared" si="56"/>
        <v>236.13333333333335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67.832856048991104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8.5</v>
      </c>
      <c r="N70" s="13">
        <f>IF('Données projet'!$A$36&gt;35,N69+M70-V69,IF(A70&lt;'Données projet'!$A$36,$K$205^A70,IF(A70='Données projet'!$A$36,'Données projet'!$B$36,N69+M70-V69)))</f>
        <v>304.5</v>
      </c>
      <c r="O70" s="13">
        <f>N70*VLOOKUP('Données projet'!$B$9,Paramètres!$A$1:$I$89,3,0)*VLOOKUP('Données projet'!$B$9,Paramètres!$A$1:$I$89,5,0)</f>
        <v>275.51159999999999</v>
      </c>
      <c r="P70" s="13">
        <f t="shared" si="87"/>
        <v>66.017590685458188</v>
      </c>
      <c r="Q70" s="20">
        <f t="shared" si="54"/>
        <v>594.83000711050624</v>
      </c>
      <c r="R70" s="59">
        <f t="shared" si="55"/>
        <v>880.21714595680692</v>
      </c>
      <c r="S70" s="59">
        <f ca="1">AVERAGE(OFFSET($R$3,0,0,'Données projet'!$E$9+1,1))-AVERAGE(OFFSET($H$3,0,0,'Données projet'!$E$9+1,1))</f>
        <v>479.46542424895119</v>
      </c>
      <c r="T70" s="59">
        <f t="shared" si="88"/>
        <v>337.96395820277337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1.1575092630907455</v>
      </c>
      <c r="AA70" s="21">
        <f>EXP(-LN(2)/25)*AA69+(1-EXP(-LN(2)/25))/(LN(2)/25)*Calculateur!V70*Calculateur!X70*VLOOKUP('Données projet'!$B$9,Paramètres!$A$1:$I$89,3,0)*0.475*44/12</f>
        <v>4.0447641644551249</v>
      </c>
      <c r="AB70" s="21">
        <f>EXP(-LN(2)/2)*AB69+(1-EXP(-LN(2)/2))/(LN(2)/2)*V70*Y70*VLOOKUP('Données projet'!$B$9,Paramètres!$A$1:$I$89,3,0)*0.475*44/12</f>
        <v>5.8137934075043451E-5</v>
      </c>
      <c r="AC70" s="22">
        <f t="shared" si="57"/>
        <v>5.2023315654799456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67.832856048991104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8.5</v>
      </c>
      <c r="AI70" s="13">
        <f>IF('Données projet'!$A$62&gt;35,AI69+AH70-AQ69,IF(A70&lt;'Données projet'!$A$62,$AF$205^A70,IF(A70='Données projet'!$A$62,'Données projet'!$B$62,AI69+AH70-AQ69)))</f>
        <v>304.5</v>
      </c>
      <c r="AJ70" s="13">
        <f>AI70*VLOOKUP('Données projet'!$B$10,Paramètres!$A$1:$I$89,3,0)*VLOOKUP('Données projet'!$B$10,Paramètres!$A$1:$I$89,5,0)</f>
        <v>294.51240000000001</v>
      </c>
      <c r="AK70" s="13">
        <f t="shared" si="89"/>
        <v>70.024818594373571</v>
      </c>
      <c r="AL70" s="20">
        <f t="shared" si="58"/>
        <v>634.9023223852007</v>
      </c>
      <c r="AM70" s="59">
        <f t="shared" si="59"/>
        <v>920.28946123150149</v>
      </c>
      <c r="AN70" s="59">
        <f ca="1">AVERAGE(OFFSET($AM$3,0,0,'Données projet'!$E$10+1,1))-AVERAGE(OFFSET($H$3,0,0,'Données projet'!$E$10+1,1))</f>
        <v>508.94560627895089</v>
      </c>
      <c r="AO70" s="59">
        <f t="shared" si="90"/>
        <v>357.86868650263034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1.2373374881314869</v>
      </c>
      <c r="AV70" s="21">
        <f>EXP(-LN(2)/25)*AV69+(1-EXP(-LN(2)/25))/(LN(2)/25)*Calculateur!AQ70*Calculateur!AS70*VLOOKUP('Données projet'!$B$10,Paramètres!$A$1:$I$89,3,0)*0.475*44/12</f>
        <v>4.3237134171761697</v>
      </c>
      <c r="AW70" s="21">
        <f>EXP(-LN(2)/2)*AW69+(1-EXP(-LN(2)/2))/(LN(2)/2)*AQ70*AT70*VLOOKUP('Données projet'!$B$10,Paramètres!$A$1:$I$89,3,0)*0.475*44/12</f>
        <v>6.2147446769873877E-5</v>
      </c>
      <c r="AX70" s="21">
        <f t="shared" si="60"/>
        <v>5.5611130527544264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67.832856048991104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9.1</v>
      </c>
      <c r="BD70" s="12">
        <f>IF('Données projet'!$A$88&gt;35,BD69+BC70-BL69,IF(A70&lt;'Données projet'!$A$88,$BA$205^A70,IF(A70='Données projet'!$A$88,'Données projet'!$B$88,BD69+BC70-BL69)))</f>
        <v>336.7000000000001</v>
      </c>
      <c r="BE70" s="13">
        <f>BD70*VLOOKUP('Données projet'!$B$11,Paramètres!$A$1:$I$89,3,0)*VLOOKUP('Données projet'!$B$11,Paramètres!$A$1:$I$89,5,0)</f>
        <v>262.62600000000009</v>
      </c>
      <c r="BF70" s="13">
        <f t="shared" si="91"/>
        <v>63.281807230823453</v>
      </c>
      <c r="BG70" s="20">
        <f t="shared" si="61"/>
        <v>567.622764260351</v>
      </c>
      <c r="BH70" s="59">
        <f t="shared" si="62"/>
        <v>853.00990310665179</v>
      </c>
      <c r="BI70" s="59">
        <f ca="1">AVERAGE(OFFSET($BH$3,0,0,'Données projet'!$E$11+1,1))-AVERAGE(OFFSET($H$3,0,0,'Données projet'!$E$11+1,1))</f>
        <v>383.03154033422328</v>
      </c>
      <c r="BJ70" s="59">
        <f t="shared" si="92"/>
        <v>373.27897156169877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0.69493320906002287</v>
      </c>
      <c r="BQ70" s="21">
        <f>EXP(-LN(2)/25)*BQ69+(1-EXP(-LN(2)/25))/(LN(2)/25)*Calculateur!BL70*Calculateur!BN70*VLOOKUP('Données projet'!$B$11,Paramètres!$A$1:$I$89,3,0)*0.475*44/12</f>
        <v>3.0008103756575824</v>
      </c>
      <c r="BR70" s="21">
        <f>EXP(-LN(2)/2)*BR69+(1-EXP(-LN(2)/2))/(LN(2)/2)*BL70*BO70*VLOOKUP('Données projet'!$B$11,Paramètres!$A$1:$I$89,3,0)*0.475*44/12</f>
        <v>3.5258177684536396E-5</v>
      </c>
      <c r="BS70" s="22">
        <f t="shared" si="63"/>
        <v>3.6957788428952898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67.832856048991104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8.5</v>
      </c>
      <c r="BY70" s="12">
        <f>IF('Données projet'!$A$114&gt;35,BY69+BX70-CG69,IF(A70&lt;'Données projet'!$A$114,$BV$205^A70,IF(A70='Données projet'!$A$114,'Données projet'!$B$114,BY69+BX70-CG69)))</f>
        <v>304.5</v>
      </c>
      <c r="BZ70" s="13">
        <f>BY70*VLOOKUP('Données projet'!$B$12,Paramètres!$A$1:$I$89,3,0)*VLOOKUP('Données projet'!$B$12,Paramètres!$A$1:$I$89,5,0)</f>
        <v>256.51080000000002</v>
      </c>
      <c r="CA70" s="13">
        <f t="shared" si="93"/>
        <v>61.978037689587161</v>
      </c>
      <c r="CB70" s="20">
        <f t="shared" si="64"/>
        <v>554.70139230936422</v>
      </c>
      <c r="CC70" s="59">
        <f t="shared" si="65"/>
        <v>840.0885311556649</v>
      </c>
      <c r="CD70" s="59">
        <f ca="1">AVERAGE(OFFSET($CC$3,0,0,'Données projet'!$E$12+1,1))-AVERAGE(OFFSET($H$3,0,0,'Données projet'!$E$12+1,1))</f>
        <v>449.94334483948603</v>
      </c>
      <c r="CE70" s="59">
        <f t="shared" si="94"/>
        <v>318.02929110264176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1.0776810380500044</v>
      </c>
      <c r="CL70" s="21">
        <f>EXP(-LN(2)/25)*CL69+(1-EXP(-LN(2)/25))/(LN(2)/25)*Calculateur!CG70*Calculateur!CI70*VLOOKUP('Données projet'!$B$12,Paramètres!$A$1:$I$89,3,0)*0.475*44/12</f>
        <v>3.7658149117340844</v>
      </c>
      <c r="CM70" s="21">
        <f>EXP(-LN(2)/2)*CM69+(1-EXP(-LN(2)/2))/(LN(2)/2)*CG70*CJ70*VLOOKUP('Données projet'!$B$12,Paramètres!$A$1:$I$89,3,0)*0.475*44/12</f>
        <v>5.4128421380212787E-5</v>
      </c>
      <c r="CN70" s="22">
        <f t="shared" si="66"/>
        <v>4.8435500782054692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67.832856048991104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10.199999999999999</v>
      </c>
      <c r="CT70" s="12">
        <f>IF('Données projet'!$A$140&gt;35,CT69+CS70-DB69,IF(A70&lt;'Données projet'!$A$140,$CQ$205^A70,IF(A70='Données projet'!$A$140,'Données projet'!$B$140,CT69+CS70-DB69)))</f>
        <v>313.39999999999992</v>
      </c>
      <c r="CU70" s="17">
        <f>CT70*VLOOKUP('Données projet'!$B$13,Paramètres!$A$1:$I$89,3,0)*VLOOKUP('Données projet'!$B$13,Paramètres!$A$1:$I$89,5,0)</f>
        <v>268.8972</v>
      </c>
      <c r="CV70" s="13">
        <f t="shared" si="95"/>
        <v>64.615171575073688</v>
      </c>
      <c r="CW70" s="20">
        <f t="shared" si="67"/>
        <v>580.86738049325334</v>
      </c>
      <c r="CX70" s="59">
        <f t="shared" si="68"/>
        <v>866.25451933955401</v>
      </c>
      <c r="CY70" s="59">
        <f ca="1">AVERAGE(OFFSET($CX$3,0,0,'Données projet'!$E$13+1,1))-AVERAGE(OFFSET($H$3,0,0,'Données projet'!$E$13+1,1))</f>
        <v>565.32667500225568</v>
      </c>
      <c r="CZ70" s="59">
        <f t="shared" si="96"/>
        <v>275.06957234480944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0</v>
      </c>
      <c r="DG70" s="21">
        <f>EXP(-LN(2)/25)*DG69+(1-EXP(-LN(2)/25))/(LN(2)/25)*Calculateur!DB70*Calculateur!DD70*VLOOKUP('Données projet'!$B$13,Paramètres!$A$1:$I$89,3,0)*0.475*44/12</f>
        <v>1.5706541608098392</v>
      </c>
      <c r="DH70" s="21">
        <f>EXP(-LN(2)/2)*DH69+(1-EXP(-LN(2)/2))/(LN(2)/2)*DB70*DE70*VLOOKUP('Données projet'!$B$13,Paramètres!$A$1:$I$89,3,0)*0.475*44/12</f>
        <v>1.9107097258444986E-5</v>
      </c>
      <c r="DI70" s="22">
        <f t="shared" si="69"/>
        <v>1.5706732679070976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67.832856048991104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15.8</v>
      </c>
      <c r="DO70" s="12">
        <f>IF('Données projet'!$A$166&gt;35,DO69+DN70-DW69,IF(A70&lt;'Données projet'!$A$166,$DL$205^A70,IF(A70='Données projet'!$A$166,'Données projet'!$B$166,DO69+DN70-DW69)))</f>
        <v>693.59999999999911</v>
      </c>
      <c r="DP70" s="17">
        <f>DO70*VLOOKUP('Données projet'!$B$14,Paramètres!$A$1:$I$89,3,0)*VLOOKUP('Données projet'!$B$14,Paramètres!$A$1:$I$89,5,0)</f>
        <v>387.72239999999948</v>
      </c>
      <c r="DQ70" s="13">
        <f t="shared" si="97"/>
        <v>89.283072113397623</v>
      </c>
      <c r="DR70" s="20">
        <f t="shared" si="70"/>
        <v>830.78453059749984</v>
      </c>
      <c r="DS70" s="59">
        <f t="shared" si="71"/>
        <v>1116.1716694438005</v>
      </c>
      <c r="DT70" s="59">
        <f ca="1">AVERAGE(OFFSET($DS$3,0,0,'Données projet'!$E$14+1,1))-AVERAGE(OFFSET($H$3,0,0,'Données projet'!$E$14+1,1))</f>
        <v>532.64469322244281</v>
      </c>
      <c r="DU70" s="59">
        <f t="shared" si="98"/>
        <v>525.88014011096413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5.4881904715509506</v>
      </c>
      <c r="EB70" s="21">
        <f>EXP(-LN(2)/25)*EB69+(1-EXP(-LN(2)/25))/(LN(2)/25)*Calculateur!DW70*Calculateur!DY70*VLOOKUP('Données projet'!$B$14,Paramètres!$A$1:$I$89,3,0)*0.475*44/12</f>
        <v>13.894814882544928</v>
      </c>
      <c r="EC70" s="21">
        <f>EXP(-LN(2)/2)*EC69+(1-EXP(-LN(2)/2))/(LN(2)/2)*DW70*DZ70*VLOOKUP('Données projet'!$B$14,Paramètres!$A$1:$I$89,3,0)*0.475*44/12</f>
        <v>9.8379217910170093E-5</v>
      </c>
      <c r="ED70" s="22">
        <f t="shared" si="72"/>
        <v>19.383103733313789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67.832856048991104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7</v>
      </c>
      <c r="EJ70" s="12">
        <f>IF('Données projet'!$A$192&gt;35,EJ69+EI70-ER69,IF(A70&lt;'Données projet'!$A$192,$EG$205^A70,IF(A70='Données projet'!$A$192,'Données projet'!$B$192,EJ69+EI70-ER69)))</f>
        <v>242.00000000000017</v>
      </c>
      <c r="EK70" s="17">
        <f>EJ70*VLOOKUP('Données projet'!$B$15,Paramètres!$A$1:$I$89,3,0)*VLOOKUP('Données projet'!$B$15,Paramètres!$A$1:$I$89,5,0)</f>
        <v>218.96160000000017</v>
      </c>
      <c r="EL70" s="13">
        <f t="shared" si="99"/>
        <v>53.889132503707479</v>
      </c>
      <c r="EM70" s="20">
        <f t="shared" si="73"/>
        <v>475.2150257772908</v>
      </c>
      <c r="EN70" s="59">
        <f t="shared" si="74"/>
        <v>760.60216462359153</v>
      </c>
      <c r="EO70" s="59">
        <f ca="1">AVERAGE(OFFSET($EN$3,0,0,'Données projet'!$E$15+1,1))-AVERAGE(OFFSET($H$3,0,0,'Données projet'!$E$15+1,1))</f>
        <v>398.27843768730202</v>
      </c>
      <c r="EP70" s="59">
        <f t="shared" si="100"/>
        <v>252.3617347568813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0</v>
      </c>
      <c r="EW70" s="21">
        <f>EXP(-LN(2)/25)*EW69+(1-EXP(-LN(2)/25))/(LN(2)/25)*Calculateur!ER70*Calculateur!ET70*VLOOKUP('Données projet'!$B$15,Paramètres!$A$1:$I$89,3,0)*0.475*44/12</f>
        <v>1.1134440856136487</v>
      </c>
      <c r="EX70" s="21">
        <f>EXP(-LN(2)/2)*EX69+(1-EXP(-LN(2)/2))/(LN(2)/2)*ER70*EU70*VLOOKUP('Données projet'!$B$15,Paramètres!$A$1:$I$89,3,0)*0.475*44/12</f>
        <v>1.6695136409716603E-5</v>
      </c>
      <c r="EY70" s="22">
        <f t="shared" si="75"/>
        <v>1.1134607807500585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67.832856048991104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7</v>
      </c>
      <c r="FE70" s="12">
        <f>IF('Données projet'!$A$218&gt;35,FE69+FD70-FM69,IF(A70&lt;'Données projet'!$A$218,$FB$205^A70,IF(A70='Données projet'!$A$218,'Données projet'!$B$218,FE69+FD70-FM69)))</f>
        <v>242.00000000000017</v>
      </c>
      <c r="FF70" s="17">
        <f>FE70*VLOOKUP('Données projet'!$B$16,Paramètres!$A$1:$I$89,3,0)*VLOOKUP('Données projet'!$B$16,Paramètres!$A$1:$I$89,5,0)</f>
        <v>234.06240000000017</v>
      </c>
      <c r="FG70" s="13">
        <f t="shared" si="101"/>
        <v>57.160170321263926</v>
      </c>
      <c r="FH70" s="20">
        <f t="shared" si="76"/>
        <v>507.21264330953494</v>
      </c>
      <c r="FI70" s="59">
        <f t="shared" si="77"/>
        <v>792.59978215583567</v>
      </c>
      <c r="FJ70" s="59">
        <f ca="1">AVERAGE(OFFSET($FI$3,0,0,'Données projet'!$E$16+1,1))-AVERAGE(OFFSET($H$3,0,0,'Données projet'!$E$16+1,1))</f>
        <v>422.28024471365825</v>
      </c>
      <c r="FK70" s="59">
        <f t="shared" si="102"/>
        <v>266.49730479813206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0</v>
      </c>
      <c r="FR70" s="21">
        <f>EXP(-LN(2)/25)*FR69+(1-EXP(-LN(2)/25))/(LN(2)/25)*Calculateur!FM70*Calculateur!FO70*VLOOKUP('Données projet'!$B$16,Paramètres!$A$1:$I$89,3,0)*0.475*44/12</f>
        <v>1.1902333328973487</v>
      </c>
      <c r="FS70" s="21">
        <f>EXP(-LN(2)/2)*FS69+(1-EXP(-LN(2)/2))/(LN(2)/2)*FM70*FP70*VLOOKUP('Données projet'!$B$16,Paramètres!$A$1:$I$89,3,0)*0.475*44/12</f>
        <v>1.784652512762809E-5</v>
      </c>
      <c r="FT70" s="22">
        <f t="shared" si="78"/>
        <v>1.1902511794224764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67.832856048991104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5.6</v>
      </c>
      <c r="FZ70" s="12">
        <f>IF('Données projet'!$A$244&gt;35,FZ69+FY70-GH69,IF(A70&lt;'Données projet'!$A$244,$FW$205^A70,IF(A70='Données projet'!$A$244,'Données projet'!$B$244,FZ69+FY70-GH69)))</f>
        <v>261.20000000000016</v>
      </c>
      <c r="GA70" s="17">
        <f>FZ70*VLOOKUP('Données projet'!$B$17,Paramètres!$A$1:$I$89,3,0)*VLOOKUP('Données projet'!$B$17,Paramètres!$A$1:$I$89,5,0)</f>
        <v>203.73600000000013</v>
      </c>
      <c r="GB70" s="13">
        <f t="shared" si="103"/>
        <v>50.564340955980683</v>
      </c>
      <c r="GC70" s="20">
        <f t="shared" si="79"/>
        <v>442.90642716499991</v>
      </c>
      <c r="GD70" s="59">
        <f t="shared" si="80"/>
        <v>728.29356601130064</v>
      </c>
      <c r="GE70" s="59">
        <f ca="1">AVERAGE(OFFSET($GD$3,0,0,'Données projet'!$E$17+1,1))-AVERAGE(OFFSET($H$3,0,0,'Données projet'!$E$17+1,1))</f>
        <v>300.95722646933314</v>
      </c>
      <c r="GF70" s="59">
        <f t="shared" si="104"/>
        <v>269.52365224623759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>
        <f>EXP(-LN(2)/35)*GL69+(1-EXP(-LN(2)/35))/(LN(2)/35)*GH70*GI70*VLOOKUP('Données projet'!$B$17,Paramètres!$A$1:$I$89,3,0)*0.475*44/12</f>
        <v>0.42765120557539865</v>
      </c>
      <c r="GM70" s="21">
        <f>EXP(-LN(2)/25)*GM69+(1-EXP(-LN(2)/25))/(LN(2)/25)*Calculateur!GH70*Calculateur!GJ70*VLOOKUP('Données projet'!$B$17,Paramètres!$A$1:$I$89,3,0)*0.475*44/12</f>
        <v>2.2366660827747089</v>
      </c>
      <c r="GN70" s="21">
        <f>EXP(-LN(2)/2)*GN69+(1-EXP(-LN(2)/2))/(LN(2)/2)*GH70*GK70*VLOOKUP('Données projet'!$B$17,Paramètres!$A$1:$I$89,3,0)*0.475*44/12</f>
        <v>2.3896153450558036E-5</v>
      </c>
      <c r="GO70" s="21">
        <f t="shared" si="81"/>
        <v>2.6643411845035581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67.832856048991104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1.4000000000000001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5.1333333333333337</v>
      </c>
      <c r="H71" s="67">
        <f t="shared" si="56"/>
        <v>236.13333333333335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67.870451151533075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8.5</v>
      </c>
      <c r="N71" s="13">
        <f>IF('Données projet'!$A$36&gt;35,N70+M71-V70,IF(A71&lt;'Données projet'!$A$36,$K$205^A71,IF(A71='Données projet'!$A$36,'Données projet'!$B$36,N70+M71-V70)))</f>
        <v>313</v>
      </c>
      <c r="O71" s="13">
        <f>N71*VLOOKUP('Données projet'!$B$9,Paramètres!$A$1:$I$89,3,0)*VLOOKUP('Données projet'!$B$9,Paramètres!$A$1:$I$89,5,0)</f>
        <v>283.20240000000001</v>
      </c>
      <c r="P71" s="13">
        <f t="shared" si="87"/>
        <v>67.643319485855841</v>
      </c>
      <c r="Q71" s="20">
        <f t="shared" si="54"/>
        <v>611.05629477119896</v>
      </c>
      <c r="R71" s="59">
        <f t="shared" si="55"/>
        <v>896.5812823268202</v>
      </c>
      <c r="S71" s="59">
        <f ca="1">AVERAGE(OFFSET($R$3,0,0,'Données projet'!$E$9+1,1))-AVERAGE(OFFSET($H$3,0,0,'Données projet'!$E$9+1,1))</f>
        <v>479.46542424895119</v>
      </c>
      <c r="T71" s="59">
        <f t="shared" si="88"/>
        <v>337.96395820277337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1.1348112124524736</v>
      </c>
      <c r="AA71" s="21">
        <f>EXP(-LN(2)/25)*AA70+(1-EXP(-LN(2)/25))/(LN(2)/25)*Calculateur!V71*Calculateur!X71*VLOOKUP('Données projet'!$B$9,Paramètres!$A$1:$I$89,3,0)*0.475*44/12</f>
        <v>3.9341598756731964</v>
      </c>
      <c r="AB71" s="21">
        <f>EXP(-LN(2)/2)*AB70+(1-EXP(-LN(2)/2))/(LN(2)/2)*V71*Y71*VLOOKUP('Données projet'!$B$9,Paramètres!$A$1:$I$89,3,0)*0.475*44/12</f>
        <v>4.1109727428639679E-5</v>
      </c>
      <c r="AC71" s="22">
        <f t="shared" si="57"/>
        <v>5.0690121978530982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67.870451151533075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8.5</v>
      </c>
      <c r="AI71" s="13">
        <f>IF('Données projet'!$A$62&gt;35,AI70+AH71-AQ70,IF(A71&lt;'Données projet'!$A$62,$AF$205^A71,IF(A71='Données projet'!$A$62,'Données projet'!$B$62,AI70+AH71-AQ70)))</f>
        <v>313</v>
      </c>
      <c r="AJ71" s="13">
        <f>AI71*VLOOKUP('Données projet'!$B$10,Paramètres!$A$1:$I$89,3,0)*VLOOKUP('Données projet'!$B$10,Paramètres!$A$1:$I$89,5,0)</f>
        <v>302.73360000000002</v>
      </c>
      <c r="AK71" s="13">
        <f t="shared" si="89"/>
        <v>71.74922815172765</v>
      </c>
      <c r="AL71" s="20">
        <f t="shared" si="58"/>
        <v>652.22425903092574</v>
      </c>
      <c r="AM71" s="59">
        <f t="shared" si="59"/>
        <v>937.74924658654709</v>
      </c>
      <c r="AN71" s="59">
        <f ca="1">AVERAGE(OFFSET($AM$3,0,0,'Données projet'!$E$10+1,1))-AVERAGE(OFFSET($H$3,0,0,'Données projet'!$E$10+1,1))</f>
        <v>508.94560627895089</v>
      </c>
      <c r="AO71" s="59">
        <f t="shared" si="90"/>
        <v>357.86868650263034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1.2130740546905756</v>
      </c>
      <c r="AV71" s="21">
        <f>EXP(-LN(2)/25)*AV70+(1-EXP(-LN(2)/25))/(LN(2)/25)*Calculateur!AQ71*Calculateur!AS71*VLOOKUP('Données projet'!$B$10,Paramètres!$A$1:$I$89,3,0)*0.475*44/12</f>
        <v>4.2054812464092803</v>
      </c>
      <c r="AW71" s="21">
        <f>EXP(-LN(2)/2)*AW70+(1-EXP(-LN(2)/2))/(LN(2)/2)*AQ71*AT71*VLOOKUP('Données projet'!$B$10,Paramètres!$A$1:$I$89,3,0)*0.475*44/12</f>
        <v>4.3944881044407818E-5</v>
      </c>
      <c r="AX71" s="21">
        <f t="shared" si="60"/>
        <v>5.4185992459809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67.870451151533075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9.1</v>
      </c>
      <c r="BD71" s="12">
        <f>IF('Données projet'!$A$88&gt;35,BD70+BC71-BL70,IF(A71&lt;'Données projet'!$A$88,$BA$205^A71,IF(A71='Données projet'!$A$88,'Données projet'!$B$88,BD70+BC71-BL70)))</f>
        <v>345.80000000000013</v>
      </c>
      <c r="BE71" s="13">
        <f>BD71*VLOOKUP('Données projet'!$B$11,Paramètres!$A$1:$I$89,3,0)*VLOOKUP('Données projet'!$B$11,Paramètres!$A$1:$I$89,5,0)</f>
        <v>269.7240000000001</v>
      </c>
      <c r="BF71" s="13">
        <f t="shared" si="91"/>
        <v>64.790691635967463</v>
      </c>
      <c r="BG71" s="20">
        <f t="shared" si="61"/>
        <v>582.61308793264345</v>
      </c>
      <c r="BH71" s="59">
        <f t="shared" si="62"/>
        <v>868.1380754882648</v>
      </c>
      <c r="BI71" s="59">
        <f ca="1">AVERAGE(OFFSET($BH$3,0,0,'Données projet'!$E$11+1,1))-AVERAGE(OFFSET($H$3,0,0,'Données projet'!$E$11+1,1))</f>
        <v>383.03154033422328</v>
      </c>
      <c r="BJ71" s="59">
        <f t="shared" si="92"/>
        <v>373.27897156169877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0.68130599269775993</v>
      </c>
      <c r="BQ71" s="21">
        <f>EXP(-LN(2)/25)*BQ70+(1-EXP(-LN(2)/25))/(LN(2)/25)*Calculateur!BL71*Calculateur!BN71*VLOOKUP('Données projet'!$B$11,Paramètres!$A$1:$I$89,3,0)*0.475*44/12</f>
        <v>2.9187530581294667</v>
      </c>
      <c r="BR71" s="21">
        <f>EXP(-LN(2)/2)*BR70+(1-EXP(-LN(2)/2))/(LN(2)/2)*BL71*BO71*VLOOKUP('Données projet'!$B$11,Paramètres!$A$1:$I$89,3,0)*0.475*44/12</f>
        <v>2.4931296533015891E-5</v>
      </c>
      <c r="BS71" s="22">
        <f t="shared" si="63"/>
        <v>3.6000839821237598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67.870451151533075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8.5</v>
      </c>
      <c r="BY71" s="12">
        <f>IF('Données projet'!$A$114&gt;35,BY70+BX71-CG70,IF(A71&lt;'Données projet'!$A$114,$BV$205^A71,IF(A71='Données projet'!$A$114,'Données projet'!$B$114,BY70+BX71-CG70)))</f>
        <v>313</v>
      </c>
      <c r="BZ71" s="13">
        <f>BY71*VLOOKUP('Données projet'!$B$12,Paramètres!$A$1:$I$89,3,0)*VLOOKUP('Données projet'!$B$12,Paramètres!$A$1:$I$89,5,0)</f>
        <v>263.6712</v>
      </c>
      <c r="CA71" s="13">
        <f t="shared" si="93"/>
        <v>63.504289705419772</v>
      </c>
      <c r="CB71" s="20">
        <f t="shared" si="64"/>
        <v>569.83064457027274</v>
      </c>
      <c r="CC71" s="59">
        <f t="shared" si="65"/>
        <v>855.35563212589409</v>
      </c>
      <c r="CD71" s="59">
        <f ca="1">AVERAGE(OFFSET($CC$3,0,0,'Données projet'!$E$12+1,1))-AVERAGE(OFFSET($H$3,0,0,'Données projet'!$E$12+1,1))</f>
        <v>449.94334483948603</v>
      </c>
      <c r="CE71" s="59">
        <f t="shared" si="94"/>
        <v>318.02929110264176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1.0565483702143721</v>
      </c>
      <c r="CL71" s="21">
        <f>EXP(-LN(2)/25)*CL70+(1-EXP(-LN(2)/25))/(LN(2)/25)*Calculateur!CG71*Calculateur!CI71*VLOOKUP('Données projet'!$B$12,Paramètres!$A$1:$I$89,3,0)*0.475*44/12</f>
        <v>3.6628385049371164</v>
      </c>
      <c r="CM71" s="21">
        <f>EXP(-LN(2)/2)*CM70+(1-EXP(-LN(2)/2))/(LN(2)/2)*CG71*CJ71*VLOOKUP('Données projet'!$B$12,Paramètres!$A$1:$I$89,3,0)*0.475*44/12</f>
        <v>3.8274573812871364E-5</v>
      </c>
      <c r="CN71" s="22">
        <f t="shared" si="66"/>
        <v>4.7194251497253008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67.870451151533075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10.199999999999999</v>
      </c>
      <c r="CT71" s="12">
        <f>IF('Données projet'!$A$140&gt;35,CT70+CS71-DB70,IF(A71&lt;'Données projet'!$A$140,$CQ$205^A71,IF(A71='Données projet'!$A$140,'Données projet'!$B$140,CT70+CS71-DB70)))</f>
        <v>323.59999999999991</v>
      </c>
      <c r="CU71" s="17">
        <f>CT71*VLOOKUP('Données projet'!$B$13,Paramètres!$A$1:$I$89,3,0)*VLOOKUP('Données projet'!$B$13,Paramètres!$A$1:$I$89,5,0)</f>
        <v>277.64879999999994</v>
      </c>
      <c r="CV71" s="13">
        <f t="shared" si="95"/>
        <v>66.469889139720593</v>
      </c>
      <c r="CW71" s="20">
        <f t="shared" si="67"/>
        <v>599.34005025167983</v>
      </c>
      <c r="CX71" s="59">
        <f t="shared" si="68"/>
        <v>884.86503780730118</v>
      </c>
      <c r="CY71" s="59">
        <f ca="1">AVERAGE(OFFSET($CX$3,0,0,'Données projet'!$E$13+1,1))-AVERAGE(OFFSET($H$3,0,0,'Données projet'!$E$13+1,1))</f>
        <v>565.32667500225568</v>
      </c>
      <c r="CZ71" s="59">
        <f t="shared" si="96"/>
        <v>275.06957234480944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0</v>
      </c>
      <c r="DG71" s="21">
        <f>EXP(-LN(2)/25)*DG70+(1-EXP(-LN(2)/25))/(LN(2)/25)*Calculateur!DB71*Calculateur!DD71*VLOOKUP('Données projet'!$B$13,Paramètres!$A$1:$I$89,3,0)*0.475*44/12</f>
        <v>1.5277045401853817</v>
      </c>
      <c r="DH71" s="21">
        <f>EXP(-LN(2)/2)*DH70+(1-EXP(-LN(2)/2))/(LN(2)/2)*DB71*DE71*VLOOKUP('Données projet'!$B$13,Paramètres!$A$1:$I$89,3,0)*0.475*44/12</f>
        <v>1.3510758040237341E-5</v>
      </c>
      <c r="DI71" s="22">
        <f t="shared" si="69"/>
        <v>1.5277180509434221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67.870451151533075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15.8</v>
      </c>
      <c r="DO71" s="12">
        <f>IF('Données projet'!$A$166&gt;35,DO70+DN71-DW70,IF(A71&lt;'Données projet'!$A$166,$DL$205^A71,IF(A71='Données projet'!$A$166,'Données projet'!$B$166,DO70+DN71-DW70)))</f>
        <v>709.39999999999907</v>
      </c>
      <c r="DP71" s="17">
        <f>DO71*VLOOKUP('Données projet'!$B$14,Paramètres!$A$1:$I$89,3,0)*VLOOKUP('Données projet'!$B$14,Paramètres!$A$1:$I$89,5,0)</f>
        <v>396.55459999999948</v>
      </c>
      <c r="DQ71" s="13">
        <f t="shared" si="97"/>
        <v>91.077811955600495</v>
      </c>
      <c r="DR71" s="20">
        <f t="shared" si="70"/>
        <v>849.29311748933662</v>
      </c>
      <c r="DS71" s="59">
        <f t="shared" si="71"/>
        <v>1134.818105044958</v>
      </c>
      <c r="DT71" s="59">
        <f ca="1">AVERAGE(OFFSET($DS$3,0,0,'Données projet'!$E$14+1,1))-AVERAGE(OFFSET($H$3,0,0,'Données projet'!$E$14+1,1))</f>
        <v>532.64469322244281</v>
      </c>
      <c r="DU71" s="59">
        <f t="shared" si="98"/>
        <v>525.88014011096413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5.3805704038694895</v>
      </c>
      <c r="EB71" s="21">
        <f>EXP(-LN(2)/25)*EB70+(1-EXP(-LN(2)/25))/(LN(2)/25)*Calculateur!DW71*Calculateur!DY71*VLOOKUP('Données projet'!$B$14,Paramètres!$A$1:$I$89,3,0)*0.475*44/12</f>
        <v>13.514860438885179</v>
      </c>
      <c r="EC71" s="21">
        <f>EXP(-LN(2)/2)*EC70+(1-EXP(-LN(2)/2))/(LN(2)/2)*DW71*DZ71*VLOOKUP('Données projet'!$B$14,Paramètres!$A$1:$I$89,3,0)*0.475*44/12</f>
        <v>6.9564612112110321E-5</v>
      </c>
      <c r="ED71" s="22">
        <f t="shared" si="72"/>
        <v>18.895500407366782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67.870451151533075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7</v>
      </c>
      <c r="EJ71" s="12">
        <f>IF('Données projet'!$A$192&gt;35,EJ70+EI71-ER70,IF(A71&lt;'Données projet'!$A$192,$EG$205^A71,IF(A71='Données projet'!$A$192,'Données projet'!$B$192,EJ70+EI71-ER70)))</f>
        <v>249.00000000000017</v>
      </c>
      <c r="EK71" s="17">
        <f>EJ71*VLOOKUP('Données projet'!$B$15,Paramètres!$A$1:$I$89,3,0)*VLOOKUP('Données projet'!$B$15,Paramètres!$A$1:$I$89,5,0)</f>
        <v>225.29520000000016</v>
      </c>
      <c r="EL71" s="13">
        <f t="shared" si="99"/>
        <v>55.264173352293128</v>
      </c>
      <c r="EM71" s="20">
        <f t="shared" si="73"/>
        <v>488.64090858857736</v>
      </c>
      <c r="EN71" s="59">
        <f t="shared" si="74"/>
        <v>774.16589614419865</v>
      </c>
      <c r="EO71" s="59">
        <f ca="1">AVERAGE(OFFSET($EN$3,0,0,'Données projet'!$E$15+1,1))-AVERAGE(OFFSET($H$3,0,0,'Données projet'!$E$15+1,1))</f>
        <v>398.27843768730202</v>
      </c>
      <c r="EP71" s="59">
        <f t="shared" si="100"/>
        <v>252.3617347568813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0</v>
      </c>
      <c r="EW71" s="21">
        <f>EXP(-LN(2)/25)*EW70+(1-EXP(-LN(2)/25))/(LN(2)/25)*Calculateur!ER71*Calculateur!ET71*VLOOKUP('Données projet'!$B$15,Paramètres!$A$1:$I$89,3,0)*0.475*44/12</f>
        <v>1.0829968985390639</v>
      </c>
      <c r="EX71" s="21">
        <f>EXP(-LN(2)/2)*EX70+(1-EXP(-LN(2)/2))/(LN(2)/2)*ER71*EU71*VLOOKUP('Données projet'!$B$15,Paramètres!$A$1:$I$89,3,0)*0.475*44/12</f>
        <v>1.1805244168145041E-5</v>
      </c>
      <c r="EY71" s="22">
        <f t="shared" si="75"/>
        <v>1.0830087037832321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67.870451151533075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7</v>
      </c>
      <c r="FE71" s="12">
        <f>IF('Données projet'!$A$218&gt;35,FE70+FD71-FM70,IF(A71&lt;'Données projet'!$A$218,$FB$205^A71,IF(A71='Données projet'!$A$218,'Données projet'!$B$218,FE70+FD71-FM70)))</f>
        <v>249.00000000000017</v>
      </c>
      <c r="FF71" s="17">
        <f>FE71*VLOOKUP('Données projet'!$B$16,Paramètres!$A$1:$I$89,3,0)*VLOOKUP('Données projet'!$B$16,Paramètres!$A$1:$I$89,5,0)</f>
        <v>240.83280000000019</v>
      </c>
      <c r="FG71" s="13">
        <f t="shared" si="101"/>
        <v>58.618675319436718</v>
      </c>
      <c r="FH71" s="20">
        <f t="shared" si="76"/>
        <v>521.54465284801927</v>
      </c>
      <c r="FI71" s="59">
        <f t="shared" si="77"/>
        <v>807.06964040364051</v>
      </c>
      <c r="FJ71" s="59">
        <f ca="1">AVERAGE(OFFSET($FI$3,0,0,'Données projet'!$E$16+1,1))-AVERAGE(OFFSET($H$3,0,0,'Données projet'!$E$16+1,1))</f>
        <v>422.28024471365825</v>
      </c>
      <c r="FK71" s="59">
        <f t="shared" si="102"/>
        <v>266.49730479813206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0</v>
      </c>
      <c r="FR71" s="21">
        <f>EXP(-LN(2)/25)*FR70+(1-EXP(-LN(2)/25))/(LN(2)/25)*Calculateur!FM71*Calculateur!FO71*VLOOKUP('Données projet'!$B$16,Paramètres!$A$1:$I$89,3,0)*0.475*44/12</f>
        <v>1.15768633981762</v>
      </c>
      <c r="FS71" s="21">
        <f>EXP(-LN(2)/2)*FS70+(1-EXP(-LN(2)/2))/(LN(2)/2)*FM71*FP71*VLOOKUP('Données projet'!$B$16,Paramètres!$A$1:$I$89,3,0)*0.475*44/12</f>
        <v>1.2619398938361938E-5</v>
      </c>
      <c r="FT71" s="22">
        <f t="shared" si="78"/>
        <v>1.1576989592165583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67.870451151533075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5.6</v>
      </c>
      <c r="FZ71" s="12">
        <f>IF('Données projet'!$A$244&gt;35,FZ70+FY71-GH70,IF(A71&lt;'Données projet'!$A$244,$FW$205^A71,IF(A71='Données projet'!$A$244,'Données projet'!$B$244,FZ70+FY71-GH70)))</f>
        <v>266.80000000000018</v>
      </c>
      <c r="GA71" s="17">
        <f>FZ71*VLOOKUP('Données projet'!$B$17,Paramètres!$A$1:$I$89,3,0)*VLOOKUP('Données projet'!$B$17,Paramètres!$A$1:$I$89,5,0)</f>
        <v>208.10400000000016</v>
      </c>
      <c r="GB71" s="13">
        <f t="shared" si="103"/>
        <v>51.521043548930493</v>
      </c>
      <c r="GC71" s="20">
        <f t="shared" si="79"/>
        <v>452.18028418105422</v>
      </c>
      <c r="GD71" s="59">
        <f t="shared" si="80"/>
        <v>737.70527173667551</v>
      </c>
      <c r="GE71" s="59">
        <f ca="1">AVERAGE(OFFSET($GD$3,0,0,'Données projet'!$E$17+1,1))-AVERAGE(OFFSET($H$3,0,0,'Données projet'!$E$17+1,1))</f>
        <v>300.95722646933314</v>
      </c>
      <c r="GF71" s="59">
        <f t="shared" si="104"/>
        <v>269.52365224623759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>
        <f>EXP(-LN(2)/35)*GL70+(1-EXP(-LN(2)/35))/(LN(2)/35)*GH71*GI71*VLOOKUP('Données projet'!$B$17,Paramètres!$A$1:$I$89,3,0)*0.475*44/12</f>
        <v>0.41926522627554452</v>
      </c>
      <c r="GM71" s="21">
        <f>EXP(-LN(2)/25)*GM70+(1-EXP(-LN(2)/25))/(LN(2)/25)*Calculateur!GH71*Calculateur!GJ71*VLOOKUP('Données projet'!$B$17,Paramètres!$A$1:$I$89,3,0)*0.475*44/12</f>
        <v>2.1755043311200772</v>
      </c>
      <c r="GN71" s="21">
        <f>EXP(-LN(2)/2)*GN70+(1-EXP(-LN(2)/2))/(LN(2)/2)*GH71*GK71*VLOOKUP('Données projet'!$B$17,Paramètres!$A$1:$I$89,3,0)*0.475*44/12</f>
        <v>1.6897132149163903E-5</v>
      </c>
      <c r="GO71" s="21">
        <f t="shared" si="81"/>
        <v>2.5947864545277706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67.870451151533075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1.4000000000000001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5.1333333333333337</v>
      </c>
      <c r="H72" s="67">
        <f t="shared" si="56"/>
        <v>236.13333333333335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67.907394063095992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8.5</v>
      </c>
      <c r="N72" s="13">
        <f>IF('Données projet'!$A$36&gt;35,N71+M72-V71,IF(A72&lt;'Données projet'!$A$36,$K$205^A72,IF(A72='Données projet'!$A$36,'Données projet'!$B$36,N71+M72-V71)))</f>
        <v>321.5</v>
      </c>
      <c r="O72" s="13">
        <f>N72*VLOOKUP('Données projet'!$B$9,Paramètres!$A$1:$I$89,3,0)*VLOOKUP('Données projet'!$B$9,Paramètres!$A$1:$I$89,5,0)</f>
        <v>290.89320000000004</v>
      </c>
      <c r="P72" s="13">
        <f t="shared" si="87"/>
        <v>69.263916768293996</v>
      </c>
      <c r="Q72" s="20">
        <f t="shared" si="54"/>
        <v>627.27364503811202</v>
      </c>
      <c r="R72" s="59">
        <f t="shared" si="55"/>
        <v>912.9340899361307</v>
      </c>
      <c r="S72" s="59">
        <f ca="1">AVERAGE(OFFSET($R$3,0,0,'Données projet'!$E$9+1,1))-AVERAGE(OFFSET($H$3,0,0,'Données projet'!$E$9+1,1))</f>
        <v>479.46542424895119</v>
      </c>
      <c r="T72" s="59">
        <f t="shared" si="88"/>
        <v>337.96395820277337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1.1125582567427745</v>
      </c>
      <c r="AA72" s="21">
        <f>EXP(-LN(2)/25)*AA71+(1-EXP(-LN(2)/25))/(LN(2)/25)*Calculateur!V72*Calculateur!X72*VLOOKUP('Données projet'!$B$9,Paramètres!$A$1:$I$89,3,0)*0.475*44/12</f>
        <v>3.8265800669844365</v>
      </c>
      <c r="AB72" s="21">
        <f>EXP(-LN(2)/2)*AB71+(1-EXP(-LN(2)/2))/(LN(2)/2)*V72*Y72*VLOOKUP('Données projet'!$B$9,Paramètres!$A$1:$I$89,3,0)*0.475*44/12</f>
        <v>2.9068967037521732E-5</v>
      </c>
      <c r="AC72" s="22">
        <f t="shared" si="57"/>
        <v>4.939167392694249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67.907394063095992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8.5</v>
      </c>
      <c r="AI72" s="13">
        <f>IF('Données projet'!$A$62&gt;35,AI71+AH72-AQ71,IF(A72&lt;'Données projet'!$A$62,$AF$205^A72,IF(A72='Données projet'!$A$62,'Données projet'!$B$62,AI71+AH72-AQ71)))</f>
        <v>321.5</v>
      </c>
      <c r="AJ72" s="13">
        <f>AI72*VLOOKUP('Données projet'!$B$10,Paramètres!$A$1:$I$89,3,0)*VLOOKUP('Données projet'!$B$10,Paramètres!$A$1:$I$89,5,0)</f>
        <v>310.95480000000003</v>
      </c>
      <c r="AK72" s="13">
        <f t="shared" si="89"/>
        <v>73.468194711079221</v>
      </c>
      <c r="AL72" s="20">
        <f t="shared" si="58"/>
        <v>669.53671578846297</v>
      </c>
      <c r="AM72" s="59">
        <f t="shared" si="59"/>
        <v>955.19716068648154</v>
      </c>
      <c r="AN72" s="59">
        <f ca="1">AVERAGE(OFFSET($AM$3,0,0,'Données projet'!$E$10+1,1))-AVERAGE(OFFSET($H$3,0,0,'Données projet'!$E$10+1,1))</f>
        <v>508.94560627895089</v>
      </c>
      <c r="AO72" s="59">
        <f t="shared" si="90"/>
        <v>357.86868650263034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1.1892864123802076</v>
      </c>
      <c r="AV72" s="21">
        <f>EXP(-LN(2)/25)*AV71+(1-EXP(-LN(2)/25))/(LN(2)/25)*Calculateur!AQ72*Calculateur!AS72*VLOOKUP('Données projet'!$B$10,Paramètres!$A$1:$I$89,3,0)*0.475*44/12</f>
        <v>4.0904821405695717</v>
      </c>
      <c r="AW72" s="21">
        <f>EXP(-LN(2)/2)*AW71+(1-EXP(-LN(2)/2))/(LN(2)/2)*AQ72*AT72*VLOOKUP('Données projet'!$B$10,Paramètres!$A$1:$I$89,3,0)*0.475*44/12</f>
        <v>3.1073723384936938E-5</v>
      </c>
      <c r="AX72" s="21">
        <f t="shared" si="60"/>
        <v>5.2797996266731637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67.907394063095992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9.1</v>
      </c>
      <c r="BD72" s="12">
        <f>IF('Données projet'!$A$88&gt;35,BD71+BC72-BL71,IF(A72&lt;'Données projet'!$A$88,$BA$205^A72,IF(A72='Données projet'!$A$88,'Données projet'!$B$88,BD71+BC72-BL71)))</f>
        <v>354.90000000000015</v>
      </c>
      <c r="BE72" s="13">
        <f>BD72*VLOOKUP('Données projet'!$B$11,Paramètres!$A$1:$I$89,3,0)*VLOOKUP('Données projet'!$B$11,Paramètres!$A$1:$I$89,5,0)</f>
        <v>276.82200000000012</v>
      </c>
      <c r="BF72" s="13">
        <f t="shared" si="91"/>
        <v>66.294960598643797</v>
      </c>
      <c r="BG72" s="20">
        <f t="shared" si="61"/>
        <v>597.59537304263813</v>
      </c>
      <c r="BH72" s="59">
        <f t="shared" si="62"/>
        <v>883.2558179406567</v>
      </c>
      <c r="BI72" s="59">
        <f ca="1">AVERAGE(OFFSET($BH$3,0,0,'Données projet'!$E$11+1,1))-AVERAGE(OFFSET($H$3,0,0,'Données projet'!$E$11+1,1))</f>
        <v>383.03154033422328</v>
      </c>
      <c r="BJ72" s="59">
        <f t="shared" si="92"/>
        <v>373.27897156169877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0.6679459977365797</v>
      </c>
      <c r="BQ72" s="21">
        <f>EXP(-LN(2)/25)*BQ71+(1-EXP(-LN(2)/25))/(LN(2)/25)*Calculateur!BL72*Calculateur!BN72*VLOOKUP('Données projet'!$B$11,Paramètres!$A$1:$I$89,3,0)*0.475*44/12</f>
        <v>2.838939602264364</v>
      </c>
      <c r="BR72" s="21">
        <f>EXP(-LN(2)/2)*BR71+(1-EXP(-LN(2)/2))/(LN(2)/2)*BL72*BO72*VLOOKUP('Données projet'!$B$11,Paramètres!$A$1:$I$89,3,0)*0.475*44/12</f>
        <v>1.7629088842268198E-5</v>
      </c>
      <c r="BS72" s="22">
        <f t="shared" si="63"/>
        <v>3.5069032290897857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67.907394063095992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8.5</v>
      </c>
      <c r="BY72" s="12">
        <f>IF('Données projet'!$A$114&gt;35,BY71+BX72-CG71,IF(A72&lt;'Données projet'!$A$114,$BV$205^A72,IF(A72='Données projet'!$A$114,'Données projet'!$B$114,BY71+BX72-CG71)))</f>
        <v>321.5</v>
      </c>
      <c r="BZ72" s="13">
        <f>BY72*VLOOKUP('Données projet'!$B$12,Paramètres!$A$1:$I$89,3,0)*VLOOKUP('Données projet'!$B$12,Paramètres!$A$1:$I$89,5,0)</f>
        <v>270.83160000000004</v>
      </c>
      <c r="CA72" s="13">
        <f t="shared" si="93"/>
        <v>65.025724195950417</v>
      </c>
      <c r="CB72" s="20">
        <f t="shared" si="64"/>
        <v>584.95150630794706</v>
      </c>
      <c r="CC72" s="59">
        <f t="shared" si="65"/>
        <v>870.61195120596562</v>
      </c>
      <c r="CD72" s="59">
        <f ca="1">AVERAGE(OFFSET($CC$3,0,0,'Données projet'!$E$12+1,1))-AVERAGE(OFFSET($H$3,0,0,'Données projet'!$E$12+1,1))</f>
        <v>449.94334483948603</v>
      </c>
      <c r="CE72" s="59">
        <f t="shared" si="94"/>
        <v>318.02929110264176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1.0358301011053419</v>
      </c>
      <c r="CL72" s="21">
        <f>EXP(-LN(2)/25)*CL71+(1-EXP(-LN(2)/25))/(LN(2)/25)*Calculateur!CG72*Calculateur!CI72*VLOOKUP('Données projet'!$B$12,Paramètres!$A$1:$I$89,3,0)*0.475*44/12</f>
        <v>3.5626779933993054</v>
      </c>
      <c r="CM72" s="21">
        <f>EXP(-LN(2)/2)*CM71+(1-EXP(-LN(2)/2))/(LN(2)/2)*CG72*CJ72*VLOOKUP('Données projet'!$B$12,Paramètres!$A$1:$I$89,3,0)*0.475*44/12</f>
        <v>2.7064210690106394E-5</v>
      </c>
      <c r="CN72" s="22">
        <f t="shared" si="66"/>
        <v>4.5985351587153378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67.907394063095992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10.199999999999999</v>
      </c>
      <c r="CT72" s="12">
        <f>IF('Données projet'!$A$140&gt;35,CT71+CS72-DB71,IF(A72&lt;'Données projet'!$A$140,$CQ$205^A72,IF(A72='Données projet'!$A$140,'Données projet'!$B$140,CT71+CS72-DB71)))</f>
        <v>333.7999999999999</v>
      </c>
      <c r="CU72" s="17">
        <f>CT72*VLOOKUP('Données projet'!$B$13,Paramètres!$A$1:$I$89,3,0)*VLOOKUP('Données projet'!$B$13,Paramètres!$A$1:$I$89,5,0)</f>
        <v>286.40039999999993</v>
      </c>
      <c r="CV72" s="13">
        <f t="shared" si="95"/>
        <v>68.317813073506414</v>
      </c>
      <c r="CW72" s="20">
        <f t="shared" si="67"/>
        <v>617.80088776969023</v>
      </c>
      <c r="CX72" s="59">
        <f t="shared" si="68"/>
        <v>903.4613326677088</v>
      </c>
      <c r="CY72" s="59">
        <f ca="1">AVERAGE(OFFSET($CX$3,0,0,'Données projet'!$E$13+1,1))-AVERAGE(OFFSET($H$3,0,0,'Données projet'!$E$13+1,1))</f>
        <v>565.32667500225568</v>
      </c>
      <c r="CZ72" s="59">
        <f t="shared" si="96"/>
        <v>275.06957234480944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0</v>
      </c>
      <c r="DG72" s="21">
        <f>EXP(-LN(2)/25)*DG71+(1-EXP(-LN(2)/25))/(LN(2)/25)*Calculateur!DB72*Calculateur!DD72*VLOOKUP('Données projet'!$B$13,Paramètres!$A$1:$I$89,3,0)*0.475*44/12</f>
        <v>1.4859293791955224</v>
      </c>
      <c r="DH72" s="21">
        <f>EXP(-LN(2)/2)*DH71+(1-EXP(-LN(2)/2))/(LN(2)/2)*DB72*DE72*VLOOKUP('Données projet'!$B$13,Paramètres!$A$1:$I$89,3,0)*0.475*44/12</f>
        <v>9.5535486292224929E-6</v>
      </c>
      <c r="DI72" s="22">
        <f t="shared" si="69"/>
        <v>1.4859389327441517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67.907394063095992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15.8</v>
      </c>
      <c r="DO72" s="12">
        <f>IF('Données projet'!$A$166&gt;35,DO71+DN72-DW71,IF(A72&lt;'Données projet'!$A$166,$DL$205^A72,IF(A72='Données projet'!$A$166,'Données projet'!$B$166,DO71+DN72-DW71)))</f>
        <v>725.19999999999902</v>
      </c>
      <c r="DP72" s="17">
        <f>DO72*VLOOKUP('Données projet'!$B$14,Paramètres!$A$1:$I$89,3,0)*VLOOKUP('Données projet'!$B$14,Paramètres!$A$1:$I$89,5,0)</f>
        <v>405.38679999999943</v>
      </c>
      <c r="DQ72" s="13">
        <f t="shared" si="97"/>
        <v>92.867904553465792</v>
      </c>
      <c r="DR72" s="20">
        <f t="shared" si="70"/>
        <v>867.79361043061851</v>
      </c>
      <c r="DS72" s="59">
        <f t="shared" si="71"/>
        <v>1153.4540553286372</v>
      </c>
      <c r="DT72" s="59">
        <f ca="1">AVERAGE(OFFSET($DS$3,0,0,'Données projet'!$E$14+1,1))-AVERAGE(OFFSET($H$3,0,0,'Données projet'!$E$14+1,1))</f>
        <v>532.64469322244281</v>
      </c>
      <c r="DU72" s="59">
        <f t="shared" si="98"/>
        <v>525.88014011096413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5.2750607000735021</v>
      </c>
      <c r="EB72" s="21">
        <f>EXP(-LN(2)/25)*EB71+(1-EXP(-LN(2)/25))/(LN(2)/25)*Calculateur!DW72*Calculateur!DY72*VLOOKUP('Données projet'!$B$14,Paramètres!$A$1:$I$89,3,0)*0.475*44/12</f>
        <v>13.145295869468242</v>
      </c>
      <c r="EC72" s="21">
        <f>EXP(-LN(2)/2)*EC71+(1-EXP(-LN(2)/2))/(LN(2)/2)*DW72*DZ72*VLOOKUP('Données projet'!$B$14,Paramètres!$A$1:$I$89,3,0)*0.475*44/12</f>
        <v>4.9189608955085047E-5</v>
      </c>
      <c r="ED72" s="22">
        <f t="shared" si="72"/>
        <v>18.4204057591507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67.907394063095992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7</v>
      </c>
      <c r="EJ72" s="12">
        <f>IF('Données projet'!$A$192&gt;35,EJ71+EI72-ER71,IF(A72&lt;'Données projet'!$A$192,$EG$205^A72,IF(A72='Données projet'!$A$192,'Données projet'!$B$192,EJ71+EI72-ER71)))</f>
        <v>256.00000000000017</v>
      </c>
      <c r="EK72" s="17">
        <f>EJ72*VLOOKUP('Données projet'!$B$15,Paramètres!$A$1:$I$89,3,0)*VLOOKUP('Données projet'!$B$15,Paramètres!$A$1:$I$89,5,0)</f>
        <v>231.62880000000013</v>
      </c>
      <c r="EL72" s="13">
        <f t="shared" si="99"/>
        <v>56.63472139815827</v>
      </c>
      <c r="EM72" s="20">
        <f t="shared" si="73"/>
        <v>502.0589664351258</v>
      </c>
      <c r="EN72" s="59">
        <f t="shared" si="74"/>
        <v>787.71941133314442</v>
      </c>
      <c r="EO72" s="59">
        <f ca="1">AVERAGE(OFFSET($EN$3,0,0,'Données projet'!$E$15+1,1))-AVERAGE(OFFSET($H$3,0,0,'Données projet'!$E$15+1,1))</f>
        <v>398.27843768730202</v>
      </c>
      <c r="EP72" s="59">
        <f t="shared" si="100"/>
        <v>252.3617347568813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0</v>
      </c>
      <c r="EW72" s="21">
        <f>EXP(-LN(2)/25)*EW71+(1-EXP(-LN(2)/25))/(LN(2)/25)*Calculateur!ER72*Calculateur!ET72*VLOOKUP('Données projet'!$B$15,Paramètres!$A$1:$I$89,3,0)*0.475*44/12</f>
        <v>1.0533822913961814</v>
      </c>
      <c r="EX72" s="21">
        <f>EXP(-LN(2)/2)*EX71+(1-EXP(-LN(2)/2))/(LN(2)/2)*ER72*EU72*VLOOKUP('Données projet'!$B$15,Paramètres!$A$1:$I$89,3,0)*0.475*44/12</f>
        <v>8.3475682048583016E-6</v>
      </c>
      <c r="EY72" s="22">
        <f t="shared" si="75"/>
        <v>1.0533906389643863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67.907394063095992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7</v>
      </c>
      <c r="FE72" s="12">
        <f>IF('Données projet'!$A$218&gt;35,FE71+FD72-FM71,IF(A72&lt;'Données projet'!$A$218,$FB$205^A72,IF(A72='Données projet'!$A$218,'Données projet'!$B$218,FE71+FD72-FM71)))</f>
        <v>256.00000000000017</v>
      </c>
      <c r="FF72" s="17">
        <f>FE72*VLOOKUP('Données projet'!$B$16,Paramètres!$A$1:$I$89,3,0)*VLOOKUP('Données projet'!$B$16,Paramètres!$A$1:$I$89,5,0)</f>
        <v>247.60320000000019</v>
      </c>
      <c r="FG72" s="13">
        <f t="shared" si="101"/>
        <v>60.072414804475471</v>
      </c>
      <c r="FH72" s="20">
        <f t="shared" si="76"/>
        <v>535.86836245112841</v>
      </c>
      <c r="FI72" s="59">
        <f t="shared" si="77"/>
        <v>821.52880734914697</v>
      </c>
      <c r="FJ72" s="59">
        <f ca="1">AVERAGE(OFFSET($FI$3,0,0,'Données projet'!$E$16+1,1))-AVERAGE(OFFSET($H$3,0,0,'Données projet'!$E$16+1,1))</f>
        <v>422.28024471365825</v>
      </c>
      <c r="FK72" s="59">
        <f t="shared" si="102"/>
        <v>266.49730479813206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0</v>
      </c>
      <c r="FR72" s="21">
        <f>EXP(-LN(2)/25)*FR71+(1-EXP(-LN(2)/25))/(LN(2)/25)*Calculateur!FM72*Calculateur!FO72*VLOOKUP('Données projet'!$B$16,Paramètres!$A$1:$I$89,3,0)*0.475*44/12</f>
        <v>1.1260293459752286</v>
      </c>
      <c r="FS72" s="21">
        <f>EXP(-LN(2)/2)*FS71+(1-EXP(-LN(2)/2))/(LN(2)/2)*FM72*FP72*VLOOKUP('Données projet'!$B$16,Paramètres!$A$1:$I$89,3,0)*0.475*44/12</f>
        <v>8.9232625638140448E-6</v>
      </c>
      <c r="FT72" s="22">
        <f t="shared" si="78"/>
        <v>1.1260382692377924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67.907394063095992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5.6</v>
      </c>
      <c r="FZ72" s="12">
        <f>IF('Données projet'!$A$244&gt;35,FZ71+FY72-GH71,IF(A72&lt;'Données projet'!$A$244,$FW$205^A72,IF(A72='Données projet'!$A$244,'Données projet'!$B$244,FZ71+FY72-GH71)))</f>
        <v>272.4000000000002</v>
      </c>
      <c r="GA72" s="17">
        <f>FZ72*VLOOKUP('Données projet'!$B$17,Paramètres!$A$1:$I$89,3,0)*VLOOKUP('Données projet'!$B$17,Paramètres!$A$1:$I$89,5,0)</f>
        <v>212.47200000000018</v>
      </c>
      <c r="GB72" s="13">
        <f t="shared" si="103"/>
        <v>52.475411418566573</v>
      </c>
      <c r="GC72" s="20">
        <f t="shared" si="79"/>
        <v>461.450074887337</v>
      </c>
      <c r="GD72" s="59">
        <f t="shared" si="80"/>
        <v>747.11051978535556</v>
      </c>
      <c r="GE72" s="59">
        <f ca="1">AVERAGE(OFFSET($GD$3,0,0,'Données projet'!$E$17+1,1))-AVERAGE(OFFSET($H$3,0,0,'Données projet'!$E$17+1,1))</f>
        <v>300.95722646933314</v>
      </c>
      <c r="GF72" s="59">
        <f t="shared" si="104"/>
        <v>269.52365224623759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>
        <f>EXP(-LN(2)/35)*GL71+(1-EXP(-LN(2)/35))/(LN(2)/35)*GH72*GI72*VLOOKUP('Données projet'!$B$17,Paramètres!$A$1:$I$89,3,0)*0.475*44/12</f>
        <v>0.41104369091481824</v>
      </c>
      <c r="GM72" s="21">
        <f>EXP(-LN(2)/25)*GM71+(1-EXP(-LN(2)/25))/(LN(2)/25)*Calculateur!GH72*Calculateur!GJ72*VLOOKUP('Données projet'!$B$17,Paramètres!$A$1:$I$89,3,0)*0.475*44/12</f>
        <v>2.1160150507807982</v>
      </c>
      <c r="GN72" s="21">
        <f>EXP(-LN(2)/2)*GN71+(1-EXP(-LN(2)/2))/(LN(2)/2)*GH72*GK72*VLOOKUP('Données projet'!$B$17,Paramètres!$A$1:$I$89,3,0)*0.475*44/12</f>
        <v>1.1948076725279018E-5</v>
      </c>
      <c r="GO72" s="21">
        <f t="shared" si="81"/>
        <v>2.5270706897723416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67.907394063095992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1.4000000000000001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5.1333333333333337</v>
      </c>
      <c r="H73" s="67">
        <f t="shared" si="56"/>
        <v>236.13333333333335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67.94369609773527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330</v>
      </c>
      <c r="L73" s="12">
        <f>VLOOKUP(A73,'Données projet'!$A$35:$I$55,9,0)</f>
        <v>8.5</v>
      </c>
      <c r="M73" s="12">
        <f t="array" ref="M73">INDEX(L:L,MIN(IF(ISNUMBER(L73:L269),ROW(L73:L269),"")))</f>
        <v>8.5</v>
      </c>
      <c r="N73" s="13">
        <f>IF('Données projet'!$A$36&gt;35,N72+M73-V72,IF(A73&lt;'Données projet'!$A$36,$K$205^A73,IF(A73='Données projet'!$A$36,'Données projet'!$B$36,N72+M73-V72)))</f>
        <v>330</v>
      </c>
      <c r="O73" s="13">
        <f>N73*VLOOKUP('Données projet'!$B$9,Paramètres!$A$1:$I$89,3,0)*VLOOKUP('Données projet'!$B$9,Paramètres!$A$1:$I$89,5,0)</f>
        <v>298.58399999999995</v>
      </c>
      <c r="P73" s="13">
        <f t="shared" si="87"/>
        <v>70.879533797607607</v>
      </c>
      <c r="Q73" s="20">
        <f t="shared" si="54"/>
        <v>643.48232136416652</v>
      </c>
      <c r="R73" s="59">
        <f t="shared" si="55"/>
        <v>929.27587372252924</v>
      </c>
      <c r="S73" s="59">
        <f ca="1">AVERAGE(OFFSET($R$3,0,0,'Données projet'!$E$9+1,1))-AVERAGE(OFFSET($H$3,0,0,'Données projet'!$E$9+1,1))</f>
        <v>479.46542424895119</v>
      </c>
      <c r="T73" s="59">
        <f t="shared" si="88"/>
        <v>337.96395820277337</v>
      </c>
      <c r="U73" s="15">
        <f>IF(ISNA(VLOOKUP(A73,'Données projet'!$A$35:$I$55,3,0)),0,VLOOKUP(A73,'Données projet'!$A$35:$I$55,3,0))</f>
        <v>6</v>
      </c>
      <c r="V73" s="15">
        <f>IF(ISNA(VLOOKUP(A73,'Données projet'!$A$35:$I$55,4,0)),0,VLOOKUP(A73,'Données projet'!$A$35:$I$55,4,0))</f>
        <v>56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1.0907416679215798</v>
      </c>
      <c r="AA73" s="21">
        <f>EXP(-LN(2)/25)*AA72+(1-EXP(-LN(2)/25))/(LN(2)/25)*Calculateur!V73*Calculateur!X73*VLOOKUP('Données projet'!$B$9,Paramètres!$A$1:$I$89,3,0)*0.475*44/12</f>
        <v>3.7219420338216471</v>
      </c>
      <c r="AB73" s="21">
        <f>EXP(-LN(2)/2)*AB72+(1-EXP(-LN(2)/2))/(LN(2)/2)*V73*Y73*VLOOKUP('Données projet'!$B$9,Paramètres!$A$1:$I$89,3,0)*0.475*44/12</f>
        <v>2.0554863714319843E-5</v>
      </c>
      <c r="AC73" s="22">
        <f t="shared" si="57"/>
        <v>4.8127042566069411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67.94369609773527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330</v>
      </c>
      <c r="AG73" s="12">
        <f>VLOOKUP(A73,'Données projet'!$A$61:$I$81,9,0)</f>
        <v>8.5</v>
      </c>
      <c r="AH73" s="12">
        <f t="array" ref="AH73">INDEX(AG:AG,MIN(IF(ISNUMBER(AG73:AG269),ROW(AG73:AG269),"")))</f>
        <v>8.5</v>
      </c>
      <c r="AI73" s="13">
        <f>IF('Données projet'!$A$62&gt;35,AI72+AH73-AQ72,IF(A73&lt;'Données projet'!$A$62,$AF$205^A73,IF(A73='Données projet'!$A$62,'Données projet'!$B$62,AI72+AH73-AQ72)))</f>
        <v>330</v>
      </c>
      <c r="AJ73" s="13">
        <f>AI73*VLOOKUP('Données projet'!$B$10,Paramètres!$A$1:$I$89,3,0)*VLOOKUP('Données projet'!$B$10,Paramètres!$A$1:$I$89,5,0)</f>
        <v>319.17599999999999</v>
      </c>
      <c r="AK73" s="13">
        <f t="shared" si="89"/>
        <v>75.181878718947672</v>
      </c>
      <c r="AL73" s="20">
        <f t="shared" si="58"/>
        <v>686.83997210216705</v>
      </c>
      <c r="AM73" s="59">
        <f t="shared" si="59"/>
        <v>972.63352446052977</v>
      </c>
      <c r="AN73" s="59">
        <f ca="1">AVERAGE(OFFSET($AM$3,0,0,'Données projet'!$E$10+1,1))-AVERAGE(OFFSET($H$3,0,0,'Données projet'!$E$10+1,1))</f>
        <v>508.94560627895089</v>
      </c>
      <c r="AO73" s="59">
        <f t="shared" si="90"/>
        <v>357.86868650263034</v>
      </c>
      <c r="AP73" s="15">
        <f>IF(ISNA(VLOOKUP(A73,'Données projet'!$A$61:$I$81,3,0)),0,VLOOKUP(A73,'Données projet'!$A$61:$I$81,3,0))</f>
        <v>6</v>
      </c>
      <c r="AQ73" s="15">
        <f>IF(ISNA(VLOOKUP(A73,'Données projet'!$A$61:$I$81,4,0)),0,VLOOKUP(A73,'Données projet'!$A$61:$I$81,4,0))</f>
        <v>56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1.1659652312265167</v>
      </c>
      <c r="AV73" s="21">
        <f>EXP(-LN(2)/25)*AV72+(1-EXP(-LN(2)/25))/(LN(2)/25)*Calculateur!AQ73*Calculateur!AS73*VLOOKUP('Données projet'!$B$10,Paramètres!$A$1:$I$89,3,0)*0.475*44/12</f>
        <v>3.9786276913265901</v>
      </c>
      <c r="AW73" s="21">
        <f>EXP(-LN(2)/2)*AW72+(1-EXP(-LN(2)/2))/(LN(2)/2)*AQ73*AT73*VLOOKUP('Données projet'!$B$10,Paramètres!$A$1:$I$89,3,0)*0.475*44/12</f>
        <v>2.1972440522203909E-5</v>
      </c>
      <c r="AX73" s="21">
        <f t="shared" si="60"/>
        <v>5.1446148949936292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67.94369609773527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364</v>
      </c>
      <c r="BB73" s="12">
        <f>VLOOKUP(A73,'Données projet'!$A$87:$I$107,9,0)</f>
        <v>9.1</v>
      </c>
      <c r="BC73" s="12">
        <f t="array" ref="BC73">INDEX(BB:BB,MIN(IF(ISNUMBER(BB73:BB269),ROW(BB73:BB269),"")))</f>
        <v>9.1</v>
      </c>
      <c r="BD73" s="12">
        <f>IF('Données projet'!$A$88&gt;35,BD72+BC73-BL72,IF(A73&lt;'Données projet'!$A$88,$BA$205^A73,IF(A73='Données projet'!$A$88,'Données projet'!$B$88,BD72+BC73-BL72)))</f>
        <v>364.00000000000017</v>
      </c>
      <c r="BE73" s="13">
        <f>BD73*VLOOKUP('Données projet'!$B$11,Paramètres!$A$1:$I$89,3,0)*VLOOKUP('Données projet'!$B$11,Paramètres!$A$1:$I$89,5,0)</f>
        <v>283.92000000000013</v>
      </c>
      <c r="BF73" s="13">
        <f t="shared" si="91"/>
        <v>67.794746071143635</v>
      </c>
      <c r="BG73" s="20">
        <f t="shared" si="61"/>
        <v>612.56984940724203</v>
      </c>
      <c r="BH73" s="59">
        <f t="shared" si="62"/>
        <v>898.36340176560475</v>
      </c>
      <c r="BI73" s="59">
        <f ca="1">AVERAGE(OFFSET($BH$3,0,0,'Données projet'!$E$11+1,1))-AVERAGE(OFFSET($H$3,0,0,'Données projet'!$E$11+1,1))</f>
        <v>383.03154033422328</v>
      </c>
      <c r="BJ73" s="59">
        <f t="shared" si="92"/>
        <v>373.27897156169877</v>
      </c>
      <c r="BK73" s="15">
        <f>IF(ISNA(VLOOKUP(A73,'Données projet'!$A$87:$I$107,3,0)),0,VLOOKUP(A73,'Données projet'!$A$87:$I$107,3,0))</f>
        <v>6</v>
      </c>
      <c r="BL73" s="15">
        <f>IF(ISNA(VLOOKUP(A73,'Données projet'!$A$87:$I$107,4,0)),0,VLOOKUP(A73,'Données projet'!$A$87:$I$107,4,0))</f>
        <v>69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0.65484798412779588</v>
      </c>
      <c r="BQ73" s="21">
        <f>EXP(-LN(2)/25)*BQ72+(1-EXP(-LN(2)/25))/(LN(2)/25)*Calculateur!BL73*Calculateur!BN73*VLOOKUP('Données projet'!$B$11,Paramètres!$A$1:$I$89,3,0)*0.475*44/12</f>
        <v>2.7613086495470998</v>
      </c>
      <c r="BR73" s="21">
        <f>EXP(-LN(2)/2)*BR72+(1-EXP(-LN(2)/2))/(LN(2)/2)*BL73*BO73*VLOOKUP('Données projet'!$B$11,Paramètres!$A$1:$I$89,3,0)*0.475*44/12</f>
        <v>1.2465648266507945E-5</v>
      </c>
      <c r="BS73" s="22">
        <f t="shared" si="63"/>
        <v>3.4161690993231622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67.94369609773527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330</v>
      </c>
      <c r="BW73" s="12">
        <f>VLOOKUP(A73,'Données projet'!$A$113:$I$133,9,0)</f>
        <v>8.5</v>
      </c>
      <c r="BX73" s="12">
        <f t="array" ref="BX73">INDEX(BW:BW,MIN(IF(ISNUMBER(BW73:BW269),ROW(BW73:BW269),"")))</f>
        <v>8.5</v>
      </c>
      <c r="BY73" s="12">
        <f>IF('Données projet'!$A$114&gt;35,BY72+BX73-CG72,IF(A73&lt;'Données projet'!$A$114,$BV$205^A73,IF(A73='Données projet'!$A$114,'Données projet'!$B$114,BY72+BX73-CG72)))</f>
        <v>330</v>
      </c>
      <c r="BZ73" s="13">
        <f>BY73*VLOOKUP('Données projet'!$B$12,Paramètres!$A$1:$I$89,3,0)*VLOOKUP('Données projet'!$B$12,Paramètres!$A$1:$I$89,5,0)</f>
        <v>277.99200000000002</v>
      </c>
      <c r="CA73" s="13">
        <f t="shared" si="93"/>
        <v>66.542483170264177</v>
      </c>
      <c r="CB73" s="20">
        <f t="shared" si="64"/>
        <v>600.06422485487678</v>
      </c>
      <c r="CC73" s="59">
        <f t="shared" si="65"/>
        <v>885.85777721323939</v>
      </c>
      <c r="CD73" s="59">
        <f ca="1">AVERAGE(OFFSET($CC$3,0,0,'Données projet'!$E$12+1,1))-AVERAGE(OFFSET($H$3,0,0,'Données projet'!$E$12+1,1))</f>
        <v>449.94334483948603</v>
      </c>
      <c r="CE73" s="59">
        <f t="shared" si="94"/>
        <v>318.02929110264176</v>
      </c>
      <c r="CF73" s="15">
        <f>IF(ISNA(VLOOKUP(A73,'Données projet'!$A$113:$I$133,3,0)),0,VLOOKUP(A73,'Données projet'!$A$113:$I$133,3,0))</f>
        <v>6</v>
      </c>
      <c r="CG73" s="15">
        <f>IF(ISNA(VLOOKUP(A73,'Données projet'!$A$113:$I$133,4,0)),0,VLOOKUP(A73,'Données projet'!$A$113:$I$133,4,0))</f>
        <v>56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1.0155181046166433</v>
      </c>
      <c r="CL73" s="21">
        <f>EXP(-LN(2)/25)*CL72+(1-EXP(-LN(2)/25))/(LN(2)/25)*Calculateur!CG73*Calculateur!CI73*VLOOKUP('Données projet'!$B$12,Paramètres!$A$1:$I$89,3,0)*0.475*44/12</f>
        <v>3.4652563763167081</v>
      </c>
      <c r="CM73" s="21">
        <f>EXP(-LN(2)/2)*CM72+(1-EXP(-LN(2)/2))/(LN(2)/2)*CG73*CJ73*VLOOKUP('Données projet'!$B$12,Paramètres!$A$1:$I$89,3,0)*0.475*44/12</f>
        <v>1.9137286906435682E-5</v>
      </c>
      <c r="CN73" s="22">
        <f t="shared" si="66"/>
        <v>4.4807936182202575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67.94369609773527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344</v>
      </c>
      <c r="CR73" s="12">
        <f>VLOOKUP(A73,'Données projet'!$A$139:$I$159,9,0)</f>
        <v>10.199999999999999</v>
      </c>
      <c r="CS73" s="12">
        <f t="array" ref="CS73">INDEX(CR:CR,MIN(IF(ISNUMBER(CR73:CR269),ROW(CR73:CR269),"")))</f>
        <v>10.199999999999999</v>
      </c>
      <c r="CT73" s="12">
        <f>IF('Données projet'!$A$140&gt;35,CT72+CS73-DB72,IF(A73&lt;'Données projet'!$A$140,$CQ$205^A73,IF(A73='Données projet'!$A$140,'Données projet'!$B$140,CT72+CS73-DB72)))</f>
        <v>343.99999999999989</v>
      </c>
      <c r="CU73" s="17">
        <f>CT73*VLOOKUP('Données projet'!$B$13,Paramètres!$A$1:$I$89,3,0)*VLOOKUP('Données projet'!$B$13,Paramètres!$A$1:$I$89,5,0)</f>
        <v>295.15199999999993</v>
      </c>
      <c r="CV73" s="13">
        <f t="shared" si="95"/>
        <v>70.159174796274201</v>
      </c>
      <c r="CW73" s="20">
        <f t="shared" si="67"/>
        <v>636.25029610351078</v>
      </c>
      <c r="CX73" s="59">
        <f t="shared" si="68"/>
        <v>922.04384846187349</v>
      </c>
      <c r="CY73" s="59">
        <f ca="1">AVERAGE(OFFSET($CX$3,0,0,'Données projet'!$E$13+1,1))-AVERAGE(OFFSET($H$3,0,0,'Données projet'!$E$13+1,1))</f>
        <v>565.32667500225568</v>
      </c>
      <c r="CZ73" s="59">
        <f t="shared" si="96"/>
        <v>275.06957234480944</v>
      </c>
      <c r="DA73" s="15">
        <f>IF(ISNA(VLOOKUP(A73,'Données projet'!$A$139:$I$159,3,0)),0,VLOOKUP(A73,'Données projet'!$A$139:$I$159,3,0))</f>
        <v>5</v>
      </c>
      <c r="DB73" s="15">
        <f>IF(ISNA(VLOOKUP(A73,'Données projet'!$A$139:$I$159,4,0)),0,VLOOKUP(A73,'Données projet'!$A$139:$I$159,4,0))</f>
        <v>56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0</v>
      </c>
      <c r="DG73" s="21">
        <f>EXP(-LN(2)/25)*DG72+(1-EXP(-LN(2)/25))/(LN(2)/25)*Calculateur!DB73*Calculateur!DD73*VLOOKUP('Données projet'!$B$13,Paramètres!$A$1:$I$89,3,0)*0.475*44/12</f>
        <v>1.4452965621797909</v>
      </c>
      <c r="DH73" s="21">
        <f>EXP(-LN(2)/2)*DH72+(1-EXP(-LN(2)/2))/(LN(2)/2)*DB73*DE73*VLOOKUP('Données projet'!$B$13,Paramètres!$A$1:$I$89,3,0)*0.475*44/12</f>
        <v>6.7553790201186704E-6</v>
      </c>
      <c r="DI73" s="22">
        <f t="shared" si="69"/>
        <v>1.445303317558811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67.94369609773527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741</v>
      </c>
      <c r="DM73" s="12">
        <f>VLOOKUP(A73,'Données projet'!$A$165:$I$185,9,0)</f>
        <v>15.8</v>
      </c>
      <c r="DN73" s="12">
        <f t="array" ref="DN73">INDEX(DM:DM,MIN(IF(ISNUMBER(DM73:DM269),ROW(DM73:DM269),"")))</f>
        <v>15.8</v>
      </c>
      <c r="DO73" s="12">
        <f>IF('Données projet'!$A$166&gt;35,DO72+DN73-DW72,IF(A73&lt;'Données projet'!$A$166,$DL$205^A73,IF(A73='Données projet'!$A$166,'Données projet'!$B$166,DO72+DN73-DW72)))</f>
        <v>740.99999999999898</v>
      </c>
      <c r="DP73" s="17">
        <f>DO73*VLOOKUP('Données projet'!$B$14,Paramètres!$A$1:$I$89,3,0)*VLOOKUP('Données projet'!$B$14,Paramètres!$A$1:$I$89,5,0)</f>
        <v>414.21899999999943</v>
      </c>
      <c r="DQ73" s="13">
        <f t="shared" si="97"/>
        <v>94.653462817267581</v>
      </c>
      <c r="DR73" s="20">
        <f t="shared" si="70"/>
        <v>886.28620607340656</v>
      </c>
      <c r="DS73" s="59">
        <f t="shared" si="71"/>
        <v>1172.0797584317693</v>
      </c>
      <c r="DT73" s="59">
        <f ca="1">AVERAGE(OFFSET($DS$3,0,0,'Données projet'!$E$14+1,1))-AVERAGE(OFFSET($H$3,0,0,'Données projet'!$E$14+1,1))</f>
        <v>532.64469322244281</v>
      </c>
      <c r="DU73" s="59">
        <f t="shared" si="98"/>
        <v>525.88014011096413</v>
      </c>
      <c r="DV73" s="15">
        <f>IF(ISNA(VLOOKUP(A73,'Données projet'!$A$165:$I$185,3,0)),0,VLOOKUP(A73,'Données projet'!$A$165:$I$185,3,0))</f>
        <v>6</v>
      </c>
      <c r="DW73" s="15">
        <f>IF(ISNA(VLOOKUP(A73,'Données projet'!$A$165:$I$185,4,0)),0,VLOOKUP(A73,'Données projet'!$A$165:$I$185,4,0))</f>
        <v>80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5.1716199772143892</v>
      </c>
      <c r="EB73" s="21">
        <f>EXP(-LN(2)/25)*EB72+(1-EXP(-LN(2)/25))/(LN(2)/25)*Calculateur!DW73*Calculateur!DY73*VLOOKUP('Données projet'!$B$14,Paramètres!$A$1:$I$89,3,0)*0.475*44/12</f>
        <v>12.785837062636567</v>
      </c>
      <c r="EC73" s="21">
        <f>EXP(-LN(2)/2)*EC72+(1-EXP(-LN(2)/2))/(LN(2)/2)*DW73*DZ73*VLOOKUP('Données projet'!$B$14,Paramètres!$A$1:$I$89,3,0)*0.475*44/12</f>
        <v>3.478230605605516E-5</v>
      </c>
      <c r="ED73" s="22">
        <f t="shared" si="72"/>
        <v>17.957491822157014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67.94369609773527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>
        <f>VLOOKUP(A73,'Données projet'!$A$191:$I$211,2,0)</f>
        <v>263</v>
      </c>
      <c r="EH73" s="12">
        <f>VLOOKUP(A73,'Données projet'!$A$191:$I$211,9,0)</f>
        <v>7</v>
      </c>
      <c r="EI73" s="12">
        <f t="array" ref="EI73">INDEX(EH:EH,MIN(IF(ISNUMBER(EH73:EH269),ROW(EH73:EH269),"")))</f>
        <v>7</v>
      </c>
      <c r="EJ73" s="12">
        <f>IF('Données projet'!$A$192&gt;35,EJ72+EI73-ER72,IF(A73&lt;'Données projet'!$A$192,$EG$205^A73,IF(A73='Données projet'!$A$192,'Données projet'!$B$192,EJ72+EI73-ER72)))</f>
        <v>263.00000000000017</v>
      </c>
      <c r="EK73" s="17">
        <f>EJ73*VLOOKUP('Données projet'!$B$15,Paramètres!$A$1:$I$89,3,0)*VLOOKUP('Données projet'!$B$15,Paramètres!$A$1:$I$89,5,0)</f>
        <v>237.96240000000012</v>
      </c>
      <c r="EL73" s="13">
        <f t="shared" si="99"/>
        <v>58.000913607663399</v>
      </c>
      <c r="EM73" s="20">
        <f t="shared" si="73"/>
        <v>515.46943786668055</v>
      </c>
      <c r="EN73" s="59">
        <f t="shared" si="74"/>
        <v>801.26299022504327</v>
      </c>
      <c r="EO73" s="59">
        <f ca="1">AVERAGE(OFFSET($EN$3,0,0,'Données projet'!$E$15+1,1))-AVERAGE(OFFSET($H$3,0,0,'Données projet'!$E$15+1,1))</f>
        <v>398.27843768730202</v>
      </c>
      <c r="EP73" s="59">
        <f t="shared" si="100"/>
        <v>252.3617347568813</v>
      </c>
      <c r="EQ73" s="15">
        <f>IF(ISNA(VLOOKUP(A73,'Données projet'!$A$191:$I$211,3,0)),0,VLOOKUP(A73,'Données projet'!$A$191:$I$211,3,0))</f>
        <v>5</v>
      </c>
      <c r="ER73" s="15">
        <f>IF(ISNA(VLOOKUP(A73,'Données projet'!$A$191:$I$211,4,0)),0,VLOOKUP(A73,'Données projet'!$A$191:$I$211,4,0))</f>
        <v>42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0</v>
      </c>
      <c r="EW73" s="21">
        <f>EXP(-LN(2)/25)*EW72+(1-EXP(-LN(2)/25))/(LN(2)/25)*Calculateur!ER73*Calculateur!ET73*VLOOKUP('Données projet'!$B$15,Paramètres!$A$1:$I$89,3,0)*0.475*44/12</f>
        <v>1.0245774972429857</v>
      </c>
      <c r="EX73" s="21">
        <f>EXP(-LN(2)/2)*EX72+(1-EXP(-LN(2)/2))/(LN(2)/2)*ER73*EU73*VLOOKUP('Données projet'!$B$15,Paramètres!$A$1:$I$89,3,0)*0.475*44/12</f>
        <v>5.9026220840725205E-6</v>
      </c>
      <c r="EY73" s="22">
        <f t="shared" si="75"/>
        <v>1.0245833998650697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67.94369609773527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>
        <f>VLOOKUP(A73,'Données projet'!$A$217:$I$237,2,0)</f>
        <v>263</v>
      </c>
      <c r="FC73" s="12">
        <f>VLOOKUP(A73,'Données projet'!$A$217:$I$237,9,0)</f>
        <v>7</v>
      </c>
      <c r="FD73" s="12">
        <f t="array" ref="FD73">INDEX(FC:FC,MIN(IF(ISNUMBER(FC73:FC269),ROW(FC73:FC269),"")))</f>
        <v>7</v>
      </c>
      <c r="FE73" s="12">
        <f>IF('Données projet'!$A$218&gt;35,FE72+FD73-FM72,IF(A73&lt;'Données projet'!$A$218,$FB$205^A73,IF(A73='Données projet'!$A$218,'Données projet'!$B$218,FE72+FD73-FM72)))</f>
        <v>263.00000000000017</v>
      </c>
      <c r="FF73" s="17">
        <f>FE73*VLOOKUP('Données projet'!$B$16,Paramètres!$A$1:$I$89,3,0)*VLOOKUP('Données projet'!$B$16,Paramètres!$A$1:$I$89,5,0)</f>
        <v>254.37360000000018</v>
      </c>
      <c r="FG73" s="13">
        <f t="shared" si="101"/>
        <v>61.521534056516209</v>
      </c>
      <c r="FH73" s="20">
        <f t="shared" si="76"/>
        <v>550.18402514843262</v>
      </c>
      <c r="FI73" s="59">
        <f t="shared" si="77"/>
        <v>835.97757750679534</v>
      </c>
      <c r="FJ73" s="59">
        <f ca="1">AVERAGE(OFFSET($FI$3,0,0,'Données projet'!$E$16+1,1))-AVERAGE(OFFSET($H$3,0,0,'Données projet'!$E$16+1,1))</f>
        <v>422.28024471365825</v>
      </c>
      <c r="FK73" s="59">
        <f t="shared" si="102"/>
        <v>266.49730479813206</v>
      </c>
      <c r="FL73" s="15">
        <f>IF(ISNA(VLOOKUP(A73,'Données projet'!$A$217:$I$237,3,0)),0,VLOOKUP(A73,'Données projet'!$A$217:$I$237,3,0))</f>
        <v>5</v>
      </c>
      <c r="FM73" s="15">
        <f>IF(ISNA(VLOOKUP(A73,'Données projet'!$A$217:$I$237,4,0)),0,VLOOKUP(A73,'Données projet'!$A$217:$I$237,4,0))</f>
        <v>42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>
        <f>EXP(-LN(2)/35)*FQ72+(1-EXP(-LN(2)/35))/(LN(2)/35)*FM73*FN73*VLOOKUP('Données projet'!$B$16,Paramètres!$A$1:$I$89,3,0)*0.475*44/12</f>
        <v>0</v>
      </c>
      <c r="FR73" s="21">
        <f>EXP(-LN(2)/25)*FR72+(1-EXP(-LN(2)/25))/(LN(2)/25)*Calculateur!FM73*Calculateur!FO73*VLOOKUP('Données projet'!$B$16,Paramètres!$A$1:$I$89,3,0)*0.475*44/12</f>
        <v>1.0952380142942262</v>
      </c>
      <c r="FS73" s="21">
        <f>EXP(-LN(2)/2)*FS72+(1-EXP(-LN(2)/2))/(LN(2)/2)*FM73*FP73*VLOOKUP('Données projet'!$B$16,Paramètres!$A$1:$I$89,3,0)*0.475*44/12</f>
        <v>6.309699469180969E-6</v>
      </c>
      <c r="FT73" s="22">
        <f t="shared" si="78"/>
        <v>1.0952443239936953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67.94369609773527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5.6</v>
      </c>
      <c r="FZ73" s="12">
        <f>IF('Données projet'!$A$244&gt;35,FZ72+FY73-GH72,IF(A73&lt;'Données projet'!$A$244,$FW$205^A73,IF(A73='Données projet'!$A$244,'Données projet'!$B$244,FZ72+FY73-GH72)))</f>
        <v>278.00000000000023</v>
      </c>
      <c r="GA73" s="17">
        <f>FZ73*VLOOKUP('Données projet'!$B$17,Paramètres!$A$1:$I$89,3,0)*VLOOKUP('Données projet'!$B$17,Paramètres!$A$1:$I$89,5,0)</f>
        <v>216.84000000000017</v>
      </c>
      <c r="GB73" s="13">
        <f t="shared" si="103"/>
        <v>53.427498092567987</v>
      </c>
      <c r="GC73" s="20">
        <f t="shared" si="79"/>
        <v>470.71589251122288</v>
      </c>
      <c r="GD73" s="59">
        <f t="shared" si="80"/>
        <v>756.50944486958554</v>
      </c>
      <c r="GE73" s="59">
        <f ca="1">AVERAGE(OFFSET($GD$3,0,0,'Données projet'!$E$17+1,1))-AVERAGE(OFFSET($H$3,0,0,'Données projet'!$E$17+1,1))</f>
        <v>300.95722646933314</v>
      </c>
      <c r="GF73" s="59">
        <f t="shared" si="104"/>
        <v>269.52365224623759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>
        <f>EXP(-LN(2)/35)*GL72+(1-EXP(-LN(2)/35))/(LN(2)/35)*GH73*GI73*VLOOKUP('Données projet'!$B$17,Paramètres!$A$1:$I$89,3,0)*0.475*44/12</f>
        <v>0.40298337484787439</v>
      </c>
      <c r="GM73" s="21">
        <f>EXP(-LN(2)/25)*GM72+(1-EXP(-LN(2)/25))/(LN(2)/25)*Calculateur!GH73*Calculateur!GJ73*VLOOKUP('Données projet'!$B$17,Paramètres!$A$1:$I$89,3,0)*0.475*44/12</f>
        <v>2.0581525079408021</v>
      </c>
      <c r="GN73" s="21">
        <f>EXP(-LN(2)/2)*GN72+(1-EXP(-LN(2)/2))/(LN(2)/2)*GH73*GK73*VLOOKUP('Données projet'!$B$17,Paramètres!$A$1:$I$89,3,0)*0.475*44/12</f>
        <v>8.4485660745819517E-6</v>
      </c>
      <c r="GO73" s="21">
        <f t="shared" si="81"/>
        <v>2.4611443313547512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67.94369609773527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1.4000000000000001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5.1333333333333337</v>
      </c>
      <c r="H74" s="67">
        <f t="shared" si="56"/>
        <v>236.13333333333335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67.979368373232745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7.4</v>
      </c>
      <c r="N74" s="13">
        <f>IF('Données projet'!$A$36&gt;35,N73+M74-V73,IF(A74&lt;'Données projet'!$A$36,$K$205^A74,IF(A74='Données projet'!$A$36,'Données projet'!$B$36,N73+M74-V73)))</f>
        <v>281.39999999999998</v>
      </c>
      <c r="O74" s="13">
        <f>N74*VLOOKUP('Données projet'!$B$9,Paramètres!$A$1:$I$89,3,0)*VLOOKUP('Données projet'!$B$9,Paramètres!$A$1:$I$89,5,0)</f>
        <v>254.61071999999999</v>
      </c>
      <c r="P74" s="13">
        <f t="shared" si="87"/>
        <v>61.572204587965679</v>
      </c>
      <c r="Q74" s="20">
        <f t="shared" si="54"/>
        <v>550.68526032404009</v>
      </c>
      <c r="R74" s="59">
        <f t="shared" si="55"/>
        <v>836.6096110258934</v>
      </c>
      <c r="S74" s="59">
        <f ca="1">AVERAGE(OFFSET($R$3,0,0,'Données projet'!$E$9+1,1))-AVERAGE(OFFSET($H$3,0,0,'Données projet'!$E$9+1,1))</f>
        <v>479.46542424895119</v>
      </c>
      <c r="T74" s="59">
        <f t="shared" si="88"/>
        <v>337.96395820277337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1.0693528891003634</v>
      </c>
      <c r="AA74" s="21">
        <f>EXP(-LN(2)/25)*AA73+(1-EXP(-LN(2)/25))/(LN(2)/25)*Calculateur!V74*Calculateur!X74*VLOOKUP('Données projet'!$B$9,Paramètres!$A$1:$I$89,3,0)*0.475*44/12</f>
        <v>3.6201653331783694</v>
      </c>
      <c r="AB74" s="21">
        <f>EXP(-LN(2)/2)*AB73+(1-EXP(-LN(2)/2))/(LN(2)/2)*V74*Y74*VLOOKUP('Données projet'!$B$9,Paramètres!$A$1:$I$89,3,0)*0.475*44/12</f>
        <v>1.4534483518760868E-5</v>
      </c>
      <c r="AC74" s="22">
        <f t="shared" si="57"/>
        <v>4.6895327567622518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67.979368373232745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7.4</v>
      </c>
      <c r="AI74" s="13">
        <f>IF('Données projet'!$A$62&gt;35,AI73+AH74-AQ73,IF(A74&lt;'Données projet'!$A$62,$AF$205^A74,IF(A74='Données projet'!$A$62,'Données projet'!$B$62,AI73+AH74-AQ73)))</f>
        <v>281.39999999999998</v>
      </c>
      <c r="AJ74" s="13">
        <f>AI74*VLOOKUP('Données projet'!$B$10,Paramètres!$A$1:$I$89,3,0)*VLOOKUP('Données projet'!$B$10,Paramètres!$A$1:$I$89,5,0)</f>
        <v>272.17007999999998</v>
      </c>
      <c r="AK74" s="13">
        <f t="shared" si="89"/>
        <v>65.309600243828299</v>
      </c>
      <c r="AL74" s="20">
        <f t="shared" si="58"/>
        <v>587.77710975800085</v>
      </c>
      <c r="AM74" s="59">
        <f t="shared" si="59"/>
        <v>873.70146045985416</v>
      </c>
      <c r="AN74" s="59">
        <f ca="1">AVERAGE(OFFSET($AM$3,0,0,'Données projet'!$E$10+1,1))-AVERAGE(OFFSET($H$3,0,0,'Données projet'!$E$10+1,1))</f>
        <v>508.94560627895089</v>
      </c>
      <c r="AO74" s="59">
        <f t="shared" si="90"/>
        <v>357.86868650263034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1.1431013642107337</v>
      </c>
      <c r="AV74" s="21">
        <f>EXP(-LN(2)/25)*AV73+(1-EXP(-LN(2)/25))/(LN(2)/25)*Calculateur!AQ74*Calculateur!AS74*VLOOKUP('Données projet'!$B$10,Paramètres!$A$1:$I$89,3,0)*0.475*44/12</f>
        <v>3.8698319078803274</v>
      </c>
      <c r="AW74" s="21">
        <f>EXP(-LN(2)/2)*AW73+(1-EXP(-LN(2)/2))/(LN(2)/2)*AQ74*AT74*VLOOKUP('Données projet'!$B$10,Paramètres!$A$1:$I$89,3,0)*0.475*44/12</f>
        <v>1.5536861692468469E-5</v>
      </c>
      <c r="AX74" s="21">
        <f t="shared" si="60"/>
        <v>5.0129488089527534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67.979368373232745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8.5</v>
      </c>
      <c r="BD74" s="12">
        <f>IF('Données projet'!$A$88&gt;35,BD73+BC74-BL73,IF(A74&lt;'Données projet'!$A$88,$BA$205^A74,IF(A74='Données projet'!$A$88,'Données projet'!$B$88,BD73+BC74-BL73)))</f>
        <v>303.50000000000017</v>
      </c>
      <c r="BE74" s="13">
        <f>BD74*VLOOKUP('Données projet'!$B$11,Paramètres!$A$1:$I$89,3,0)*VLOOKUP('Données projet'!$B$11,Paramètres!$A$1:$I$89,5,0)</f>
        <v>236.73000000000013</v>
      </c>
      <c r="BF74" s="13">
        <f t="shared" si="91"/>
        <v>57.735413300792672</v>
      </c>
      <c r="BG74" s="20">
        <f t="shared" si="61"/>
        <v>512.86059483221413</v>
      </c>
      <c r="BH74" s="59">
        <f t="shared" si="62"/>
        <v>798.78494553406745</v>
      </c>
      <c r="BI74" s="59">
        <f ca="1">AVERAGE(OFFSET($BH$3,0,0,'Données projet'!$E$11+1,1))-AVERAGE(OFFSET($H$3,0,0,'Données projet'!$E$11+1,1))</f>
        <v>383.03154033422328</v>
      </c>
      <c r="BJ74" s="59">
        <f t="shared" si="92"/>
        <v>373.27897156169877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0.64200681457688091</v>
      </c>
      <c r="BQ74" s="21">
        <f>EXP(-LN(2)/25)*BQ73+(1-EXP(-LN(2)/25))/(LN(2)/25)*Calculateur!BL74*Calculateur!BN74*VLOOKUP('Données projet'!$B$11,Paramètres!$A$1:$I$89,3,0)*0.475*44/12</f>
        <v>2.6858005193143235</v>
      </c>
      <c r="BR74" s="21">
        <f>EXP(-LN(2)/2)*BR73+(1-EXP(-LN(2)/2))/(LN(2)/2)*BL74*BO74*VLOOKUP('Données projet'!$B$11,Paramètres!$A$1:$I$89,3,0)*0.475*44/12</f>
        <v>8.814544421134099E-6</v>
      </c>
      <c r="BS74" s="22">
        <f t="shared" si="63"/>
        <v>3.3278161484356255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67.979368373232745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7.4</v>
      </c>
      <c r="BY74" s="12">
        <f>IF('Données projet'!$A$114&gt;35,BY73+BX74-CG73,IF(A74&lt;'Données projet'!$A$114,$BV$205^A74,IF(A74='Données projet'!$A$114,'Données projet'!$B$114,BY73+BX74-CG73)))</f>
        <v>281.39999999999998</v>
      </c>
      <c r="BZ74" s="13">
        <f>BY74*VLOOKUP('Données projet'!$B$12,Paramètres!$A$1:$I$89,3,0)*VLOOKUP('Données projet'!$B$12,Paramètres!$A$1:$I$89,5,0)</f>
        <v>237.05135999999999</v>
      </c>
      <c r="CA74" s="13">
        <f t="shared" si="93"/>
        <v>57.804660499743029</v>
      </c>
      <c r="CB74" s="20">
        <f t="shared" si="64"/>
        <v>513.54090237038565</v>
      </c>
      <c r="CC74" s="59">
        <f t="shared" si="65"/>
        <v>799.46525307223897</v>
      </c>
      <c r="CD74" s="59">
        <f ca="1">AVERAGE(OFFSET($CC$3,0,0,'Données projet'!$E$12+1,1))-AVERAGE(OFFSET($H$3,0,0,'Données projet'!$E$12+1,1))</f>
        <v>449.94334483948603</v>
      </c>
      <c r="CE74" s="59">
        <f t="shared" si="94"/>
        <v>318.02929110264176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0.99560441398999355</v>
      </c>
      <c r="CL74" s="21">
        <f>EXP(-LN(2)/25)*CL73+(1-EXP(-LN(2)/25))/(LN(2)/25)*Calculateur!CG74*Calculateur!CI74*VLOOKUP('Données projet'!$B$12,Paramètres!$A$1:$I$89,3,0)*0.475*44/12</f>
        <v>3.370498758476415</v>
      </c>
      <c r="CM74" s="21">
        <f>EXP(-LN(2)/2)*CM73+(1-EXP(-LN(2)/2))/(LN(2)/2)*CG74*CJ74*VLOOKUP('Données projet'!$B$12,Paramètres!$A$1:$I$89,3,0)*0.475*44/12</f>
        <v>1.3532105345053197E-5</v>
      </c>
      <c r="CN74" s="22">
        <f t="shared" si="66"/>
        <v>4.3661167045717528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67.979368373232745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9.1</v>
      </c>
      <c r="CT74" s="12">
        <f>IF('Données projet'!$A$140&gt;35,CT73+CS74-DB73,IF(A74&lt;'Données projet'!$A$140,$CQ$205^A74,IF(A74='Données projet'!$A$140,'Données projet'!$B$140,CT73+CS74-DB73)))</f>
        <v>297.09999999999991</v>
      </c>
      <c r="CU74" s="17">
        <f>CT74*VLOOKUP('Données projet'!$B$13,Paramètres!$A$1:$I$89,3,0)*VLOOKUP('Données projet'!$B$13,Paramètres!$A$1:$I$89,5,0)</f>
        <v>254.91179999999997</v>
      </c>
      <c r="CV74" s="13">
        <f t="shared" si="95"/>
        <v>61.636534914573033</v>
      </c>
      <c r="CW74" s="20">
        <f t="shared" si="67"/>
        <v>551.32168330954789</v>
      </c>
      <c r="CX74" s="59">
        <f t="shared" si="68"/>
        <v>837.24603401140121</v>
      </c>
      <c r="CY74" s="59">
        <f ca="1">AVERAGE(OFFSET($CX$3,0,0,'Données projet'!$E$13+1,1))-AVERAGE(OFFSET($H$3,0,0,'Données projet'!$E$13+1,1))</f>
        <v>565.32667500225568</v>
      </c>
      <c r="CZ74" s="59">
        <f t="shared" si="96"/>
        <v>275.06957234480944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0</v>
      </c>
      <c r="DG74" s="21">
        <f>EXP(-LN(2)/25)*DG73+(1-EXP(-LN(2)/25))/(LN(2)/25)*Calculateur!DB74*Calculateur!DD74*VLOOKUP('Données projet'!$B$13,Paramètres!$A$1:$I$89,3,0)*0.475*44/12</f>
        <v>1.4057748516821416</v>
      </c>
      <c r="DH74" s="21">
        <f>EXP(-LN(2)/2)*DH73+(1-EXP(-LN(2)/2))/(LN(2)/2)*DB74*DE74*VLOOKUP('Données projet'!$B$13,Paramètres!$A$1:$I$89,3,0)*0.475*44/12</f>
        <v>4.7767743146112464E-6</v>
      </c>
      <c r="DI74" s="22">
        <f t="shared" si="69"/>
        <v>1.4057796284564561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67.979368373232745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12.9</v>
      </c>
      <c r="DO74" s="12">
        <f>IF('Données projet'!$A$166&gt;35,DO73+DN74-DW73,IF(A74&lt;'Données projet'!$A$166,$DL$205^A74,IF(A74='Données projet'!$A$166,'Données projet'!$B$166,DO73+DN74-DW73)))</f>
        <v>673.89999999999895</v>
      </c>
      <c r="DP74" s="17">
        <f>DO74*VLOOKUP('Données projet'!$B$14,Paramètres!$A$1:$I$89,3,0)*VLOOKUP('Données projet'!$B$14,Paramètres!$A$1:$I$89,5,0)</f>
        <v>376.71009999999939</v>
      </c>
      <c r="DQ74" s="13">
        <f t="shared" si="97"/>
        <v>87.038637418312646</v>
      </c>
      <c r="DR74" s="20">
        <f t="shared" si="70"/>
        <v>807.69571767022671</v>
      </c>
      <c r="DS74" s="59">
        <f t="shared" si="71"/>
        <v>1093.6200683720801</v>
      </c>
      <c r="DT74" s="59">
        <f ca="1">AVERAGE(OFFSET($DS$3,0,0,'Données projet'!$E$14+1,1))-AVERAGE(OFFSET($H$3,0,0,'Données projet'!$E$14+1,1))</f>
        <v>532.64469322244281</v>
      </c>
      <c r="DU74" s="59">
        <f t="shared" si="98"/>
        <v>525.88014011096413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5.0702076638379321</v>
      </c>
      <c r="EB74" s="21">
        <f>EXP(-LN(2)/25)*EB73+(1-EXP(-LN(2)/25))/(LN(2)/25)*Calculateur!DW74*Calculateur!DY74*VLOOKUP('Données projet'!$B$14,Paramètres!$A$1:$I$89,3,0)*0.475*44/12</f>
        <v>12.436207675780821</v>
      </c>
      <c r="EC74" s="21">
        <f>EXP(-LN(2)/2)*EC73+(1-EXP(-LN(2)/2))/(LN(2)/2)*DW74*DZ74*VLOOKUP('Données projet'!$B$14,Paramètres!$A$1:$I$89,3,0)*0.475*44/12</f>
        <v>2.4594804477542523E-5</v>
      </c>
      <c r="ED74" s="22">
        <f t="shared" si="72"/>
        <v>17.506439934423234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67.979368373232745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6.1</v>
      </c>
      <c r="EJ74" s="12">
        <f>IF('Données projet'!$A$192&gt;35,EJ73+EI74-ER73,IF(A74&lt;'Données projet'!$A$192,$EG$205^A74,IF(A74='Données projet'!$A$192,'Données projet'!$B$192,EJ73+EI74-ER73)))</f>
        <v>227.10000000000019</v>
      </c>
      <c r="EK74" s="17">
        <f>EJ74*VLOOKUP('Données projet'!$B$15,Paramètres!$A$1:$I$89,3,0)*VLOOKUP('Données projet'!$B$15,Paramètres!$A$1:$I$89,5,0)</f>
        <v>205.48008000000016</v>
      </c>
      <c r="EL74" s="13">
        <f t="shared" si="99"/>
        <v>50.94662215818515</v>
      </c>
      <c r="EM74" s="20">
        <f t="shared" si="73"/>
        <v>446.6098395921727</v>
      </c>
      <c r="EN74" s="59">
        <f t="shared" si="74"/>
        <v>732.53419029402608</v>
      </c>
      <c r="EO74" s="59">
        <f ca="1">AVERAGE(OFFSET($EN$3,0,0,'Données projet'!$E$15+1,1))-AVERAGE(OFFSET($H$3,0,0,'Données projet'!$E$15+1,1))</f>
        <v>398.27843768730202</v>
      </c>
      <c r="EP74" s="59">
        <f t="shared" si="100"/>
        <v>252.3617347568813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0</v>
      </c>
      <c r="EW74" s="21">
        <f>EXP(-LN(2)/25)*EW73+(1-EXP(-LN(2)/25))/(LN(2)/25)*Calculateur!ER74*Calculateur!ET74*VLOOKUP('Données projet'!$B$15,Paramètres!$A$1:$I$89,3,0)*0.475*44/12</f>
        <v>0.99656037170068745</v>
      </c>
      <c r="EX74" s="21">
        <f>EXP(-LN(2)/2)*EX73+(1-EXP(-LN(2)/2))/(LN(2)/2)*ER74*EU74*VLOOKUP('Données projet'!$B$15,Paramètres!$A$1:$I$89,3,0)*0.475*44/12</f>
        <v>4.1737841024291508E-6</v>
      </c>
      <c r="EY74" s="22">
        <f t="shared" si="75"/>
        <v>0.9965645454847899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67.979368373232745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6.1</v>
      </c>
      <c r="FE74" s="12">
        <f>IF('Données projet'!$A$218&gt;35,FE73+FD74-FM73,IF(A74&lt;'Données projet'!$A$218,$FB$205^A74,IF(A74='Données projet'!$A$218,'Données projet'!$B$218,FE73+FD74-FM73)))</f>
        <v>227.10000000000019</v>
      </c>
      <c r="FF74" s="17">
        <f>FE74*VLOOKUP('Données projet'!$B$16,Paramètres!$A$1:$I$89,3,0)*VLOOKUP('Données projet'!$B$16,Paramètres!$A$1:$I$89,5,0)</f>
        <v>219.65112000000016</v>
      </c>
      <c r="FG74" s="13">
        <f t="shared" si="101"/>
        <v>54.0390513737551</v>
      </c>
      <c r="FH74" s="20">
        <f t="shared" si="76"/>
        <v>476.67704847595706</v>
      </c>
      <c r="FI74" s="59">
        <f t="shared" si="77"/>
        <v>762.60139917781044</v>
      </c>
      <c r="FJ74" s="59">
        <f ca="1">AVERAGE(OFFSET($FI$3,0,0,'Données projet'!$E$16+1,1))-AVERAGE(OFFSET($H$3,0,0,'Données projet'!$E$16+1,1))</f>
        <v>422.28024471365825</v>
      </c>
      <c r="FK74" s="59">
        <f t="shared" si="102"/>
        <v>266.49730479813206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0</v>
      </c>
      <c r="FR74" s="21">
        <f>EXP(-LN(2)/25)*FR73+(1-EXP(-LN(2)/25))/(LN(2)/25)*Calculateur!FM74*Calculateur!FO74*VLOOKUP('Données projet'!$B$16,Paramètres!$A$1:$I$89,3,0)*0.475*44/12</f>
        <v>1.0652886731972866</v>
      </c>
      <c r="FS74" s="21">
        <f>EXP(-LN(2)/2)*FS73+(1-EXP(-LN(2)/2))/(LN(2)/2)*FM74*FP74*VLOOKUP('Données projet'!$B$16,Paramètres!$A$1:$I$89,3,0)*0.475*44/12</f>
        <v>4.4616312819070224E-6</v>
      </c>
      <c r="FT74" s="22">
        <f t="shared" si="78"/>
        <v>1.0652931348285686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67.979368373232745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5.6</v>
      </c>
      <c r="FZ74" s="12">
        <f>IF('Données projet'!$A$244&gt;35,FZ73+FY74-GH73,IF(A74&lt;'Données projet'!$A$244,$FW$205^A74,IF(A74='Données projet'!$A$244,'Données projet'!$B$244,FZ73+FY74-GH73)))</f>
        <v>283.60000000000025</v>
      </c>
      <c r="GA74" s="17">
        <f>FZ74*VLOOKUP('Données projet'!$B$17,Paramètres!$A$1:$I$89,3,0)*VLOOKUP('Données projet'!$B$17,Paramètres!$A$1:$I$89,5,0)</f>
        <v>221.2080000000002</v>
      </c>
      <c r="GB74" s="13">
        <f t="shared" si="103"/>
        <v>54.377354818804932</v>
      </c>
      <c r="GC74" s="20">
        <f t="shared" si="79"/>
        <v>479.97782630941884</v>
      </c>
      <c r="GD74" s="59">
        <f t="shared" si="80"/>
        <v>765.90217701127222</v>
      </c>
      <c r="GE74" s="59">
        <f ca="1">AVERAGE(OFFSET($GD$3,0,0,'Données projet'!$E$17+1,1))-AVERAGE(OFFSET($H$3,0,0,'Données projet'!$E$17+1,1))</f>
        <v>300.95722646933314</v>
      </c>
      <c r="GF74" s="59">
        <f t="shared" si="104"/>
        <v>269.52365224623759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>
        <f>EXP(-LN(2)/35)*GL73+(1-EXP(-LN(2)/35))/(LN(2)/35)*GH74*GI74*VLOOKUP('Données projet'!$B$17,Paramètres!$A$1:$I$89,3,0)*0.475*44/12</f>
        <v>0.39508111666269591</v>
      </c>
      <c r="GM74" s="21">
        <f>EXP(-LN(2)/25)*GM73+(1-EXP(-LN(2)/25))/(LN(2)/25)*Calculateur!GH74*Calculateur!GJ74*VLOOKUP('Données projet'!$B$17,Paramètres!$A$1:$I$89,3,0)*0.475*44/12</f>
        <v>2.0018722193776246</v>
      </c>
      <c r="GN74" s="21">
        <f>EXP(-LN(2)/2)*GN73+(1-EXP(-LN(2)/2))/(LN(2)/2)*GH74*GK74*VLOOKUP('Données projet'!$B$17,Paramètres!$A$1:$I$89,3,0)*0.475*44/12</f>
        <v>5.974038362639509E-6</v>
      </c>
      <c r="GO74" s="21">
        <f t="shared" si="81"/>
        <v>2.396959310078683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67.979368373232745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1.4000000000000001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5.1333333333333337</v>
      </c>
      <c r="H75" s="67">
        <f t="shared" si="56"/>
        <v>236.13333333333335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68.014421814501617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7.4</v>
      </c>
      <c r="N75" s="13">
        <f>IF('Données projet'!$A$36&gt;35,N74+M75-V74,IF(A75&lt;'Données projet'!$A$36,$K$205^A75,IF(A75='Données projet'!$A$36,'Données projet'!$B$36,N74+M75-V74)))</f>
        <v>288.79999999999995</v>
      </c>
      <c r="O75" s="13">
        <f>N75*VLOOKUP('Données projet'!$B$9,Paramètres!$A$1:$I$89,3,0)*VLOOKUP('Données projet'!$B$9,Paramètres!$A$1:$I$89,5,0)</f>
        <v>261.30623999999995</v>
      </c>
      <c r="P75" s="13">
        <f t="shared" si="87"/>
        <v>63.000734275359598</v>
      </c>
      <c r="Q75" s="20">
        <f t="shared" si="54"/>
        <v>564.83464686291791</v>
      </c>
      <c r="R75" s="59">
        <f t="shared" si="55"/>
        <v>850.88752684942392</v>
      </c>
      <c r="S75" s="59">
        <f ca="1">AVERAGE(OFFSET($R$3,0,0,'Données projet'!$E$9+1,1))-AVERAGE(OFFSET($H$3,0,0,'Données projet'!$E$9+1,1))</f>
        <v>479.46542424895119</v>
      </c>
      <c r="T75" s="59">
        <f t="shared" si="88"/>
        <v>337.96395820277337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1.0483835311859642</v>
      </c>
      <c r="AA75" s="21">
        <f>EXP(-LN(2)/25)*AA74+(1-EXP(-LN(2)/25))/(LN(2)/25)*Calculateur!V75*Calculateur!X75*VLOOKUP('Données projet'!$B$9,Paramètres!$A$1:$I$89,3,0)*0.475*44/12</f>
        <v>3.521171721766386</v>
      </c>
      <c r="AB75" s="21">
        <f>EXP(-LN(2)/2)*AB74+(1-EXP(-LN(2)/2))/(LN(2)/2)*V75*Y75*VLOOKUP('Données projet'!$B$9,Paramètres!$A$1:$I$89,3,0)*0.475*44/12</f>
        <v>1.0277431857159923E-5</v>
      </c>
      <c r="AC75" s="22">
        <f t="shared" si="57"/>
        <v>4.5695655303842075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68.014421814501617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7.4</v>
      </c>
      <c r="AI75" s="13">
        <f>IF('Données projet'!$A$62&gt;35,AI74+AH75-AQ74,IF(A75&lt;'Données projet'!$A$62,$AF$205^A75,IF(A75='Données projet'!$A$62,'Données projet'!$B$62,AI74+AH75-AQ74)))</f>
        <v>288.79999999999995</v>
      </c>
      <c r="AJ75" s="13">
        <f>AI75*VLOOKUP('Données projet'!$B$10,Paramètres!$A$1:$I$89,3,0)*VLOOKUP('Données projet'!$B$10,Paramètres!$A$1:$I$89,5,0)</f>
        <v>279.32736</v>
      </c>
      <c r="AK75" s="13">
        <f t="shared" si="89"/>
        <v>66.824840821041093</v>
      </c>
      <c r="AL75" s="20">
        <f t="shared" si="58"/>
        <v>602.88174976331322</v>
      </c>
      <c r="AM75" s="59">
        <f t="shared" si="59"/>
        <v>888.93462974981912</v>
      </c>
      <c r="AN75" s="59">
        <f ca="1">AVERAGE(OFFSET($AM$3,0,0,'Données projet'!$E$10+1,1))-AVERAGE(OFFSET($H$3,0,0,'Données projet'!$E$10+1,1))</f>
        <v>508.94560627895089</v>
      </c>
      <c r="AO75" s="59">
        <f t="shared" si="90"/>
        <v>357.86868650263034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1.1206858436815483</v>
      </c>
      <c r="AV75" s="21">
        <f>EXP(-LN(2)/25)*AV74+(1-EXP(-LN(2)/25))/(LN(2)/25)*Calculateur!AQ75*Calculateur!AS75*VLOOKUP('Données projet'!$B$10,Paramètres!$A$1:$I$89,3,0)*0.475*44/12</f>
        <v>3.7640111508537246</v>
      </c>
      <c r="AW75" s="21">
        <f>EXP(-LN(2)/2)*AW74+(1-EXP(-LN(2)/2))/(LN(2)/2)*AQ75*AT75*VLOOKUP('Données projet'!$B$10,Paramètres!$A$1:$I$89,3,0)*0.475*44/12</f>
        <v>1.0986220261101954E-5</v>
      </c>
      <c r="AX75" s="21">
        <f t="shared" si="60"/>
        <v>4.8847079807555343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68.014421814501617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8.5</v>
      </c>
      <c r="BD75" s="12">
        <f>IF('Données projet'!$A$88&gt;35,BD74+BC75-BL74,IF(A75&lt;'Données projet'!$A$88,$BA$205^A75,IF(A75='Données projet'!$A$88,'Données projet'!$B$88,BD74+BC75-BL74)))</f>
        <v>312.00000000000017</v>
      </c>
      <c r="BE75" s="13">
        <f>BD75*VLOOKUP('Données projet'!$B$11,Paramètres!$A$1:$I$89,3,0)*VLOOKUP('Données projet'!$B$11,Paramètres!$A$1:$I$89,5,0)</f>
        <v>243.36000000000013</v>
      </c>
      <c r="BF75" s="13">
        <f t="shared" si="91"/>
        <v>59.161864860837184</v>
      </c>
      <c r="BG75" s="20">
        <f t="shared" si="61"/>
        <v>526.89224796595829</v>
      </c>
      <c r="BH75" s="59">
        <f t="shared" si="62"/>
        <v>812.94512795246419</v>
      </c>
      <c r="BI75" s="59">
        <f ca="1">AVERAGE(OFFSET($BH$3,0,0,'Données projet'!$E$11+1,1))-AVERAGE(OFFSET($H$3,0,0,'Données projet'!$E$11+1,1))</f>
        <v>383.03154033422328</v>
      </c>
      <c r="BJ75" s="59">
        <f t="shared" si="92"/>
        <v>373.27897156169877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0.62941745252851933</v>
      </c>
      <c r="BQ75" s="21">
        <f>EXP(-LN(2)/25)*BQ74+(1-EXP(-LN(2)/25))/(LN(2)/25)*Calculateur!BL75*Calculateur!BN75*VLOOKUP('Données projet'!$B$11,Paramètres!$A$1:$I$89,3,0)*0.475*44/12</f>
        <v>2.6123571628735625</v>
      </c>
      <c r="BR75" s="21">
        <f>EXP(-LN(2)/2)*BR74+(1-EXP(-LN(2)/2))/(LN(2)/2)*BL75*BO75*VLOOKUP('Données projet'!$B$11,Paramètres!$A$1:$I$89,3,0)*0.475*44/12</f>
        <v>6.2328241332539727E-6</v>
      </c>
      <c r="BS75" s="22">
        <f t="shared" si="63"/>
        <v>3.2417808482262149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68.014421814501617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7.4</v>
      </c>
      <c r="BY75" s="12">
        <f>IF('Données projet'!$A$114&gt;35,BY74+BX75-CG74,IF(A75&lt;'Données projet'!$A$114,$BV$205^A75,IF(A75='Données projet'!$A$114,'Données projet'!$B$114,BY74+BX75-CG74)))</f>
        <v>288.79999999999995</v>
      </c>
      <c r="BZ75" s="13">
        <f>BY75*VLOOKUP('Données projet'!$B$12,Paramètres!$A$1:$I$89,3,0)*VLOOKUP('Données projet'!$B$12,Paramètres!$A$1:$I$89,5,0)</f>
        <v>243.28512000000001</v>
      </c>
      <c r="CA75" s="13">
        <f t="shared" si="93"/>
        <v>59.145779826981617</v>
      </c>
      <c r="CB75" s="20">
        <f t="shared" si="64"/>
        <v>526.73381719865961</v>
      </c>
      <c r="CC75" s="59">
        <f t="shared" si="65"/>
        <v>812.78669718516562</v>
      </c>
      <c r="CD75" s="59">
        <f ca="1">AVERAGE(OFFSET($CC$3,0,0,'Données projet'!$E$12+1,1))-AVERAGE(OFFSET($H$3,0,0,'Données projet'!$E$12+1,1))</f>
        <v>449.94334483948603</v>
      </c>
      <c r="CE75" s="59">
        <f t="shared" si="94"/>
        <v>318.02929110264176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0.97608121869038045</v>
      </c>
      <c r="CL75" s="21">
        <f>EXP(-LN(2)/25)*CL74+(1-EXP(-LN(2)/25))/(LN(2)/25)*Calculateur!CG75*Calculateur!CI75*VLOOKUP('Données projet'!$B$12,Paramètres!$A$1:$I$89,3,0)*0.475*44/12</f>
        <v>3.278332292679051</v>
      </c>
      <c r="CM75" s="21">
        <f>EXP(-LN(2)/2)*CM74+(1-EXP(-LN(2)/2))/(LN(2)/2)*CG75*CJ75*VLOOKUP('Données projet'!$B$12,Paramètres!$A$1:$I$89,3,0)*0.475*44/12</f>
        <v>9.5686434532178409E-6</v>
      </c>
      <c r="CN75" s="22">
        <f t="shared" si="66"/>
        <v>4.2544230800128853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68.014421814501617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9.1</v>
      </c>
      <c r="CT75" s="12">
        <f>IF('Données projet'!$A$140&gt;35,CT74+CS75-DB74,IF(A75&lt;'Données projet'!$A$140,$CQ$205^A75,IF(A75='Données projet'!$A$140,'Données projet'!$B$140,CT74+CS75-DB74)))</f>
        <v>306.19999999999993</v>
      </c>
      <c r="CU75" s="17">
        <f>CT75*VLOOKUP('Données projet'!$B$13,Paramètres!$A$1:$I$89,3,0)*VLOOKUP('Données projet'!$B$13,Paramètres!$A$1:$I$89,5,0)</f>
        <v>262.71959999999996</v>
      </c>
      <c r="CV75" s="13">
        <f t="shared" si="95"/>
        <v>63.30173523029687</v>
      </c>
      <c r="CW75" s="20">
        <f t="shared" si="67"/>
        <v>567.82049219276689</v>
      </c>
      <c r="CX75" s="59">
        <f t="shared" si="68"/>
        <v>853.87337217927279</v>
      </c>
      <c r="CY75" s="59">
        <f ca="1">AVERAGE(OFFSET($CX$3,0,0,'Données projet'!$E$13+1,1))-AVERAGE(OFFSET($H$3,0,0,'Données projet'!$E$13+1,1))</f>
        <v>565.32667500225568</v>
      </c>
      <c r="CZ75" s="59">
        <f t="shared" si="96"/>
        <v>275.06957234480944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0</v>
      </c>
      <c r="DG75" s="21">
        <f>EXP(-LN(2)/25)*DG74+(1-EXP(-LN(2)/25))/(LN(2)/25)*Calculateur!DB75*Calculateur!DD75*VLOOKUP('Données projet'!$B$13,Paramètres!$A$1:$I$89,3,0)*0.475*44/12</f>
        <v>1.3673338644364068</v>
      </c>
      <c r="DH75" s="21">
        <f>EXP(-LN(2)/2)*DH74+(1-EXP(-LN(2)/2))/(LN(2)/2)*DB75*DE75*VLOOKUP('Données projet'!$B$13,Paramètres!$A$1:$I$89,3,0)*0.475*44/12</f>
        <v>3.3776895100593352E-6</v>
      </c>
      <c r="DI75" s="22">
        <f t="shared" si="69"/>
        <v>1.3673372421259169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68.014421814501617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12.9</v>
      </c>
      <c r="DO75" s="12">
        <f>IF('Données projet'!$A$166&gt;35,DO74+DN75-DW74,IF(A75&lt;'Données projet'!$A$166,$DL$205^A75,IF(A75='Données projet'!$A$166,'Données projet'!$B$166,DO74+DN75-DW74)))</f>
        <v>686.79999999999893</v>
      </c>
      <c r="DP75" s="17">
        <f>DO75*VLOOKUP('Données projet'!$B$14,Paramètres!$A$1:$I$89,3,0)*VLOOKUP('Données projet'!$B$14,Paramètres!$A$1:$I$89,5,0)</f>
        <v>383.92119999999943</v>
      </c>
      <c r="DQ75" s="13">
        <f t="shared" si="97"/>
        <v>88.509192685867021</v>
      </c>
      <c r="DR75" s="20">
        <f t="shared" si="70"/>
        <v>822.81626726121738</v>
      </c>
      <c r="DS75" s="59">
        <f t="shared" si="71"/>
        <v>1108.8691472477233</v>
      </c>
      <c r="DT75" s="59">
        <f ca="1">AVERAGE(OFFSET($DS$3,0,0,'Données projet'!$E$14+1,1))-AVERAGE(OFFSET($H$3,0,0,'Données projet'!$E$14+1,1))</f>
        <v>532.64469322244281</v>
      </c>
      <c r="DU75" s="59">
        <f t="shared" si="98"/>
        <v>525.88014011096413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4.9707839840713843</v>
      </c>
      <c r="EB75" s="21">
        <f>EXP(-LN(2)/25)*EB74+(1-EXP(-LN(2)/25))/(LN(2)/25)*Calculateur!DW75*Calculateur!DY75*VLOOKUP('Données projet'!$B$14,Paramètres!$A$1:$I$89,3,0)*0.475*44/12</f>
        <v>12.096138922894855</v>
      </c>
      <c r="EC75" s="21">
        <f>EXP(-LN(2)/2)*EC74+(1-EXP(-LN(2)/2))/(LN(2)/2)*DW75*DZ75*VLOOKUP('Données projet'!$B$14,Paramètres!$A$1:$I$89,3,0)*0.475*44/12</f>
        <v>1.739115302802758E-5</v>
      </c>
      <c r="ED75" s="22">
        <f t="shared" si="72"/>
        <v>17.06694029811927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68.014421814501617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6.1</v>
      </c>
      <c r="EJ75" s="12">
        <f>IF('Données projet'!$A$192&gt;35,EJ74+EI75-ER74,IF(A75&lt;'Données projet'!$A$192,$EG$205^A75,IF(A75='Données projet'!$A$192,'Données projet'!$B$192,EJ74+EI75-ER74)))</f>
        <v>233.20000000000019</v>
      </c>
      <c r="EK75" s="17">
        <f>EJ75*VLOOKUP('Données projet'!$B$15,Paramètres!$A$1:$I$89,3,0)*VLOOKUP('Données projet'!$B$15,Paramètres!$A$1:$I$89,5,0)</f>
        <v>210.99936000000014</v>
      </c>
      <c r="EL75" s="13">
        <f t="shared" si="99"/>
        <v>52.153910623486667</v>
      </c>
      <c r="EM75" s="20">
        <f t="shared" si="73"/>
        <v>458.32527966923953</v>
      </c>
      <c r="EN75" s="59">
        <f t="shared" si="74"/>
        <v>744.37815965574555</v>
      </c>
      <c r="EO75" s="59">
        <f ca="1">AVERAGE(OFFSET($EN$3,0,0,'Données projet'!$E$15+1,1))-AVERAGE(OFFSET($H$3,0,0,'Données projet'!$E$15+1,1))</f>
        <v>398.27843768730202</v>
      </c>
      <c r="EP75" s="59">
        <f t="shared" si="100"/>
        <v>252.3617347568813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0</v>
      </c>
      <c r="EW75" s="21">
        <f>EXP(-LN(2)/25)*EW74+(1-EXP(-LN(2)/25))/(LN(2)/25)*Calculateur!ER75*Calculateur!ET75*VLOOKUP('Données projet'!$B$15,Paramètres!$A$1:$I$89,3,0)*0.475*44/12</f>
        <v>0.9693093759296999</v>
      </c>
      <c r="EX75" s="21">
        <f>EXP(-LN(2)/2)*EX74+(1-EXP(-LN(2)/2))/(LN(2)/2)*ER75*EU75*VLOOKUP('Données projet'!$B$15,Paramètres!$A$1:$I$89,3,0)*0.475*44/12</f>
        <v>2.9513110420362603E-6</v>
      </c>
      <c r="EY75" s="22">
        <f t="shared" si="75"/>
        <v>0.9693123272407419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68.014421814501617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6.1</v>
      </c>
      <c r="FE75" s="12">
        <f>IF('Données projet'!$A$218&gt;35,FE74+FD75-FM74,IF(A75&lt;'Données projet'!$A$218,$FB$205^A75,IF(A75='Données projet'!$A$218,'Données projet'!$B$218,FE74+FD75-FM74)))</f>
        <v>233.20000000000019</v>
      </c>
      <c r="FF75" s="17">
        <f>FE75*VLOOKUP('Données projet'!$B$16,Paramètres!$A$1:$I$89,3,0)*VLOOKUP('Données projet'!$B$16,Paramètres!$A$1:$I$89,5,0)</f>
        <v>225.5510400000002</v>
      </c>
      <c r="FG75" s="13">
        <f t="shared" si="101"/>
        <v>55.319621520227244</v>
      </c>
      <c r="FH75" s="20">
        <f t="shared" si="76"/>
        <v>489.18306881439611</v>
      </c>
      <c r="FI75" s="59">
        <f t="shared" si="77"/>
        <v>775.23594880090207</v>
      </c>
      <c r="FJ75" s="59">
        <f ca="1">AVERAGE(OFFSET($FI$3,0,0,'Données projet'!$E$16+1,1))-AVERAGE(OFFSET($H$3,0,0,'Données projet'!$E$16+1,1))</f>
        <v>422.28024471365825</v>
      </c>
      <c r="FK75" s="59">
        <f t="shared" si="102"/>
        <v>266.49730479813206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0</v>
      </c>
      <c r="FR75" s="21">
        <f>EXP(-LN(2)/25)*FR74+(1-EXP(-LN(2)/25))/(LN(2)/25)*Calculateur!FM75*Calculateur!FO75*VLOOKUP('Données projet'!$B$16,Paramètres!$A$1:$I$89,3,0)*0.475*44/12</f>
        <v>1.0361582984076103</v>
      </c>
      <c r="FS75" s="21">
        <f>EXP(-LN(2)/2)*FS74+(1-EXP(-LN(2)/2))/(LN(2)/2)*FM75*FP75*VLOOKUP('Données projet'!$B$16,Paramètres!$A$1:$I$89,3,0)*0.475*44/12</f>
        <v>3.1548497345904845E-6</v>
      </c>
      <c r="FT75" s="22">
        <f t="shared" si="78"/>
        <v>1.0361614532573449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68.014421814501617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5.6</v>
      </c>
      <c r="FZ75" s="12">
        <f>IF('Données projet'!$A$244&gt;35,FZ74+FY75-GH74,IF(A75&lt;'Données projet'!$A$244,$FW$205^A75,IF(A75='Données projet'!$A$244,'Données projet'!$B$244,FZ74+FY75-GH74)))</f>
        <v>289.20000000000027</v>
      </c>
      <c r="GA75" s="17">
        <f>FZ75*VLOOKUP('Données projet'!$B$17,Paramètres!$A$1:$I$89,3,0)*VLOOKUP('Données projet'!$B$17,Paramètres!$A$1:$I$89,5,0)</f>
        <v>225.57600000000022</v>
      </c>
      <c r="GB75" s="13">
        <f t="shared" si="103"/>
        <v>55.325030705506045</v>
      </c>
      <c r="GC75" s="20">
        <f t="shared" si="79"/>
        <v>489.23596181209012</v>
      </c>
      <c r="GD75" s="59">
        <f t="shared" si="80"/>
        <v>775.28884179859608</v>
      </c>
      <c r="GE75" s="59">
        <f ca="1">AVERAGE(OFFSET($GD$3,0,0,'Données projet'!$E$17+1,1))-AVERAGE(OFFSET($H$3,0,0,'Données projet'!$E$17+1,1))</f>
        <v>300.95722646933314</v>
      </c>
      <c r="GF75" s="59">
        <f t="shared" si="104"/>
        <v>269.52365224623759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>
        <f>EXP(-LN(2)/35)*GL74+(1-EXP(-LN(2)/35))/(LN(2)/35)*GH75*GI75*VLOOKUP('Données projet'!$B$17,Paramètres!$A$1:$I$89,3,0)*0.475*44/12</f>
        <v>0.38733381694062724</v>
      </c>
      <c r="GM75" s="21">
        <f>EXP(-LN(2)/25)*GM74+(1-EXP(-LN(2)/25))/(LN(2)/25)*Calculateur!GH75*Calculateur!GJ75*VLOOKUP('Données projet'!$B$17,Paramètres!$A$1:$I$89,3,0)*0.475*44/12</f>
        <v>1.9471309182648588</v>
      </c>
      <c r="GN75" s="21">
        <f>EXP(-LN(2)/2)*GN74+(1-EXP(-LN(2)/2))/(LN(2)/2)*GH75*GK75*VLOOKUP('Données projet'!$B$17,Paramètres!$A$1:$I$89,3,0)*0.475*44/12</f>
        <v>4.2242830372909759E-6</v>
      </c>
      <c r="GO75" s="21">
        <f t="shared" si="81"/>
        <v>2.3344689594885231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68.014421814501617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1.4000000000000001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5.1333333333333337</v>
      </c>
      <c r="H76" s="67">
        <f t="shared" si="56"/>
        <v>236.13333333333335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68.048867156932204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7.4</v>
      </c>
      <c r="N76" s="13">
        <f>IF('Données projet'!$A$36&gt;35,N75+M76-V75,IF(A76&lt;'Données projet'!$A$36,$K$205^A76,IF(A76='Données projet'!$A$36,'Données projet'!$B$36,N75+M76-V75)))</f>
        <v>296.19999999999993</v>
      </c>
      <c r="O76" s="13">
        <f>N76*VLOOKUP('Données projet'!$B$9,Paramètres!$A$1:$I$89,3,0)*VLOOKUP('Données projet'!$B$9,Paramètres!$A$1:$I$89,5,0)</f>
        <v>268.00175999999993</v>
      </c>
      <c r="P76" s="13">
        <f t="shared" si="87"/>
        <v>64.425009159185578</v>
      </c>
      <c r="Q76" s="20">
        <f t="shared" si="54"/>
        <v>578.97662295224802</v>
      </c>
      <c r="R76" s="59">
        <f t="shared" si="55"/>
        <v>865.15580252766608</v>
      </c>
      <c r="S76" s="59">
        <f ca="1">AVERAGE(OFFSET($R$3,0,0,'Données projet'!$E$9+1,1))-AVERAGE(OFFSET($H$3,0,0,'Données projet'!$E$9+1,1))</f>
        <v>479.46542424895119</v>
      </c>
      <c r="T76" s="59">
        <f t="shared" si="88"/>
        <v>337.96395820277337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1.0278253695902209</v>
      </c>
      <c r="AA76" s="21">
        <f>EXP(-LN(2)/25)*AA75+(1-EXP(-LN(2)/25))/(LN(2)/25)*Calculateur!V76*Calculateur!X76*VLOOKUP('Données projet'!$B$9,Paramètres!$A$1:$I$89,3,0)*0.475*44/12</f>
        <v>3.4248850958643113</v>
      </c>
      <c r="AB76" s="21">
        <f>EXP(-LN(2)/2)*AB75+(1-EXP(-LN(2)/2))/(LN(2)/2)*V76*Y76*VLOOKUP('Données projet'!$B$9,Paramètres!$A$1:$I$89,3,0)*0.475*44/12</f>
        <v>7.2672417593804347E-6</v>
      </c>
      <c r="AC76" s="22">
        <f t="shared" si="57"/>
        <v>4.4527177326962919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68.048867156932204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7.4</v>
      </c>
      <c r="AI76" s="13">
        <f>IF('Données projet'!$A$62&gt;35,AI75+AH76-AQ75,IF(A76&lt;'Données projet'!$A$62,$AF$205^A76,IF(A76='Données projet'!$A$62,'Données projet'!$B$62,AI75+AH76-AQ75)))</f>
        <v>296.19999999999993</v>
      </c>
      <c r="AJ76" s="13">
        <f>AI76*VLOOKUP('Données projet'!$B$10,Paramètres!$A$1:$I$89,3,0)*VLOOKUP('Données projet'!$B$10,Paramètres!$A$1:$I$89,5,0)</f>
        <v>286.48463999999996</v>
      </c>
      <c r="AK76" s="13">
        <f t="shared" si="89"/>
        <v>68.335568330677489</v>
      </c>
      <c r="AL76" s="20">
        <f t="shared" si="58"/>
        <v>617.97852950926324</v>
      </c>
      <c r="AM76" s="59">
        <f t="shared" si="59"/>
        <v>904.1577090846813</v>
      </c>
      <c r="AN76" s="59">
        <f ca="1">AVERAGE(OFFSET($AM$3,0,0,'Données projet'!$E$10+1,1))-AVERAGE(OFFSET($H$3,0,0,'Données projet'!$E$10+1,1))</f>
        <v>508.94560627895089</v>
      </c>
      <c r="AO76" s="59">
        <f t="shared" si="90"/>
        <v>357.86868650263034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1.0987098778378228</v>
      </c>
      <c r="AV76" s="21">
        <f>EXP(-LN(2)/25)*AV75+(1-EXP(-LN(2)/25))/(LN(2)/25)*Calculateur!AQ76*Calculateur!AS76*VLOOKUP('Données projet'!$B$10,Paramètres!$A$1:$I$89,3,0)*0.475*44/12</f>
        <v>3.6610840679928858</v>
      </c>
      <c r="AW76" s="21">
        <f>EXP(-LN(2)/2)*AW75+(1-EXP(-LN(2)/2))/(LN(2)/2)*AQ76*AT76*VLOOKUP('Données projet'!$B$10,Paramètres!$A$1:$I$89,3,0)*0.475*44/12</f>
        <v>7.7684308462342346E-6</v>
      </c>
      <c r="AX76" s="21">
        <f t="shared" si="60"/>
        <v>4.7598017142615543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68.048867156932204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8.5</v>
      </c>
      <c r="BD76" s="12">
        <f>IF('Données projet'!$A$88&gt;35,BD75+BC76-BL75,IF(A76&lt;'Données projet'!$A$88,$BA$205^A76,IF(A76='Données projet'!$A$88,'Données projet'!$B$88,BD75+BC76-BL75)))</f>
        <v>320.50000000000017</v>
      </c>
      <c r="BE76" s="13">
        <f>BD76*VLOOKUP('Données projet'!$B$11,Paramètres!$A$1:$I$89,3,0)*VLOOKUP('Données projet'!$B$11,Paramètres!$A$1:$I$89,5,0)</f>
        <v>249.99000000000015</v>
      </c>
      <c r="BF76" s="13">
        <f t="shared" si="91"/>
        <v>60.583799497866167</v>
      </c>
      <c r="BG76" s="20">
        <f t="shared" si="61"/>
        <v>540.91603412545055</v>
      </c>
      <c r="BH76" s="59">
        <f t="shared" si="62"/>
        <v>827.09521370086873</v>
      </c>
      <c r="BI76" s="59">
        <f ca="1">AVERAGE(OFFSET($BH$3,0,0,'Données projet'!$E$11+1,1))-AVERAGE(OFFSET($H$3,0,0,'Données projet'!$E$11+1,1))</f>
        <v>383.03154033422328</v>
      </c>
      <c r="BJ76" s="59">
        <f t="shared" si="92"/>
        <v>373.27897156169877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0.61707496019117347</v>
      </c>
      <c r="BQ76" s="21">
        <f>EXP(-LN(2)/25)*BQ75+(1-EXP(-LN(2)/25))/(LN(2)/25)*Calculateur!BL76*Calculateur!BN76*VLOOKUP('Données projet'!$B$11,Paramètres!$A$1:$I$89,3,0)*0.475*44/12</f>
        <v>2.5409221188768925</v>
      </c>
      <c r="BR76" s="21">
        <f>EXP(-LN(2)/2)*BR75+(1-EXP(-LN(2)/2))/(LN(2)/2)*BL76*BO76*VLOOKUP('Données projet'!$B$11,Paramètres!$A$1:$I$89,3,0)*0.475*44/12</f>
        <v>4.4072722105670495E-6</v>
      </c>
      <c r="BS76" s="22">
        <f t="shared" si="63"/>
        <v>3.1580014863402766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68.048867156932204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7.4</v>
      </c>
      <c r="BY76" s="12">
        <f>IF('Données projet'!$A$114&gt;35,BY75+BX76-CG75,IF(A76&lt;'Données projet'!$A$114,$BV$205^A76,IF(A76='Données projet'!$A$114,'Données projet'!$B$114,BY75+BX76-CG75)))</f>
        <v>296.19999999999993</v>
      </c>
      <c r="BZ76" s="13">
        <f>BY76*VLOOKUP('Données projet'!$B$12,Paramètres!$A$1:$I$89,3,0)*VLOOKUP('Données projet'!$B$12,Paramètres!$A$1:$I$89,5,0)</f>
        <v>249.51887999999997</v>
      </c>
      <c r="CA76" s="13">
        <f t="shared" si="93"/>
        <v>60.482904697997853</v>
      </c>
      <c r="CB76" s="20">
        <f t="shared" si="64"/>
        <v>539.91977501567953</v>
      </c>
      <c r="CC76" s="59">
        <f t="shared" si="65"/>
        <v>826.09895459109771</v>
      </c>
      <c r="CD76" s="59">
        <f ca="1">AVERAGE(OFFSET($CC$3,0,0,'Données projet'!$E$12+1,1))-AVERAGE(OFFSET($H$3,0,0,'Données projet'!$E$12+1,1))</f>
        <v>449.94334483948603</v>
      </c>
      <c r="CE76" s="59">
        <f t="shared" si="94"/>
        <v>318.02929110264176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0.95694086134261946</v>
      </c>
      <c r="CL76" s="21">
        <f>EXP(-LN(2)/25)*CL75+(1-EXP(-LN(2)/25))/(LN(2)/25)*Calculateur!CG76*Calculateur!CI76*VLOOKUP('Données projet'!$B$12,Paramètres!$A$1:$I$89,3,0)*0.475*44/12</f>
        <v>3.18868612373574</v>
      </c>
      <c r="CM76" s="21">
        <f>EXP(-LN(2)/2)*CM75+(1-EXP(-LN(2)/2))/(LN(2)/2)*CG76*CJ76*VLOOKUP('Données projet'!$B$12,Paramètres!$A$1:$I$89,3,0)*0.475*44/12</f>
        <v>6.7660526725265984E-6</v>
      </c>
      <c r="CN76" s="22">
        <f t="shared" si="66"/>
        <v>4.1456337511310322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68.048867156932204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9.1</v>
      </c>
      <c r="CT76" s="12">
        <f>IF('Données projet'!$A$140&gt;35,CT75+CS76-DB75,IF(A76&lt;'Données projet'!$A$140,$CQ$205^A76,IF(A76='Données projet'!$A$140,'Données projet'!$B$140,CT75+CS76-DB75)))</f>
        <v>315.29999999999995</v>
      </c>
      <c r="CU76" s="17">
        <f>CT76*VLOOKUP('Données projet'!$B$13,Paramètres!$A$1:$I$89,3,0)*VLOOKUP('Données projet'!$B$13,Paramètres!$A$1:$I$89,5,0)</f>
        <v>270.5274</v>
      </c>
      <c r="CV76" s="13">
        <f t="shared" si="95"/>
        <v>64.961184163385113</v>
      </c>
      <c r="CW76" s="20">
        <f t="shared" si="67"/>
        <v>584.30928408456236</v>
      </c>
      <c r="CX76" s="59">
        <f t="shared" si="68"/>
        <v>870.48846365998043</v>
      </c>
      <c r="CY76" s="59">
        <f ca="1">AVERAGE(OFFSET($CX$3,0,0,'Données projet'!$E$13+1,1))-AVERAGE(OFFSET($H$3,0,0,'Données projet'!$E$13+1,1))</f>
        <v>565.32667500225568</v>
      </c>
      <c r="CZ76" s="59">
        <f t="shared" si="96"/>
        <v>275.06957234480944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0</v>
      </c>
      <c r="DG76" s="21">
        <f>EXP(-LN(2)/25)*DG75+(1-EXP(-LN(2)/25))/(LN(2)/25)*Calculateur!DB76*Calculateur!DD76*VLOOKUP('Données projet'!$B$13,Paramètres!$A$1:$I$89,3,0)*0.475*44/12</f>
        <v>1.3299440480084304</v>
      </c>
      <c r="DH76" s="21">
        <f>EXP(-LN(2)/2)*DH75+(1-EXP(-LN(2)/2))/(LN(2)/2)*DB76*DE76*VLOOKUP('Données projet'!$B$13,Paramètres!$A$1:$I$89,3,0)*0.475*44/12</f>
        <v>2.3883871573056232E-6</v>
      </c>
      <c r="DI76" s="22">
        <f t="shared" si="69"/>
        <v>1.3299464363955877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68.048867156932204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12.9</v>
      </c>
      <c r="DO76" s="12">
        <f>IF('Données projet'!$A$166&gt;35,DO75+DN76-DW75,IF(A76&lt;'Données projet'!$A$166,$DL$205^A76,IF(A76='Données projet'!$A$166,'Données projet'!$B$166,DO75+DN76-DW75)))</f>
        <v>699.69999999999891</v>
      </c>
      <c r="DP76" s="17">
        <f>DO76*VLOOKUP('Données projet'!$B$14,Paramètres!$A$1:$I$89,3,0)*VLOOKUP('Données projet'!$B$14,Paramètres!$A$1:$I$89,5,0)</f>
        <v>391.13229999999942</v>
      </c>
      <c r="DQ76" s="13">
        <f t="shared" si="97"/>
        <v>89.976536171230705</v>
      </c>
      <c r="DR76" s="20">
        <f t="shared" si="70"/>
        <v>837.93122299822573</v>
      </c>
      <c r="DS76" s="59">
        <f t="shared" si="71"/>
        <v>1124.1104025736438</v>
      </c>
      <c r="DT76" s="59">
        <f ca="1">AVERAGE(OFFSET($DS$3,0,0,'Données projet'!$E$14+1,1))-AVERAGE(OFFSET($H$3,0,0,'Données projet'!$E$14+1,1))</f>
        <v>532.64469322244281</v>
      </c>
      <c r="DU76" s="59">
        <f t="shared" si="98"/>
        <v>525.88014011096413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4.873309942022602</v>
      </c>
      <c r="EB76" s="21">
        <f>EXP(-LN(2)/25)*EB75+(1-EXP(-LN(2)/25))/(LN(2)/25)*Calculateur!DW76*Calculateur!DY76*VLOOKUP('Données projet'!$B$14,Paramètres!$A$1:$I$89,3,0)*0.475*44/12</f>
        <v>11.765369367939996</v>
      </c>
      <c r="EC76" s="21">
        <f>EXP(-LN(2)/2)*EC75+(1-EXP(-LN(2)/2))/(LN(2)/2)*DW76*DZ76*VLOOKUP('Données projet'!$B$14,Paramètres!$A$1:$I$89,3,0)*0.475*44/12</f>
        <v>1.2297402238771262E-5</v>
      </c>
      <c r="ED76" s="22">
        <f t="shared" si="72"/>
        <v>16.638691607364837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68.048867156932204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6.1</v>
      </c>
      <c r="EJ76" s="12">
        <f>IF('Données projet'!$A$192&gt;35,EJ75+EI76-ER75,IF(A76&lt;'Données projet'!$A$192,$EG$205^A76,IF(A76='Données projet'!$A$192,'Données projet'!$B$192,EJ75+EI76-ER75)))</f>
        <v>239.30000000000018</v>
      </c>
      <c r="EK76" s="17">
        <f>EJ76*VLOOKUP('Données projet'!$B$15,Paramètres!$A$1:$I$89,3,0)*VLOOKUP('Données projet'!$B$15,Paramètres!$A$1:$I$89,5,0)</f>
        <v>216.51864000000015</v>
      </c>
      <c r="EL76" s="13">
        <f t="shared" si="99"/>
        <v>53.357528323079173</v>
      </c>
      <c r="EM76" s="20">
        <f t="shared" si="73"/>
        <v>470.03432649602973</v>
      </c>
      <c r="EN76" s="59">
        <f t="shared" si="74"/>
        <v>756.21350607144791</v>
      </c>
      <c r="EO76" s="59">
        <f ca="1">AVERAGE(OFFSET($EN$3,0,0,'Données projet'!$E$15+1,1))-AVERAGE(OFFSET($H$3,0,0,'Données projet'!$E$15+1,1))</f>
        <v>398.27843768730202</v>
      </c>
      <c r="EP76" s="59">
        <f t="shared" si="100"/>
        <v>252.3617347568813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0</v>
      </c>
      <c r="EW76" s="21">
        <f>EXP(-LN(2)/25)*EW75+(1-EXP(-LN(2)/25))/(LN(2)/25)*Calculateur!ER76*Calculateur!ET76*VLOOKUP('Données projet'!$B$15,Paramètres!$A$1:$I$89,3,0)*0.475*44/12</f>
        <v>0.94280356007113753</v>
      </c>
      <c r="EX76" s="21">
        <f>EXP(-LN(2)/2)*EX75+(1-EXP(-LN(2)/2))/(LN(2)/2)*ER76*EU76*VLOOKUP('Données projet'!$B$15,Paramètres!$A$1:$I$89,3,0)*0.475*44/12</f>
        <v>2.0868920512145754E-6</v>
      </c>
      <c r="EY76" s="22">
        <f t="shared" si="75"/>
        <v>0.94280564696318869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68.048867156932204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6.1</v>
      </c>
      <c r="FE76" s="12">
        <f>IF('Données projet'!$A$218&gt;35,FE75+FD76-FM75,IF(A76&lt;'Données projet'!$A$218,$FB$205^A76,IF(A76='Données projet'!$A$218,'Données projet'!$B$218,FE75+FD76-FM75)))</f>
        <v>239.30000000000018</v>
      </c>
      <c r="FF76" s="17">
        <f>FE76*VLOOKUP('Données projet'!$B$16,Paramètres!$A$1:$I$89,3,0)*VLOOKUP('Données projet'!$B$16,Paramètres!$A$1:$I$89,5,0)</f>
        <v>231.45096000000015</v>
      </c>
      <c r="FG76" s="13">
        <f t="shared" si="101"/>
        <v>56.596298087727369</v>
      </c>
      <c r="FH76" s="20">
        <f t="shared" si="76"/>
        <v>501.6823078361254</v>
      </c>
      <c r="FI76" s="59">
        <f t="shared" si="77"/>
        <v>787.86148741154352</v>
      </c>
      <c r="FJ76" s="59">
        <f ca="1">AVERAGE(OFFSET($FI$3,0,0,'Données projet'!$E$16+1,1))-AVERAGE(OFFSET($H$3,0,0,'Données projet'!$E$16+1,1))</f>
        <v>422.28024471365825</v>
      </c>
      <c r="FK76" s="59">
        <f t="shared" si="102"/>
        <v>266.49730479813206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0</v>
      </c>
      <c r="FR76" s="21">
        <f>EXP(-LN(2)/25)*FR75+(1-EXP(-LN(2)/25))/(LN(2)/25)*Calculateur!FM76*Calculateur!FO76*VLOOKUP('Données projet'!$B$16,Paramètres!$A$1:$I$89,3,0)*0.475*44/12</f>
        <v>1.0078244952484574</v>
      </c>
      <c r="FS76" s="21">
        <f>EXP(-LN(2)/2)*FS75+(1-EXP(-LN(2)/2))/(LN(2)/2)*FM76*FP76*VLOOKUP('Données projet'!$B$16,Paramètres!$A$1:$I$89,3,0)*0.475*44/12</f>
        <v>2.2308156409535112E-6</v>
      </c>
      <c r="FT76" s="22">
        <f t="shared" si="78"/>
        <v>1.0078267260640983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68.048867156932204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5.6</v>
      </c>
      <c r="FZ76" s="12">
        <f>IF('Données projet'!$A$244&gt;35,FZ75+FY76-GH75,IF(A76&lt;'Données projet'!$A$244,$FW$205^A76,IF(A76='Données projet'!$A$244,'Données projet'!$B$244,FZ75+FY76-GH75)))</f>
        <v>294.8000000000003</v>
      </c>
      <c r="GA76" s="17">
        <f>FZ76*VLOOKUP('Données projet'!$B$17,Paramètres!$A$1:$I$89,3,0)*VLOOKUP('Données projet'!$B$17,Paramètres!$A$1:$I$89,5,0)</f>
        <v>229.94400000000024</v>
      </c>
      <c r="GB76" s="13">
        <f t="shared" si="103"/>
        <v>56.270572850262468</v>
      </c>
      <c r="GC76" s="20">
        <f t="shared" si="79"/>
        <v>498.49038104754089</v>
      </c>
      <c r="GD76" s="59">
        <f t="shared" si="80"/>
        <v>784.66956062295901</v>
      </c>
      <c r="GE76" s="59">
        <f ca="1">AVERAGE(OFFSET($GD$3,0,0,'Données projet'!$E$17+1,1))-AVERAGE(OFFSET($H$3,0,0,'Données projet'!$E$17+1,1))</f>
        <v>300.95722646933314</v>
      </c>
      <c r="GF76" s="59">
        <f t="shared" si="104"/>
        <v>269.52365224623759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>
        <f>EXP(-LN(2)/35)*GL75+(1-EXP(-LN(2)/35))/(LN(2)/35)*GH76*GI76*VLOOKUP('Données projet'!$B$17,Paramètres!$A$1:$I$89,3,0)*0.475*44/12</f>
        <v>0.37973843704072208</v>
      </c>
      <c r="GM76" s="21">
        <f>EXP(-LN(2)/25)*GM75+(1-EXP(-LN(2)/25))/(LN(2)/25)*Calculateur!GH76*Calculateur!GJ76*VLOOKUP('Données projet'!$B$17,Paramètres!$A$1:$I$89,3,0)*0.475*44/12</f>
        <v>1.8938865209097415</v>
      </c>
      <c r="GN76" s="21">
        <f>EXP(-LN(2)/2)*GN75+(1-EXP(-LN(2)/2))/(LN(2)/2)*GH76*GK76*VLOOKUP('Données projet'!$B$17,Paramètres!$A$1:$I$89,3,0)*0.475*44/12</f>
        <v>2.9870191813197545E-6</v>
      </c>
      <c r="GO76" s="21">
        <f t="shared" si="81"/>
        <v>2.273627944969645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68.048867156932204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1.4000000000000001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5.1333333333333337</v>
      </c>
      <c r="H77" s="67">
        <f t="shared" si="56"/>
        <v>236.13333333333335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68.082714949679882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7.4</v>
      </c>
      <c r="N77" s="13">
        <f>IF('Données projet'!$A$36&gt;35,N76+M77-V76,IF(A77&lt;'Données projet'!$A$36,$K$205^A77,IF(A77='Données projet'!$A$36,'Données projet'!$B$36,N76+M77-V76)))</f>
        <v>303.59999999999991</v>
      </c>
      <c r="O77" s="13">
        <f>N77*VLOOKUP('Données projet'!$B$9,Paramètres!$A$1:$I$89,3,0)*VLOOKUP('Données projet'!$B$9,Paramètres!$A$1:$I$89,5,0)</f>
        <v>274.69727999999992</v>
      </c>
      <c r="P77" s="13">
        <f t="shared" si="87"/>
        <v>65.845147763387502</v>
      </c>
      <c r="Q77" s="20">
        <f t="shared" si="54"/>
        <v>593.11139502123308</v>
      </c>
      <c r="R77" s="59">
        <f t="shared" si="55"/>
        <v>879.41468317005933</v>
      </c>
      <c r="S77" s="59">
        <f ca="1">AVERAGE(OFFSET($R$3,0,0,'Données projet'!$E$9+1,1))-AVERAGE(OFFSET($H$3,0,0,'Données projet'!$E$9+1,1))</f>
        <v>479.46542424895119</v>
      </c>
      <c r="T77" s="59">
        <f t="shared" si="88"/>
        <v>337.96395820277337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1.0076703410041297</v>
      </c>
      <c r="AA77" s="21">
        <f>EXP(-LN(2)/25)*AA76+(1-EXP(-LN(2)/25))/(LN(2)/25)*Calculateur!V77*Calculateur!X77*VLOOKUP('Données projet'!$B$9,Paramètres!$A$1:$I$89,3,0)*0.475*44/12</f>
        <v>3.3312314328110224</v>
      </c>
      <c r="AB77" s="21">
        <f>EXP(-LN(2)/2)*AB76+(1-EXP(-LN(2)/2))/(LN(2)/2)*V77*Y77*VLOOKUP('Données projet'!$B$9,Paramètres!$A$1:$I$89,3,0)*0.475*44/12</f>
        <v>5.1387159285799624E-6</v>
      </c>
      <c r="AC77" s="22">
        <f t="shared" si="57"/>
        <v>4.3389069125310806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68.082714949679882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7.4</v>
      </c>
      <c r="AI77" s="13">
        <f>IF('Données projet'!$A$62&gt;35,AI76+AH77-AQ76,IF(A77&lt;'Données projet'!$A$62,$AF$205^A77,IF(A77='Données projet'!$A$62,'Données projet'!$B$62,AI76+AH77-AQ76)))</f>
        <v>303.59999999999991</v>
      </c>
      <c r="AJ77" s="13">
        <f>AI77*VLOOKUP('Données projet'!$B$10,Paramètres!$A$1:$I$89,3,0)*VLOOKUP('Données projet'!$B$10,Paramètres!$A$1:$I$89,5,0)</f>
        <v>293.64191999999991</v>
      </c>
      <c r="AK77" s="13">
        <f t="shared" si="89"/>
        <v>69.841908491013143</v>
      </c>
      <c r="AL77" s="20">
        <f t="shared" si="58"/>
        <v>633.06766795518104</v>
      </c>
      <c r="AM77" s="59">
        <f t="shared" si="59"/>
        <v>919.37095610400729</v>
      </c>
      <c r="AN77" s="59">
        <f ca="1">AVERAGE(OFFSET($AM$3,0,0,'Données projet'!$E$10+1,1))-AVERAGE(OFFSET($H$3,0,0,'Données projet'!$E$10+1,1))</f>
        <v>508.94560627895089</v>
      </c>
      <c r="AO77" s="59">
        <f t="shared" si="90"/>
        <v>357.86868650263034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1.0771648472802771</v>
      </c>
      <c r="AV77" s="21">
        <f>EXP(-LN(2)/25)*AV76+(1-EXP(-LN(2)/25))/(LN(2)/25)*Calculateur!AQ77*Calculateur!AS77*VLOOKUP('Données projet'!$B$10,Paramètres!$A$1:$I$89,3,0)*0.475*44/12</f>
        <v>3.5609715316255768</v>
      </c>
      <c r="AW77" s="21">
        <f>EXP(-LN(2)/2)*AW76+(1-EXP(-LN(2)/2))/(LN(2)/2)*AQ77*AT77*VLOOKUP('Données projet'!$B$10,Paramètres!$A$1:$I$89,3,0)*0.475*44/12</f>
        <v>5.4931101305509772E-6</v>
      </c>
      <c r="AX77" s="21">
        <f t="shared" si="60"/>
        <v>4.6381418720159839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68.082714949679882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8.5</v>
      </c>
      <c r="BD77" s="12">
        <f>IF('Données projet'!$A$88&gt;35,BD76+BC77-BL76,IF(A77&lt;'Données projet'!$A$88,$BA$205^A77,IF(A77='Données projet'!$A$88,'Données projet'!$B$88,BD76+BC77-BL76)))</f>
        <v>329.00000000000017</v>
      </c>
      <c r="BE77" s="13">
        <f>BD77*VLOOKUP('Données projet'!$B$11,Paramètres!$A$1:$I$89,3,0)*VLOOKUP('Données projet'!$B$11,Paramètres!$A$1:$I$89,5,0)</f>
        <v>256.62000000000012</v>
      </c>
      <c r="BF77" s="13">
        <f t="shared" si="91"/>
        <v>62.001350774926571</v>
      </c>
      <c r="BG77" s="20">
        <f t="shared" si="61"/>
        <v>554.9321859329973</v>
      </c>
      <c r="BH77" s="59">
        <f t="shared" si="62"/>
        <v>841.23547408182344</v>
      </c>
      <c r="BI77" s="59">
        <f ca="1">AVERAGE(OFFSET($BH$3,0,0,'Données projet'!$E$11+1,1))-AVERAGE(OFFSET($H$3,0,0,'Données projet'!$E$11+1,1))</f>
        <v>383.03154033422328</v>
      </c>
      <c r="BJ77" s="59">
        <f t="shared" si="92"/>
        <v>373.27897156169877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0.60497449660038594</v>
      </c>
      <c r="BQ77" s="21">
        <f>EXP(-LN(2)/25)*BQ76+(1-EXP(-LN(2)/25))/(LN(2)/25)*Calculateur!BL77*Calculateur!BN77*VLOOKUP('Données projet'!$B$11,Paramètres!$A$1:$I$89,3,0)*0.475*44/12</f>
        <v>2.4714404699149171</v>
      </c>
      <c r="BR77" s="21">
        <f>EXP(-LN(2)/2)*BR76+(1-EXP(-LN(2)/2))/(LN(2)/2)*BL77*BO77*VLOOKUP('Données projet'!$B$11,Paramètres!$A$1:$I$89,3,0)*0.475*44/12</f>
        <v>3.1164120666269864E-6</v>
      </c>
      <c r="BS77" s="22">
        <f t="shared" si="63"/>
        <v>3.0764180829273697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68.082714949679882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7.4</v>
      </c>
      <c r="BY77" s="12">
        <f>IF('Données projet'!$A$114&gt;35,BY76+BX77-CG76,IF(A77&lt;'Données projet'!$A$114,$BV$205^A77,IF(A77='Données projet'!$A$114,'Données projet'!$B$114,BY76+BX77-CG76)))</f>
        <v>303.59999999999991</v>
      </c>
      <c r="BZ77" s="13">
        <f>BY77*VLOOKUP('Données projet'!$B$12,Paramètres!$A$1:$I$89,3,0)*VLOOKUP('Données projet'!$B$12,Paramètres!$A$1:$I$89,5,0)</f>
        <v>255.75263999999996</v>
      </c>
      <c r="CA77" s="13">
        <f t="shared" si="93"/>
        <v>61.816146384369418</v>
      </c>
      <c r="CB77" s="20">
        <f t="shared" si="64"/>
        <v>553.09896961944332</v>
      </c>
      <c r="CC77" s="59">
        <f t="shared" si="65"/>
        <v>839.40225776826946</v>
      </c>
      <c r="CD77" s="59">
        <f ca="1">AVERAGE(OFFSET($CC$3,0,0,'Données projet'!$E$12+1,1))-AVERAGE(OFFSET($H$3,0,0,'Données projet'!$E$12+1,1))</f>
        <v>449.94334483948603</v>
      </c>
      <c r="CE77" s="59">
        <f t="shared" si="94"/>
        <v>318.02929110264176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0.93817583472798283</v>
      </c>
      <c r="CL77" s="21">
        <f>EXP(-LN(2)/25)*CL76+(1-EXP(-LN(2)/25))/(LN(2)/25)*Calculateur!CG77*Calculateur!CI77*VLOOKUP('Données projet'!$B$12,Paramètres!$A$1:$I$89,3,0)*0.475*44/12</f>
        <v>3.1014913339964707</v>
      </c>
      <c r="CM77" s="21">
        <f>EXP(-LN(2)/2)*CM76+(1-EXP(-LN(2)/2))/(LN(2)/2)*CG77*CJ77*VLOOKUP('Données projet'!$B$12,Paramètres!$A$1:$I$89,3,0)*0.475*44/12</f>
        <v>4.7843217266089205E-6</v>
      </c>
      <c r="CN77" s="22">
        <f t="shared" si="66"/>
        <v>4.03967195304618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68.082714949679882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9.1</v>
      </c>
      <c r="CT77" s="12">
        <f>IF('Données projet'!$A$140&gt;35,CT76+CS77-DB76,IF(A77&lt;'Données projet'!$A$140,$CQ$205^A77,IF(A77='Données projet'!$A$140,'Données projet'!$B$140,CT76+CS77-DB76)))</f>
        <v>324.39999999999998</v>
      </c>
      <c r="CU77" s="17">
        <f>CT77*VLOOKUP('Données projet'!$B$13,Paramètres!$A$1:$I$89,3,0)*VLOOKUP('Données projet'!$B$13,Paramètres!$A$1:$I$89,5,0)</f>
        <v>278.33520000000004</v>
      </c>
      <c r="CV77" s="13">
        <f t="shared" si="95"/>
        <v>66.61506676952348</v>
      </c>
      <c r="CW77" s="20">
        <f t="shared" si="67"/>
        <v>600.78838129025337</v>
      </c>
      <c r="CX77" s="59">
        <f t="shared" si="68"/>
        <v>887.09166943907962</v>
      </c>
      <c r="CY77" s="59">
        <f ca="1">AVERAGE(OFFSET($CX$3,0,0,'Données projet'!$E$13+1,1))-AVERAGE(OFFSET($H$3,0,0,'Données projet'!$E$13+1,1))</f>
        <v>565.32667500225568</v>
      </c>
      <c r="CZ77" s="59">
        <f t="shared" si="96"/>
        <v>275.06957234480944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0</v>
      </c>
      <c r="DG77" s="21">
        <f>EXP(-LN(2)/25)*DG76+(1-EXP(-LN(2)/25))/(LN(2)/25)*Calculateur!DB77*Calculateur!DD77*VLOOKUP('Données projet'!$B$13,Paramètres!$A$1:$I$89,3,0)*0.475*44/12</f>
        <v>1.2935766580769219</v>
      </c>
      <c r="DH77" s="21">
        <f>EXP(-LN(2)/2)*DH76+(1-EXP(-LN(2)/2))/(LN(2)/2)*DB77*DE77*VLOOKUP('Données projet'!$B$13,Paramètres!$A$1:$I$89,3,0)*0.475*44/12</f>
        <v>1.6888447550296676E-6</v>
      </c>
      <c r="DI77" s="22">
        <f t="shared" si="69"/>
        <v>1.2935783469216768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68.082714949679882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12.9</v>
      </c>
      <c r="DO77" s="12">
        <f>IF('Données projet'!$A$166&gt;35,DO76+DN77-DW76,IF(A77&lt;'Données projet'!$A$166,$DL$205^A77,IF(A77='Données projet'!$A$166,'Données projet'!$B$166,DO76+DN77-DW76)))</f>
        <v>712.59999999999889</v>
      </c>
      <c r="DP77" s="17">
        <f>DO77*VLOOKUP('Données projet'!$B$14,Paramètres!$A$1:$I$89,3,0)*VLOOKUP('Données projet'!$B$14,Paramètres!$A$1:$I$89,5,0)</f>
        <v>398.34339999999935</v>
      </c>
      <c r="DQ77" s="13">
        <f t="shared" si="97"/>
        <v>91.440733917504517</v>
      </c>
      <c r="DR77" s="20">
        <f t="shared" si="70"/>
        <v>853.04069990631922</v>
      </c>
      <c r="DS77" s="59">
        <f t="shared" si="71"/>
        <v>1139.3439880551455</v>
      </c>
      <c r="DT77" s="59">
        <f ca="1">AVERAGE(OFFSET($DS$3,0,0,'Données projet'!$E$14+1,1))-AVERAGE(OFFSET($H$3,0,0,'Données projet'!$E$14+1,1))</f>
        <v>532.64469322244281</v>
      </c>
      <c r="DU77" s="59">
        <f t="shared" si="98"/>
        <v>525.88014011096413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4.777747306485101</v>
      </c>
      <c r="EB77" s="21">
        <f>EXP(-LN(2)/25)*EB76+(1-EXP(-LN(2)/25))/(LN(2)/25)*Calculateur!DW77*Calculateur!DY77*VLOOKUP('Données projet'!$B$14,Paramètres!$A$1:$I$89,3,0)*0.475*44/12</f>
        <v>11.443644723859792</v>
      </c>
      <c r="EC77" s="21">
        <f>EXP(-LN(2)/2)*EC76+(1-EXP(-LN(2)/2))/(LN(2)/2)*DW77*DZ77*VLOOKUP('Données projet'!$B$14,Paramètres!$A$1:$I$89,3,0)*0.475*44/12</f>
        <v>8.6955765140137901E-6</v>
      </c>
      <c r="ED77" s="22">
        <f t="shared" si="72"/>
        <v>16.221400725921409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68.082714949679882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6.1</v>
      </c>
      <c r="EJ77" s="12">
        <f>IF('Données projet'!$A$192&gt;35,EJ76+EI77-ER76,IF(A77&lt;'Données projet'!$A$192,$EG$205^A77,IF(A77='Données projet'!$A$192,'Données projet'!$B$192,EJ76+EI77-ER76)))</f>
        <v>245.40000000000018</v>
      </c>
      <c r="EK77" s="17">
        <f>EJ77*VLOOKUP('Données projet'!$B$15,Paramètres!$A$1:$I$89,3,0)*VLOOKUP('Données projet'!$B$15,Paramètres!$A$1:$I$89,5,0)</f>
        <v>222.03792000000013</v>
      </c>
      <c r="EL77" s="13">
        <f t="shared" si="99"/>
        <v>54.5575795882731</v>
      </c>
      <c r="EM77" s="20">
        <f t="shared" si="73"/>
        <v>481.7371617829092</v>
      </c>
      <c r="EN77" s="59">
        <f t="shared" si="74"/>
        <v>768.04044993173534</v>
      </c>
      <c r="EO77" s="59">
        <f ca="1">AVERAGE(OFFSET($EN$3,0,0,'Données projet'!$E$15+1,1))-AVERAGE(OFFSET($H$3,0,0,'Données projet'!$E$15+1,1))</f>
        <v>398.27843768730202</v>
      </c>
      <c r="EP77" s="59">
        <f t="shared" si="100"/>
        <v>252.3617347568813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0</v>
      </c>
      <c r="EW77" s="21">
        <f>EXP(-LN(2)/25)*EW76+(1-EXP(-LN(2)/25))/(LN(2)/25)*Calculateur!ER77*Calculateur!ET77*VLOOKUP('Données projet'!$B$15,Paramètres!$A$1:$I$89,3,0)*0.475*44/12</f>
        <v>0.91702254714110787</v>
      </c>
      <c r="EX77" s="21">
        <f>EXP(-LN(2)/2)*EX76+(1-EXP(-LN(2)/2))/(LN(2)/2)*ER77*EU77*VLOOKUP('Données projet'!$B$15,Paramètres!$A$1:$I$89,3,0)*0.475*44/12</f>
        <v>1.4756555210181301E-6</v>
      </c>
      <c r="EY77" s="22">
        <f t="shared" si="75"/>
        <v>0.91702402279662887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68.082714949679882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6.1</v>
      </c>
      <c r="FE77" s="12">
        <f>IF('Données projet'!$A$218&gt;35,FE76+FD77-FM76,IF(A77&lt;'Données projet'!$A$218,$FB$205^A77,IF(A77='Données projet'!$A$218,'Données projet'!$B$218,FE76+FD77-FM76)))</f>
        <v>245.40000000000018</v>
      </c>
      <c r="FF77" s="17">
        <f>FE77*VLOOKUP('Données projet'!$B$16,Paramètres!$A$1:$I$89,3,0)*VLOOKUP('Données projet'!$B$16,Paramètres!$A$1:$I$89,5,0)</f>
        <v>237.35088000000019</v>
      </c>
      <c r="FG77" s="13">
        <f t="shared" si="101"/>
        <v>57.869191740413591</v>
      </c>
      <c r="FH77" s="20">
        <f t="shared" si="76"/>
        <v>514.17495828122071</v>
      </c>
      <c r="FI77" s="59">
        <f t="shared" si="77"/>
        <v>800.47824643004697</v>
      </c>
      <c r="FJ77" s="59">
        <f ca="1">AVERAGE(OFFSET($FI$3,0,0,'Données projet'!$E$16+1,1))-AVERAGE(OFFSET($H$3,0,0,'Données projet'!$E$16+1,1))</f>
        <v>422.28024471365825</v>
      </c>
      <c r="FK77" s="59">
        <f t="shared" si="102"/>
        <v>266.49730479813206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0</v>
      </c>
      <c r="FR77" s="21">
        <f>EXP(-LN(2)/25)*FR76+(1-EXP(-LN(2)/25))/(LN(2)/25)*Calculateur!FM77*Calculateur!FO77*VLOOKUP('Données projet'!$B$16,Paramètres!$A$1:$I$89,3,0)*0.475*44/12</f>
        <v>0.98026548142670156</v>
      </c>
      <c r="FS77" s="21">
        <f>EXP(-LN(2)/2)*FS76+(1-EXP(-LN(2)/2))/(LN(2)/2)*FM77*FP77*VLOOKUP('Données projet'!$B$16,Paramètres!$A$1:$I$89,3,0)*0.475*44/12</f>
        <v>1.5774248672952423E-6</v>
      </c>
      <c r="FT77" s="22">
        <f t="shared" si="78"/>
        <v>0.98026705885156884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68.082714949679882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5.6</v>
      </c>
      <c r="FZ77" s="12">
        <f>IF('Données projet'!$A$244&gt;35,FZ76+FY77-GH76,IF(A77&lt;'Données projet'!$A$244,$FW$205^A77,IF(A77='Données projet'!$A$244,'Données projet'!$B$244,FZ76+FY77-GH76)))</f>
        <v>300.40000000000032</v>
      </c>
      <c r="GA77" s="17">
        <f>FZ77*VLOOKUP('Données projet'!$B$17,Paramètres!$A$1:$I$89,3,0)*VLOOKUP('Données projet'!$B$17,Paramètres!$A$1:$I$89,5,0)</f>
        <v>234.31200000000027</v>
      </c>
      <c r="GB77" s="13">
        <f t="shared" si="103"/>
        <v>57.214026458952496</v>
      </c>
      <c r="GC77" s="20">
        <f t="shared" si="79"/>
        <v>507.74116274934266</v>
      </c>
      <c r="GD77" s="59">
        <f t="shared" si="80"/>
        <v>794.04445089816886</v>
      </c>
      <c r="GE77" s="59">
        <f ca="1">AVERAGE(OFFSET($GD$3,0,0,'Données projet'!$E$17+1,1))-AVERAGE(OFFSET($H$3,0,0,'Données projet'!$E$17+1,1))</f>
        <v>300.95722646933314</v>
      </c>
      <c r="GF77" s="59">
        <f t="shared" si="104"/>
        <v>269.52365224623759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>
        <f>EXP(-LN(2)/35)*GL76+(1-EXP(-LN(2)/35))/(LN(2)/35)*GH77*GI77*VLOOKUP('Données projet'!$B$17,Paramètres!$A$1:$I$89,3,0)*0.475*44/12</f>
        <v>0.37229199790792977</v>
      </c>
      <c r="GM77" s="21">
        <f>EXP(-LN(2)/25)*GM76+(1-EXP(-LN(2)/25))/(LN(2)/25)*Calculateur!GH77*Calculateur!GJ77*VLOOKUP('Données projet'!$B$17,Paramètres!$A$1:$I$89,3,0)*0.475*44/12</f>
        <v>1.8420980944003011</v>
      </c>
      <c r="GN77" s="21">
        <f>EXP(-LN(2)/2)*GN76+(1-EXP(-LN(2)/2))/(LN(2)/2)*GH77*GK77*VLOOKUP('Données projet'!$B$17,Paramètres!$A$1:$I$89,3,0)*0.475*44/12</f>
        <v>2.1121415186454879E-6</v>
      </c>
      <c r="GO77" s="21">
        <f t="shared" si="81"/>
        <v>2.2143922044497497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68.082714949679882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1.4000000000000001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5.1333333333333337</v>
      </c>
      <c r="H78" s="67">
        <f t="shared" si="56"/>
        <v>236.13333333333335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68.115975558895713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7.4</v>
      </c>
      <c r="N78" s="13">
        <f>IF('Données projet'!$A$36&gt;35,N77+M78-V77,IF(A78&lt;'Données projet'!$A$36,$K$205^A78,IF(A78='Données projet'!$A$36,'Données projet'!$B$36,N77+M78-V77)))</f>
        <v>310.99999999999989</v>
      </c>
      <c r="O78" s="13">
        <f>N78*VLOOKUP('Données projet'!$B$9,Paramètres!$A$1:$I$89,3,0)*VLOOKUP('Données projet'!$B$9,Paramètres!$A$1:$I$89,5,0)</f>
        <v>281.39279999999985</v>
      </c>
      <c r="P78" s="13">
        <f t="shared" si="87"/>
        <v>67.261262504634658</v>
      </c>
      <c r="Q78" s="20">
        <f t="shared" si="54"/>
        <v>607.23915886223847</v>
      </c>
      <c r="R78" s="59">
        <f t="shared" si="55"/>
        <v>893.66440257818942</v>
      </c>
      <c r="S78" s="59">
        <f ca="1">AVERAGE(OFFSET($R$3,0,0,'Données projet'!$E$9+1,1))-AVERAGE(OFFSET($H$3,0,0,'Données projet'!$E$9+1,1))</f>
        <v>479.46542424895119</v>
      </c>
      <c r="T78" s="59">
        <f t="shared" si="88"/>
        <v>337.96395820277337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0.98791054023525815</v>
      </c>
      <c r="AA78" s="21">
        <f>EXP(-LN(2)/25)*AA77+(1-EXP(-LN(2)/25))/(LN(2)/25)*Calculateur!V78*Calculateur!X78*VLOOKUP('Données projet'!$B$9,Paramètres!$A$1:$I$89,3,0)*0.475*44/12</f>
        <v>3.2401387340989576</v>
      </c>
      <c r="AB78" s="21">
        <f>EXP(-LN(2)/2)*AB77+(1-EXP(-LN(2)/2))/(LN(2)/2)*V78*Y78*VLOOKUP('Données projet'!$B$9,Paramètres!$A$1:$I$89,3,0)*0.475*44/12</f>
        <v>3.6336208796902182E-6</v>
      </c>
      <c r="AC78" s="22">
        <f t="shared" si="57"/>
        <v>4.2280529079550959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68.115975558895713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7.4</v>
      </c>
      <c r="AI78" s="13">
        <f>IF('Données projet'!$A$62&gt;35,AI77+AH78-AQ77,IF(A78&lt;'Données projet'!$A$62,$AF$205^A78,IF(A78='Données projet'!$A$62,'Données projet'!$B$62,AI77+AH78-AQ77)))</f>
        <v>310.99999999999989</v>
      </c>
      <c r="AJ78" s="13">
        <f>AI78*VLOOKUP('Données projet'!$B$10,Paramètres!$A$1:$I$89,3,0)*VLOOKUP('Données projet'!$B$10,Paramètres!$A$1:$I$89,5,0)</f>
        <v>300.79919999999993</v>
      </c>
      <c r="AK78" s="13">
        <f t="shared" si="89"/>
        <v>71.343980542341384</v>
      </c>
      <c r="AL78" s="20">
        <f t="shared" si="58"/>
        <v>648.14937277791114</v>
      </c>
      <c r="AM78" s="59">
        <f t="shared" si="59"/>
        <v>934.5746164938621</v>
      </c>
      <c r="AN78" s="59">
        <f ca="1">AVERAGE(OFFSET($AM$3,0,0,'Données projet'!$E$10+1,1))-AVERAGE(OFFSET($H$3,0,0,'Données projet'!$E$10+1,1))</f>
        <v>508.94560627895089</v>
      </c>
      <c r="AO78" s="59">
        <f t="shared" si="90"/>
        <v>357.86868650263034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1.0560423016307938</v>
      </c>
      <c r="AV78" s="21">
        <f>EXP(-LN(2)/25)*AV77+(1-EXP(-LN(2)/25))/(LN(2)/25)*Calculateur!AQ78*Calculateur!AS78*VLOOKUP('Données projet'!$B$10,Paramètres!$A$1:$I$89,3,0)*0.475*44/12</f>
        <v>3.4635965778299211</v>
      </c>
      <c r="AW78" s="21">
        <f>EXP(-LN(2)/2)*AW77+(1-EXP(-LN(2)/2))/(LN(2)/2)*AQ78*AT78*VLOOKUP('Données projet'!$B$10,Paramètres!$A$1:$I$89,3,0)*0.475*44/12</f>
        <v>3.8842154231171173E-6</v>
      </c>
      <c r="AX78" s="21">
        <f t="shared" si="60"/>
        <v>4.5196427636761376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68.115975558895713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8.5</v>
      </c>
      <c r="BD78" s="12">
        <f>IF('Données projet'!$A$88&gt;35,BD77+BC78-BL77,IF(A78&lt;'Données projet'!$A$88,$BA$205^A78,IF(A78='Données projet'!$A$88,'Données projet'!$B$88,BD77+BC78-BL77)))</f>
        <v>337.50000000000017</v>
      </c>
      <c r="BE78" s="13">
        <f>BD78*VLOOKUP('Données projet'!$B$11,Paramètres!$A$1:$I$89,3,0)*VLOOKUP('Données projet'!$B$11,Paramètres!$A$1:$I$89,5,0)</f>
        <v>263.25000000000011</v>
      </c>
      <c r="BF78" s="13">
        <f t="shared" si="91"/>
        <v>63.414644960489447</v>
      </c>
      <c r="BG78" s="20">
        <f t="shared" si="61"/>
        <v>568.94092330618594</v>
      </c>
      <c r="BH78" s="59">
        <f t="shared" si="62"/>
        <v>855.36616702213689</v>
      </c>
      <c r="BI78" s="59">
        <f ca="1">AVERAGE(OFFSET($BH$3,0,0,'Données projet'!$E$11+1,1))-AVERAGE(OFFSET($H$3,0,0,'Données projet'!$E$11+1,1))</f>
        <v>383.03154033422328</v>
      </c>
      <c r="BJ78" s="59">
        <f t="shared" si="92"/>
        <v>373.27897156169877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0.59311131572005982</v>
      </c>
      <c r="BQ78" s="21">
        <f>EXP(-LN(2)/25)*BQ77+(1-EXP(-LN(2)/25))/(LN(2)/25)*Calculateur!BL78*Calculateur!BN78*VLOOKUP('Données projet'!$B$11,Paramètres!$A$1:$I$89,3,0)*0.475*44/12</f>
        <v>2.4038588002976877</v>
      </c>
      <c r="BR78" s="21">
        <f>EXP(-LN(2)/2)*BR77+(1-EXP(-LN(2)/2))/(LN(2)/2)*BL78*BO78*VLOOKUP('Données projet'!$B$11,Paramètres!$A$1:$I$89,3,0)*0.475*44/12</f>
        <v>2.2036361052835248E-6</v>
      </c>
      <c r="BS78" s="22">
        <f t="shared" si="63"/>
        <v>2.9969723196538527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68.115975558895713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7.4</v>
      </c>
      <c r="BY78" s="12">
        <f>IF('Données projet'!$A$114&gt;35,BY77+BX78-CG77,IF(A78&lt;'Données projet'!$A$114,$BV$205^A78,IF(A78='Données projet'!$A$114,'Données projet'!$B$114,BY77+BX78-CG77)))</f>
        <v>310.99999999999989</v>
      </c>
      <c r="BZ78" s="13">
        <f>BY78*VLOOKUP('Données projet'!$B$12,Paramètres!$A$1:$I$89,3,0)*VLOOKUP('Données projet'!$B$12,Paramètres!$A$1:$I$89,5,0)</f>
        <v>261.98639999999989</v>
      </c>
      <c r="CA78" s="13">
        <f t="shared" si="93"/>
        <v>63.14561042409737</v>
      </c>
      <c r="CB78" s="20">
        <f t="shared" si="64"/>
        <v>566.27158482196944</v>
      </c>
      <c r="CC78" s="59">
        <f t="shared" si="65"/>
        <v>852.6968285379204</v>
      </c>
      <c r="CD78" s="59">
        <f ca="1">AVERAGE(OFFSET($CC$3,0,0,'Données projet'!$E$12+1,1))-AVERAGE(OFFSET($H$3,0,0,'Données projet'!$E$12+1,1))</f>
        <v>449.94334483948603</v>
      </c>
      <c r="CE78" s="59">
        <f t="shared" si="94"/>
        <v>318.02929110264176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0.91977877883972314</v>
      </c>
      <c r="CL78" s="21">
        <f>EXP(-LN(2)/25)*CL77+(1-EXP(-LN(2)/25))/(LN(2)/25)*Calculateur!CG78*Calculateur!CI78*VLOOKUP('Données projet'!$B$12,Paramètres!$A$1:$I$89,3,0)*0.475*44/12</f>
        <v>3.0166808903679967</v>
      </c>
      <c r="CM78" s="21">
        <f>EXP(-LN(2)/2)*CM77+(1-EXP(-LN(2)/2))/(LN(2)/2)*CG78*CJ78*VLOOKUP('Données projet'!$B$12,Paramètres!$A$1:$I$89,3,0)*0.475*44/12</f>
        <v>3.3830263362632992E-6</v>
      </c>
      <c r="CN78" s="22">
        <f t="shared" si="66"/>
        <v>3.936463052234056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68.115975558895713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9.1</v>
      </c>
      <c r="CT78" s="12">
        <f>IF('Données projet'!$A$140&gt;35,CT77+CS78-DB77,IF(A78&lt;'Données projet'!$A$140,$CQ$205^A78,IF(A78='Données projet'!$A$140,'Données projet'!$B$140,CT77+CS78-DB77)))</f>
        <v>333.5</v>
      </c>
      <c r="CU78" s="17">
        <f>CT78*VLOOKUP('Données projet'!$B$13,Paramètres!$A$1:$I$89,3,0)*VLOOKUP('Données projet'!$B$13,Paramètres!$A$1:$I$89,5,0)</f>
        <v>286.14300000000003</v>
      </c>
      <c r="CV78" s="13">
        <f t="shared" si="95"/>
        <v>68.263557131428286</v>
      </c>
      <c r="CW78" s="20">
        <f t="shared" si="67"/>
        <v>617.25808700390428</v>
      </c>
      <c r="CX78" s="59">
        <f t="shared" si="68"/>
        <v>903.68333071985523</v>
      </c>
      <c r="CY78" s="59">
        <f ca="1">AVERAGE(OFFSET($CX$3,0,0,'Données projet'!$E$13+1,1))-AVERAGE(OFFSET($H$3,0,0,'Données projet'!$E$13+1,1))</f>
        <v>565.32667500225568</v>
      </c>
      <c r="CZ78" s="59">
        <f t="shared" si="96"/>
        <v>275.06957234480944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0</v>
      </c>
      <c r="DG78" s="21">
        <f>EXP(-LN(2)/25)*DG77+(1-EXP(-LN(2)/25))/(LN(2)/25)*Calculateur!DB78*Calculateur!DD78*VLOOKUP('Données projet'!$B$13,Paramètres!$A$1:$I$89,3,0)*0.475*44/12</f>
        <v>1.2582037363355685</v>
      </c>
      <c r="DH78" s="21">
        <f>EXP(-LN(2)/2)*DH77+(1-EXP(-LN(2)/2))/(LN(2)/2)*DB78*DE78*VLOOKUP('Données projet'!$B$13,Paramètres!$A$1:$I$89,3,0)*0.475*44/12</f>
        <v>1.1941935786528116E-6</v>
      </c>
      <c r="DI78" s="22">
        <f t="shared" si="69"/>
        <v>1.2582049305291472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68.115975558895713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12.9</v>
      </c>
      <c r="DO78" s="12">
        <f>IF('Données projet'!$A$166&gt;35,DO77+DN78-DW77,IF(A78&lt;'Données projet'!$A$166,$DL$205^A78,IF(A78='Données projet'!$A$166,'Données projet'!$B$166,DO77+DN78-DW77)))</f>
        <v>725.49999999999886</v>
      </c>
      <c r="DP78" s="17">
        <f>DO78*VLOOKUP('Données projet'!$B$14,Paramètres!$A$1:$I$89,3,0)*VLOOKUP('Données projet'!$B$14,Paramètres!$A$1:$I$89,5,0)</f>
        <v>405.55449999999939</v>
      </c>
      <c r="DQ78" s="13">
        <f t="shared" si="97"/>
        <v>92.901849439756845</v>
      </c>
      <c r="DR78" s="20">
        <f t="shared" si="70"/>
        <v>868.14480860757533</v>
      </c>
      <c r="DS78" s="59">
        <f t="shared" si="71"/>
        <v>1154.5700523235264</v>
      </c>
      <c r="DT78" s="59">
        <f ca="1">AVERAGE(OFFSET($DS$3,0,0,'Données projet'!$E$14+1,1))-AVERAGE(OFFSET($H$3,0,0,'Données projet'!$E$14+1,1))</f>
        <v>532.64469322244281</v>
      </c>
      <c r="DU78" s="59">
        <f t="shared" si="98"/>
        <v>525.88014011096413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4.6840585959430383</v>
      </c>
      <c r="EB78" s="21">
        <f>EXP(-LN(2)/25)*EB77+(1-EXP(-LN(2)/25))/(LN(2)/25)*Calculateur!DW78*Calculateur!DY78*VLOOKUP('Données projet'!$B$14,Paramètres!$A$1:$I$89,3,0)*0.475*44/12</f>
        <v>11.130717657090726</v>
      </c>
      <c r="EC78" s="21">
        <f>EXP(-LN(2)/2)*EC77+(1-EXP(-LN(2)/2))/(LN(2)/2)*DW78*DZ78*VLOOKUP('Données projet'!$B$14,Paramètres!$A$1:$I$89,3,0)*0.475*44/12</f>
        <v>6.1487011193856308E-6</v>
      </c>
      <c r="ED78" s="22">
        <f t="shared" si="72"/>
        <v>15.814782401734883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68.115975558895713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6.1</v>
      </c>
      <c r="EJ78" s="12">
        <f>IF('Données projet'!$A$192&gt;35,EJ77+EI78-ER77,IF(A78&lt;'Données projet'!$A$192,$EG$205^A78,IF(A78='Données projet'!$A$192,'Données projet'!$B$192,EJ77+EI78-ER77)))</f>
        <v>251.50000000000017</v>
      </c>
      <c r="EK78" s="17">
        <f>EJ78*VLOOKUP('Données projet'!$B$15,Paramètres!$A$1:$I$89,3,0)*VLOOKUP('Données projet'!$B$15,Paramètres!$A$1:$I$89,5,0)</f>
        <v>227.55720000000014</v>
      </c>
      <c r="EL78" s="13">
        <f t="shared" si="99"/>
        <v>55.754163267932753</v>
      </c>
      <c r="EM78" s="20">
        <f t="shared" si="73"/>
        <v>493.43395769164982</v>
      </c>
      <c r="EN78" s="59">
        <f t="shared" si="74"/>
        <v>779.85920140760072</v>
      </c>
      <c r="EO78" s="59">
        <f ca="1">AVERAGE(OFFSET($EN$3,0,0,'Données projet'!$E$15+1,1))-AVERAGE(OFFSET($H$3,0,0,'Données projet'!$E$15+1,1))</f>
        <v>398.27843768730202</v>
      </c>
      <c r="EP78" s="59">
        <f t="shared" si="100"/>
        <v>252.3617347568813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0</v>
      </c>
      <c r="EW78" s="21">
        <f>EXP(-LN(2)/25)*EW77+(1-EXP(-LN(2)/25))/(LN(2)/25)*Calculateur!ER78*Calculateur!ET78*VLOOKUP('Données projet'!$B$15,Paramètres!$A$1:$I$89,3,0)*0.475*44/12</f>
        <v>0.89194651736541442</v>
      </c>
      <c r="EX78" s="21">
        <f>EXP(-LN(2)/2)*EX77+(1-EXP(-LN(2)/2))/(LN(2)/2)*ER78*EU78*VLOOKUP('Données projet'!$B$15,Paramètres!$A$1:$I$89,3,0)*0.475*44/12</f>
        <v>1.0434460256072877E-6</v>
      </c>
      <c r="EY78" s="22">
        <f t="shared" si="75"/>
        <v>0.89194756081144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68.115975558895713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6.1</v>
      </c>
      <c r="FE78" s="12">
        <f>IF('Données projet'!$A$218&gt;35,FE77+FD78-FM77,IF(A78&lt;'Données projet'!$A$218,$FB$205^A78,IF(A78='Données projet'!$A$218,'Données projet'!$B$218,FE77+FD78-FM77)))</f>
        <v>251.50000000000017</v>
      </c>
      <c r="FF78" s="17">
        <f>FE78*VLOOKUP('Données projet'!$B$16,Paramètres!$A$1:$I$89,3,0)*VLOOKUP('Données projet'!$B$16,Paramètres!$A$1:$I$89,5,0)</f>
        <v>243.25080000000014</v>
      </c>
      <c r="FG78" s="13">
        <f t="shared" si="101"/>
        <v>59.138407327216456</v>
      </c>
      <c r="FH78" s="20">
        <f t="shared" si="76"/>
        <v>526.66120276156892</v>
      </c>
      <c r="FI78" s="59">
        <f t="shared" si="77"/>
        <v>813.08644647751987</v>
      </c>
      <c r="FJ78" s="59">
        <f ca="1">AVERAGE(OFFSET($FI$3,0,0,'Données projet'!$E$16+1,1))-AVERAGE(OFFSET($H$3,0,0,'Données projet'!$E$16+1,1))</f>
        <v>422.28024471365825</v>
      </c>
      <c r="FK78" s="59">
        <f t="shared" si="102"/>
        <v>266.49730479813206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>
        <f>EXP(-LN(2)/35)*FQ77+(1-EXP(-LN(2)/35))/(LN(2)/35)*FM78*FN78*VLOOKUP('Données projet'!$B$16,Paramètres!$A$1:$I$89,3,0)*0.475*44/12</f>
        <v>0</v>
      </c>
      <c r="FR78" s="21">
        <f>EXP(-LN(2)/25)*FR77+(1-EXP(-LN(2)/25))/(LN(2)/25)*Calculateur!FM78*Calculateur!FO78*VLOOKUP('Données projet'!$B$16,Paramètres!$A$1:$I$89,3,0)*0.475*44/12</f>
        <v>0.95346007028716717</v>
      </c>
      <c r="FS78" s="21">
        <f>EXP(-LN(2)/2)*FS77+(1-EXP(-LN(2)/2))/(LN(2)/2)*FM78*FP78*VLOOKUP('Données projet'!$B$16,Paramètres!$A$1:$I$89,3,0)*0.475*44/12</f>
        <v>1.1154078204767556E-6</v>
      </c>
      <c r="FT78" s="22">
        <f t="shared" si="78"/>
        <v>0.95346118569498761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68.115975558895713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>
        <f>VLOOKUP(A78,'Données projet'!$A$243:$I$263,2,0)</f>
        <v>306</v>
      </c>
      <c r="FX78" s="12">
        <f>VLOOKUP(A78,'Données projet'!$A$243:$I$263,9,0)</f>
        <v>5.6</v>
      </c>
      <c r="FY78" s="12">
        <f t="array" ref="FY78">INDEX(FX:FX,MIN(IF(ISNUMBER(FX78:FX274),ROW(FX78:FX274),"")))</f>
        <v>5.6</v>
      </c>
      <c r="FZ78" s="12">
        <f>IF('Données projet'!$A$244&gt;35,FZ77+FY78-GH77,IF(A78&lt;'Données projet'!$A$244,$FW$205^A78,IF(A78='Données projet'!$A$244,'Données projet'!$B$244,FZ77+FY78-GH77)))</f>
        <v>306.00000000000034</v>
      </c>
      <c r="GA78" s="17">
        <f>FZ78*VLOOKUP('Données projet'!$B$17,Paramètres!$A$1:$I$89,3,0)*VLOOKUP('Données projet'!$B$17,Paramètres!$A$1:$I$89,5,0)</f>
        <v>238.68000000000026</v>
      </c>
      <c r="GB78" s="13">
        <f t="shared" si="103"/>
        <v>58.15543495554752</v>
      </c>
      <c r="GC78" s="20">
        <f t="shared" si="79"/>
        <v>516.98838254757902</v>
      </c>
      <c r="GD78" s="59">
        <f t="shared" si="80"/>
        <v>803.41362626352998</v>
      </c>
      <c r="GE78" s="59">
        <f ca="1">AVERAGE(OFFSET($GD$3,0,0,'Données projet'!$E$17+1,1))-AVERAGE(OFFSET($H$3,0,0,'Données projet'!$E$17+1,1))</f>
        <v>300.95722646933314</v>
      </c>
      <c r="GF78" s="59">
        <f t="shared" si="104"/>
        <v>269.52365224623759</v>
      </c>
      <c r="GG78" s="15">
        <f>IF(ISNA(VLOOKUP(A78,'Données projet'!$A$243:$I$263,3,0)),0,VLOOKUP(A78,'Données projet'!$A$243:$I$263,3,0))</f>
        <v>7</v>
      </c>
      <c r="GH78" s="15">
        <f>IF(ISNA(VLOOKUP(A78,'Données projet'!$A$243:$I$263,4,0)),0,VLOOKUP(A78,'Données projet'!$A$243:$I$263,4,0))</f>
        <v>306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>
        <f>EXP(-LN(2)/35)*GL77+(1-EXP(-LN(2)/35))/(LN(2)/35)*GH78*GI78*VLOOKUP('Données projet'!$B$17,Paramètres!$A$1:$I$89,3,0)*0.475*44/12</f>
        <v>0.36499157890465211</v>
      </c>
      <c r="GM78" s="21">
        <f>EXP(-LN(2)/25)*GM77+(1-EXP(-LN(2)/25))/(LN(2)/25)*Calculateur!GH78*Calculateur!GJ78*VLOOKUP('Données projet'!$B$17,Paramètres!$A$1:$I$89,3,0)*0.475*44/12</f>
        <v>1.7917258251371964</v>
      </c>
      <c r="GN78" s="21">
        <f>EXP(-LN(2)/2)*GN77+(1-EXP(-LN(2)/2))/(LN(2)/2)*GH78*GK78*VLOOKUP('Données projet'!$B$17,Paramètres!$A$1:$I$89,3,0)*0.475*44/12</f>
        <v>1.4935095906598772E-6</v>
      </c>
      <c r="GO78" s="21">
        <f t="shared" si="81"/>
        <v>2.1567188975514391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68.115975558895713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1.4000000000000001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5.1333333333333337</v>
      </c>
      <c r="H79" s="67">
        <f t="shared" si="56"/>
        <v>236.13333333333335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68.148659170901226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7.4</v>
      </c>
      <c r="N79" s="13">
        <f>IF('Données projet'!$A$36&gt;35,N78+M79-V78,IF(A79&lt;'Données projet'!$A$36,$K$205^A79,IF(A79='Données projet'!$A$36,'Données projet'!$B$36,N78+M79-V78)))</f>
        <v>318.39999999999986</v>
      </c>
      <c r="O79" s="13">
        <f>N79*VLOOKUP('Données projet'!$B$9,Paramètres!$A$1:$I$89,3,0)*VLOOKUP('Données projet'!$B$9,Paramètres!$A$1:$I$89,5,0)</f>
        <v>288.0883199999999</v>
      </c>
      <c r="P79" s="13">
        <f t="shared" si="87"/>
        <v>68.673460144735557</v>
      </c>
      <c r="Q79" s="20">
        <f t="shared" si="54"/>
        <v>621.36010041874761</v>
      </c>
      <c r="R79" s="59">
        <f t="shared" si="55"/>
        <v>907.90518404538534</v>
      </c>
      <c r="S79" s="59">
        <f ca="1">AVERAGE(OFFSET($R$3,0,0,'Données projet'!$E$9+1,1))-AVERAGE(OFFSET($H$3,0,0,'Données projet'!$E$9+1,1))</f>
        <v>479.46542424895119</v>
      </c>
      <c r="T79" s="59">
        <f t="shared" si="88"/>
        <v>337.96395820277337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0.9685382171071758</v>
      </c>
      <c r="AA79" s="21">
        <f>EXP(-LN(2)/25)*AA78+(1-EXP(-LN(2)/25))/(LN(2)/25)*Calculateur!V79*Calculateur!X79*VLOOKUP('Données projet'!$B$9,Paramètres!$A$1:$I$89,3,0)*0.475*44/12</f>
        <v>3.1515369700235309</v>
      </c>
      <c r="AB79" s="21">
        <f>EXP(-LN(2)/2)*AB78+(1-EXP(-LN(2)/2))/(LN(2)/2)*V79*Y79*VLOOKUP('Données projet'!$B$9,Paramètres!$A$1:$I$89,3,0)*0.475*44/12</f>
        <v>2.5693579642899816E-6</v>
      </c>
      <c r="AC79" s="22">
        <f t="shared" si="57"/>
        <v>4.120077756488671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68.148659170901226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7.4</v>
      </c>
      <c r="AI79" s="13">
        <f>IF('Données projet'!$A$62&gt;35,AI78+AH79-AQ78,IF(A79&lt;'Données projet'!$A$62,$AF$205^A79,IF(A79='Données projet'!$A$62,'Données projet'!$B$62,AI78+AH79-AQ78)))</f>
        <v>318.39999999999986</v>
      </c>
      <c r="AJ79" s="13">
        <f>AI79*VLOOKUP('Données projet'!$B$10,Paramètres!$A$1:$I$89,3,0)*VLOOKUP('Données projet'!$B$10,Paramètres!$A$1:$I$89,5,0)</f>
        <v>307.95647999999989</v>
      </c>
      <c r="AK79" s="13">
        <f t="shared" si="89"/>
        <v>72.841897726847819</v>
      </c>
      <c r="AL79" s="20">
        <f t="shared" si="58"/>
        <v>663.22384120759318</v>
      </c>
      <c r="AM79" s="59">
        <f t="shared" si="59"/>
        <v>949.76892483423103</v>
      </c>
      <c r="AN79" s="59">
        <f ca="1">AVERAGE(OFFSET($AM$3,0,0,'Données projet'!$E$10+1,1))-AVERAGE(OFFSET($H$3,0,0,'Données projet'!$E$10+1,1))</f>
        <v>508.94560627895089</v>
      </c>
      <c r="AO79" s="59">
        <f t="shared" si="90"/>
        <v>357.86868650263034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1.0353339562180162</v>
      </c>
      <c r="AV79" s="21">
        <f>EXP(-LN(2)/25)*AV78+(1-EXP(-LN(2)/25))/(LN(2)/25)*Calculateur!AQ79*Calculateur!AS79*VLOOKUP('Données projet'!$B$10,Paramètres!$A$1:$I$89,3,0)*0.475*44/12</f>
        <v>3.3688843472665342</v>
      </c>
      <c r="AW79" s="21">
        <f>EXP(-LN(2)/2)*AW78+(1-EXP(-LN(2)/2))/(LN(2)/2)*AQ79*AT79*VLOOKUP('Données projet'!$B$10,Paramètres!$A$1:$I$89,3,0)*0.475*44/12</f>
        <v>2.7465550652754886E-6</v>
      </c>
      <c r="AX79" s="21">
        <f t="shared" si="60"/>
        <v>4.4042210500396157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68.148659170901226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8.5</v>
      </c>
      <c r="BD79" s="12">
        <f>IF('Données projet'!$A$88&gt;35,BD78+BC79-BL78,IF(A79&lt;'Données projet'!$A$88,$BA$205^A79,IF(A79='Données projet'!$A$88,'Données projet'!$B$88,BD78+BC79-BL78)))</f>
        <v>346.00000000000017</v>
      </c>
      <c r="BE79" s="13">
        <f>BD79*VLOOKUP('Données projet'!$B$11,Paramètres!$A$1:$I$89,3,0)*VLOOKUP('Données projet'!$B$11,Paramètres!$A$1:$I$89,5,0)</f>
        <v>269.88000000000017</v>
      </c>
      <c r="BF79" s="13">
        <f t="shared" si="91"/>
        <v>64.823801600385877</v>
      </c>
      <c r="BG79" s="20">
        <f t="shared" si="61"/>
        <v>582.94245445400566</v>
      </c>
      <c r="BH79" s="59">
        <f t="shared" si="62"/>
        <v>869.48753808064339</v>
      </c>
      <c r="BI79" s="59">
        <f ca="1">AVERAGE(OFFSET($BH$3,0,0,'Données projet'!$E$11+1,1))-AVERAGE(OFFSET($H$3,0,0,'Données projet'!$E$11+1,1))</f>
        <v>383.03154033422328</v>
      </c>
      <c r="BJ79" s="59">
        <f t="shared" si="92"/>
        <v>373.27897156169877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0.58148076458097098</v>
      </c>
      <c r="BQ79" s="21">
        <f>EXP(-LN(2)/25)*BQ78+(1-EXP(-LN(2)/25))/(LN(2)/25)*Calculateur!BL79*Calculateur!BN79*VLOOKUP('Données projet'!$B$11,Paramètres!$A$1:$I$89,3,0)*0.475*44/12</f>
        <v>2.3381251549901072</v>
      </c>
      <c r="BR79" s="21">
        <f>EXP(-LN(2)/2)*BR78+(1-EXP(-LN(2)/2))/(LN(2)/2)*BL79*BO79*VLOOKUP('Données projet'!$B$11,Paramètres!$A$1:$I$89,3,0)*0.475*44/12</f>
        <v>1.5582060333134932E-6</v>
      </c>
      <c r="BS79" s="22">
        <f t="shared" si="63"/>
        <v>2.9196074777771113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68.148659170901226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7.4</v>
      </c>
      <c r="BY79" s="12">
        <f>IF('Données projet'!$A$114&gt;35,BY78+BX79-CG78,IF(A79&lt;'Données projet'!$A$114,$BV$205^A79,IF(A79='Données projet'!$A$114,'Données projet'!$B$114,BY78+BX79-CG78)))</f>
        <v>318.39999999999986</v>
      </c>
      <c r="BZ79" s="13">
        <f>BY79*VLOOKUP('Données projet'!$B$12,Paramètres!$A$1:$I$89,3,0)*VLOOKUP('Données projet'!$B$12,Paramètres!$A$1:$I$89,5,0)</f>
        <v>268.22015999999991</v>
      </c>
      <c r="CA79" s="13">
        <f t="shared" si="93"/>
        <v>64.471397046337671</v>
      </c>
      <c r="CB79" s="20">
        <f t="shared" si="64"/>
        <v>579.43779518903796</v>
      </c>
      <c r="CC79" s="59">
        <f t="shared" si="65"/>
        <v>865.9828788156758</v>
      </c>
      <c r="CD79" s="59">
        <f ca="1">AVERAGE(OFFSET($CC$3,0,0,'Données projet'!$E$12+1,1))-AVERAGE(OFFSET($H$3,0,0,'Données projet'!$E$12+1,1))</f>
        <v>449.94334483948603</v>
      </c>
      <c r="CE79" s="59">
        <f t="shared" si="94"/>
        <v>318.02929110264176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0.90174247799633611</v>
      </c>
      <c r="CL79" s="21">
        <f>EXP(-LN(2)/25)*CL78+(1-EXP(-LN(2)/25))/(LN(2)/25)*Calculateur!CG79*Calculateur!CI79*VLOOKUP('Données projet'!$B$12,Paramètres!$A$1:$I$89,3,0)*0.475*44/12</f>
        <v>2.9341895927805304</v>
      </c>
      <c r="CM79" s="21">
        <f>EXP(-LN(2)/2)*CM78+(1-EXP(-LN(2)/2))/(LN(2)/2)*CG79*CJ79*VLOOKUP('Données projet'!$B$12,Paramètres!$A$1:$I$89,3,0)*0.475*44/12</f>
        <v>2.3921608633044602E-6</v>
      </c>
      <c r="CN79" s="22">
        <f t="shared" si="66"/>
        <v>3.8359344629377299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68.148659170901226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9.1</v>
      </c>
      <c r="CT79" s="12">
        <f>IF('Données projet'!$A$140&gt;35,CT78+CS79-DB78,IF(A79&lt;'Données projet'!$A$140,$CQ$205^A79,IF(A79='Données projet'!$A$140,'Données projet'!$B$140,CT78+CS79-DB78)))</f>
        <v>342.6</v>
      </c>
      <c r="CU79" s="17">
        <f>CT79*VLOOKUP('Données projet'!$B$13,Paramètres!$A$1:$I$89,3,0)*VLOOKUP('Données projet'!$B$13,Paramètres!$A$1:$I$89,5,0)</f>
        <v>293.95080000000007</v>
      </c>
      <c r="CV79" s="13">
        <f t="shared" si="95"/>
        <v>69.906819290922996</v>
      </c>
      <c r="CW79" s="20">
        <f t="shared" si="67"/>
        <v>633.71868693169097</v>
      </c>
      <c r="CX79" s="59">
        <f t="shared" si="68"/>
        <v>920.26377055832882</v>
      </c>
      <c r="CY79" s="59">
        <f ca="1">AVERAGE(OFFSET($CX$3,0,0,'Données projet'!$E$13+1,1))-AVERAGE(OFFSET($H$3,0,0,'Données projet'!$E$13+1,1))</f>
        <v>565.32667500225568</v>
      </c>
      <c r="CZ79" s="59">
        <f t="shared" si="96"/>
        <v>275.06957234480944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0</v>
      </c>
      <c r="DG79" s="21">
        <f>EXP(-LN(2)/25)*DG78+(1-EXP(-LN(2)/25))/(LN(2)/25)*Calculateur!DB79*Calculateur!DD79*VLOOKUP('Données projet'!$B$13,Paramètres!$A$1:$I$89,3,0)*0.475*44/12</f>
        <v>1.2237980889994136</v>
      </c>
      <c r="DH79" s="21">
        <f>EXP(-LN(2)/2)*DH78+(1-EXP(-LN(2)/2))/(LN(2)/2)*DB79*DE79*VLOOKUP('Données projet'!$B$13,Paramètres!$A$1:$I$89,3,0)*0.475*44/12</f>
        <v>8.4442237751483381E-7</v>
      </c>
      <c r="DI79" s="22">
        <f t="shared" si="69"/>
        <v>1.2237989334217911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68.148659170901226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12.9</v>
      </c>
      <c r="DO79" s="12">
        <f>IF('Données projet'!$A$166&gt;35,DO78+DN79-DW78,IF(A79&lt;'Données projet'!$A$166,$DL$205^A79,IF(A79='Données projet'!$A$166,'Données projet'!$B$166,DO78+DN79-DW78)))</f>
        <v>738.39999999999884</v>
      </c>
      <c r="DP79" s="17">
        <f>DO79*VLOOKUP('Données projet'!$B$14,Paramètres!$A$1:$I$89,3,0)*VLOOKUP('Données projet'!$B$14,Paramètres!$A$1:$I$89,5,0)</f>
        <v>412.76559999999932</v>
      </c>
      <c r="DQ79" s="13">
        <f t="shared" si="97"/>
        <v>94.359943864992076</v>
      </c>
      <c r="DR79" s="20">
        <f t="shared" si="70"/>
        <v>883.24365556486009</v>
      </c>
      <c r="DS79" s="59">
        <f t="shared" si="71"/>
        <v>1169.7887391914978</v>
      </c>
      <c r="DT79" s="59">
        <f ca="1">AVERAGE(OFFSET($DS$3,0,0,'Données projet'!$E$14+1,1))-AVERAGE(OFFSET($H$3,0,0,'Données projet'!$E$14+1,1))</f>
        <v>532.64469322244281</v>
      </c>
      <c r="DU79" s="59">
        <f t="shared" si="98"/>
        <v>525.88014011096413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4.5922070638702346</v>
      </c>
      <c r="EB79" s="21">
        <f>EXP(-LN(2)/25)*EB78+(1-EXP(-LN(2)/25))/(LN(2)/25)*Calculateur!DW79*Calculateur!DY79*VLOOKUP('Données projet'!$B$14,Paramètres!$A$1:$I$89,3,0)*0.475*44/12</f>
        <v>10.826347597418577</v>
      </c>
      <c r="EC79" s="21">
        <f>EXP(-LN(2)/2)*EC78+(1-EXP(-LN(2)/2))/(LN(2)/2)*DW79*DZ79*VLOOKUP('Données projet'!$B$14,Paramètres!$A$1:$I$89,3,0)*0.475*44/12</f>
        <v>4.347788257006895E-6</v>
      </c>
      <c r="ED79" s="22">
        <f t="shared" si="72"/>
        <v>15.41855900907707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68.148659170901226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6.1</v>
      </c>
      <c r="EJ79" s="12">
        <f>IF('Données projet'!$A$192&gt;35,EJ78+EI79-ER78,IF(A79&lt;'Données projet'!$A$192,$EG$205^A79,IF(A79='Données projet'!$A$192,'Données projet'!$B$192,EJ78+EI79-ER78)))</f>
        <v>257.60000000000019</v>
      </c>
      <c r="EK79" s="17">
        <f>EJ79*VLOOKUP('Données projet'!$B$15,Paramètres!$A$1:$I$89,3,0)*VLOOKUP('Données projet'!$B$15,Paramètres!$A$1:$I$89,5,0)</f>
        <v>233.07648000000017</v>
      </c>
      <c r="EL79" s="13">
        <f t="shared" si="99"/>
        <v>56.947373142454929</v>
      </c>
      <c r="EM79" s="20">
        <f t="shared" si="73"/>
        <v>505.12487755644264</v>
      </c>
      <c r="EN79" s="59">
        <f t="shared" si="74"/>
        <v>791.66996118308043</v>
      </c>
      <c r="EO79" s="59">
        <f ca="1">AVERAGE(OFFSET($EN$3,0,0,'Données projet'!$E$15+1,1))-AVERAGE(OFFSET($H$3,0,0,'Données projet'!$E$15+1,1))</f>
        <v>398.27843768730202</v>
      </c>
      <c r="EP79" s="59">
        <f t="shared" si="100"/>
        <v>252.3617347568813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0</v>
      </c>
      <c r="EW79" s="21">
        <f>EXP(-LN(2)/25)*EW78+(1-EXP(-LN(2)/25))/(LN(2)/25)*Calculateur!ER79*Calculateur!ET79*VLOOKUP('Données projet'!$B$15,Paramètres!$A$1:$I$89,3,0)*0.475*44/12</f>
        <v>0.86755619294262842</v>
      </c>
      <c r="EX79" s="21">
        <f>EXP(-LN(2)/2)*EX78+(1-EXP(-LN(2)/2))/(LN(2)/2)*ER79*EU79*VLOOKUP('Données projet'!$B$15,Paramètres!$A$1:$I$89,3,0)*0.475*44/12</f>
        <v>7.3782776050906506E-7</v>
      </c>
      <c r="EY79" s="22">
        <f t="shared" si="75"/>
        <v>0.86755693077038898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68.148659170901226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6.1</v>
      </c>
      <c r="FE79" s="12">
        <f>IF('Données projet'!$A$218&gt;35,FE78+FD79-FM78,IF(A79&lt;'Données projet'!$A$218,$FB$205^A79,IF(A79='Données projet'!$A$218,'Données projet'!$B$218,FE78+FD79-FM78)))</f>
        <v>257.60000000000019</v>
      </c>
      <c r="FF79" s="17">
        <f>FE79*VLOOKUP('Données projet'!$B$16,Paramètres!$A$1:$I$89,3,0)*VLOOKUP('Données projet'!$B$16,Paramètres!$A$1:$I$89,5,0)</f>
        <v>249.15072000000021</v>
      </c>
      <c r="FG79" s="13">
        <f t="shared" si="101"/>
        <v>60.404044320946298</v>
      </c>
      <c r="FH79" s="20">
        <f t="shared" si="76"/>
        <v>539.14121452564848</v>
      </c>
      <c r="FI79" s="59">
        <f t="shared" si="77"/>
        <v>825.68629815228633</v>
      </c>
      <c r="FJ79" s="59">
        <f ca="1">AVERAGE(OFFSET($FI$3,0,0,'Données projet'!$E$16+1,1))-AVERAGE(OFFSET($H$3,0,0,'Données projet'!$E$16+1,1))</f>
        <v>422.28024471365825</v>
      </c>
      <c r="FK79" s="59">
        <f t="shared" si="102"/>
        <v>266.49730479813206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0</v>
      </c>
      <c r="FR79" s="21">
        <f>EXP(-LN(2)/25)*FR78+(1-EXP(-LN(2)/25))/(LN(2)/25)*Calculateur!FM79*Calculateur!FO79*VLOOKUP('Données projet'!$B$16,Paramètres!$A$1:$I$89,3,0)*0.475*44/12</f>
        <v>0.9273876545248787</v>
      </c>
      <c r="FS79" s="21">
        <f>EXP(-LN(2)/2)*FS78+(1-EXP(-LN(2)/2))/(LN(2)/2)*FM79*FP79*VLOOKUP('Données projet'!$B$16,Paramètres!$A$1:$I$89,3,0)*0.475*44/12</f>
        <v>7.8871243364762113E-7</v>
      </c>
      <c r="FT79" s="22">
        <f t="shared" si="78"/>
        <v>0.9273884432373124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68.148659170901226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3.4106051316484809E-13</v>
      </c>
      <c r="GA79" s="17">
        <f>FZ79*VLOOKUP('Données projet'!$B$17,Paramètres!$A$1:$I$89,3,0)*VLOOKUP('Données projet'!$B$17,Paramètres!$A$1:$I$89,5,0)</f>
        <v>2.6602720026858149E-13</v>
      </c>
      <c r="GB79" s="13">
        <f t="shared" si="103"/>
        <v>3.5662905043956649E-12</v>
      </c>
      <c r="GC79" s="20">
        <f t="shared" si="79"/>
        <v>6.6746200022902298E-12</v>
      </c>
      <c r="GD79" s="59">
        <f t="shared" si="80"/>
        <v>286.54508362664444</v>
      </c>
      <c r="GE79" s="59">
        <f ca="1">AVERAGE(OFFSET($GD$3,0,0,'Données projet'!$E$17+1,1))-AVERAGE(OFFSET($H$3,0,0,'Données projet'!$E$17+1,1))</f>
        <v>300.95722646933314</v>
      </c>
      <c r="GF79" s="59">
        <f t="shared" si="104"/>
        <v>269.52365224623759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>
        <f>EXP(-LN(2)/35)*GL78+(1-EXP(-LN(2)/35))/(LN(2)/35)*GH79*GI79*VLOOKUP('Données projet'!$B$17,Paramètres!$A$1:$I$89,3,0)*0.475*44/12</f>
        <v>0.35783431666521281</v>
      </c>
      <c r="GM79" s="21">
        <f>EXP(-LN(2)/25)*GM78+(1-EXP(-LN(2)/25))/(LN(2)/25)*Calculateur!GH79*Calculateur!GJ79*VLOOKUP('Données projet'!$B$17,Paramètres!$A$1:$I$89,3,0)*0.475*44/12</f>
        <v>1.7427309882260535</v>
      </c>
      <c r="GN79" s="21">
        <f>EXP(-LN(2)/2)*GN78+(1-EXP(-LN(2)/2))/(LN(2)/2)*GH79*GK79*VLOOKUP('Données projet'!$B$17,Paramètres!$A$1:$I$89,3,0)*0.475*44/12</f>
        <v>1.056070759322744E-6</v>
      </c>
      <c r="GO79" s="21">
        <f t="shared" si="81"/>
        <v>2.1005663609620258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68.148659170901226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1.4000000000000001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5.1333333333333337</v>
      </c>
      <c r="H80" s="67">
        <f t="shared" si="56"/>
        <v>236.13333333333335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68.180775795308065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7.4</v>
      </c>
      <c r="N80" s="13">
        <f>IF('Données projet'!$A$36&gt;35,N79+M80-V79,IF(A80&lt;'Données projet'!$A$36,$K$205^A80,IF(A80='Données projet'!$A$36,'Données projet'!$B$36,N79+M80-V79)))</f>
        <v>325.79999999999984</v>
      </c>
      <c r="O80" s="13">
        <f>N80*VLOOKUP('Données projet'!$B$9,Paramètres!$A$1:$I$89,3,0)*VLOOKUP('Données projet'!$B$9,Paramètres!$A$1:$I$89,5,0)</f>
        <v>294.78383999999983</v>
      </c>
      <c r="P80" s="13">
        <f t="shared" si="87"/>
        <v>70.081842199807596</v>
      </c>
      <c r="Q80" s="20">
        <f t="shared" si="54"/>
        <v>635.47439649799799</v>
      </c>
      <c r="R80" s="59">
        <f t="shared" si="55"/>
        <v>922.13724108079418</v>
      </c>
      <c r="S80" s="59">
        <f ca="1">AVERAGE(OFFSET($R$3,0,0,'Données projet'!$E$9+1,1))-AVERAGE(OFFSET($H$3,0,0,'Données projet'!$E$9+1,1))</f>
        <v>479.46542424895119</v>
      </c>
      <c r="T80" s="59">
        <f t="shared" si="88"/>
        <v>337.96395820277337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0.94954577341968482</v>
      </c>
      <c r="AA80" s="21">
        <f>EXP(-LN(2)/25)*AA79+(1-EXP(-LN(2)/25))/(LN(2)/25)*Calculateur!V80*Calculateur!X80*VLOOKUP('Données projet'!$B$9,Paramètres!$A$1:$I$89,3,0)*0.475*44/12</f>
        <v>3.0653580258461113</v>
      </c>
      <c r="AB80" s="21">
        <f>EXP(-LN(2)/2)*AB79+(1-EXP(-LN(2)/2))/(LN(2)/2)*V80*Y80*VLOOKUP('Données projet'!$B$9,Paramètres!$A$1:$I$89,3,0)*0.475*44/12</f>
        <v>1.8168104398451093E-6</v>
      </c>
      <c r="AC80" s="22">
        <f t="shared" si="57"/>
        <v>4.014905616076236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68.180775795308065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7.4</v>
      </c>
      <c r="AI80" s="13">
        <f>IF('Données projet'!$A$62&gt;35,AI79+AH80-AQ79,IF(A80&lt;'Données projet'!$A$62,$AF$205^A80,IF(A80='Données projet'!$A$62,'Données projet'!$B$62,AI79+AH80-AQ79)))</f>
        <v>325.79999999999984</v>
      </c>
      <c r="AJ80" s="13">
        <f>AI80*VLOOKUP('Données projet'!$B$10,Paramètres!$A$1:$I$89,3,0)*VLOOKUP('Données projet'!$B$10,Paramètres!$A$1:$I$89,5,0)</f>
        <v>315.11375999999984</v>
      </c>
      <c r="AK80" s="13">
        <f t="shared" si="89"/>
        <v>74.335767722617277</v>
      </c>
      <c r="AL80" s="20">
        <f t="shared" si="58"/>
        <v>678.29126078355807</v>
      </c>
      <c r="AM80" s="59">
        <f t="shared" si="59"/>
        <v>964.95410536635427</v>
      </c>
      <c r="AN80" s="59">
        <f ca="1">AVERAGE(OFFSET($AM$3,0,0,'Données projet'!$E$10+1,1))-AVERAGE(OFFSET($H$3,0,0,'Données projet'!$E$10+1,1))</f>
        <v>508.94560627895089</v>
      </c>
      <c r="AO80" s="59">
        <f t="shared" si="90"/>
        <v>357.86868650263034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1.0150316888279396</v>
      </c>
      <c r="AV80" s="21">
        <f>EXP(-LN(2)/25)*AV79+(1-EXP(-LN(2)/25))/(LN(2)/25)*Calculateur!AQ80*Calculateur!AS80*VLOOKUP('Données projet'!$B$10,Paramètres!$A$1:$I$89,3,0)*0.475*44/12</f>
        <v>3.2767620276286027</v>
      </c>
      <c r="AW80" s="21">
        <f>EXP(-LN(2)/2)*AW79+(1-EXP(-LN(2)/2))/(LN(2)/2)*AQ80*AT80*VLOOKUP('Données projet'!$B$10,Paramètres!$A$1:$I$89,3,0)*0.475*44/12</f>
        <v>1.9421077115585586E-6</v>
      </c>
      <c r="AX80" s="21">
        <f t="shared" si="60"/>
        <v>4.2917956585642543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68.180775795308065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8.5</v>
      </c>
      <c r="BD80" s="12">
        <f>IF('Données projet'!$A$88&gt;35,BD79+BC80-BL79,IF(A80&lt;'Données projet'!$A$88,$BA$205^A80,IF(A80='Données projet'!$A$88,'Données projet'!$B$88,BD79+BC80-BL79)))</f>
        <v>354.50000000000017</v>
      </c>
      <c r="BE80" s="13">
        <f>BD80*VLOOKUP('Données projet'!$B$11,Paramètres!$A$1:$I$89,3,0)*VLOOKUP('Données projet'!$B$11,Paramètres!$A$1:$I$89,5,0)</f>
        <v>276.51000000000016</v>
      </c>
      <c r="BF80" s="13">
        <f t="shared" si="91"/>
        <v>66.228934031958417</v>
      </c>
      <c r="BG80" s="20">
        <f t="shared" si="61"/>
        <v>596.93697677232785</v>
      </c>
      <c r="BH80" s="59">
        <f t="shared" si="62"/>
        <v>883.59982135512405</v>
      </c>
      <c r="BI80" s="59">
        <f ca="1">AVERAGE(OFFSET($BH$3,0,0,'Données projet'!$E$11+1,1))-AVERAGE(OFFSET($H$3,0,0,'Données projet'!$E$11+1,1))</f>
        <v>383.03154033422328</v>
      </c>
      <c r="BJ80" s="59">
        <f t="shared" si="92"/>
        <v>373.27897156169877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0.57007828145578399</v>
      </c>
      <c r="BQ80" s="21">
        <f>EXP(-LN(2)/25)*BQ79+(1-EXP(-LN(2)/25))/(LN(2)/25)*Calculateur!BL80*Calculateur!BN80*VLOOKUP('Données projet'!$B$11,Paramètres!$A$1:$I$89,3,0)*0.475*44/12</f>
        <v>2.2741889996702445</v>
      </c>
      <c r="BR80" s="21">
        <f>EXP(-LN(2)/2)*BR79+(1-EXP(-LN(2)/2))/(LN(2)/2)*BL80*BO80*VLOOKUP('Données projet'!$B$11,Paramètres!$A$1:$I$89,3,0)*0.475*44/12</f>
        <v>1.1018180526417624E-6</v>
      </c>
      <c r="BS80" s="22">
        <f t="shared" si="63"/>
        <v>2.8442683829440814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68.180775795308065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7.4</v>
      </c>
      <c r="BY80" s="12">
        <f>IF('Données projet'!$A$114&gt;35,BY79+BX80-CG79,IF(A80&lt;'Données projet'!$A$114,$BV$205^A80,IF(A80='Données projet'!$A$114,'Données projet'!$B$114,BY79+BX80-CG79)))</f>
        <v>325.79999999999984</v>
      </c>
      <c r="BZ80" s="13">
        <f>BY80*VLOOKUP('Données projet'!$B$12,Paramètres!$A$1:$I$89,3,0)*VLOOKUP('Données projet'!$B$12,Paramètres!$A$1:$I$89,5,0)</f>
        <v>274.45391999999993</v>
      </c>
      <c r="CA80" s="13">
        <f t="shared" si="93"/>
        <v>65.793601555534096</v>
      </c>
      <c r="CB80" s="20">
        <f t="shared" si="64"/>
        <v>592.59776670922179</v>
      </c>
      <c r="CC80" s="59">
        <f t="shared" si="65"/>
        <v>879.26061129201798</v>
      </c>
      <c r="CD80" s="59">
        <f ca="1">AVERAGE(OFFSET($CC$3,0,0,'Données projet'!$E$12+1,1))-AVERAGE(OFFSET($H$3,0,0,'Données projet'!$E$12+1,1))</f>
        <v>449.94334483948603</v>
      </c>
      <c r="CE80" s="59">
        <f t="shared" si="94"/>
        <v>318.02929110264176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0.88405985801143072</v>
      </c>
      <c r="CL80" s="21">
        <f>EXP(-LN(2)/25)*CL79+(1-EXP(-LN(2)/25))/(LN(2)/25)*Calculateur!CG80*Calculateur!CI80*VLOOKUP('Données projet'!$B$12,Paramètres!$A$1:$I$89,3,0)*0.475*44/12</f>
        <v>2.8539540240636221</v>
      </c>
      <c r="CM80" s="21">
        <f>EXP(-LN(2)/2)*CM79+(1-EXP(-LN(2)/2))/(LN(2)/2)*CG80*CJ80*VLOOKUP('Données projet'!$B$12,Paramètres!$A$1:$I$89,3,0)*0.475*44/12</f>
        <v>1.6915131681316496E-6</v>
      </c>
      <c r="CN80" s="22">
        <f t="shared" si="66"/>
        <v>3.7380155735882208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68.180775795308065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9.1</v>
      </c>
      <c r="CT80" s="12">
        <f>IF('Données projet'!$A$140&gt;35,CT79+CS80-DB79,IF(A80&lt;'Données projet'!$A$140,$CQ$205^A80,IF(A80='Données projet'!$A$140,'Données projet'!$B$140,CT79+CS80-DB79)))</f>
        <v>351.70000000000005</v>
      </c>
      <c r="CU80" s="17">
        <f>CT80*VLOOKUP('Données projet'!$B$13,Paramètres!$A$1:$I$89,3,0)*VLOOKUP('Données projet'!$B$13,Paramètres!$A$1:$I$89,5,0)</f>
        <v>301.75860000000006</v>
      </c>
      <c r="CV80" s="13">
        <f t="shared" si="95"/>
        <v>71.545008079199661</v>
      </c>
      <c r="CW80" s="20">
        <f t="shared" si="67"/>
        <v>650.1704507379394</v>
      </c>
      <c r="CX80" s="59">
        <f t="shared" si="68"/>
        <v>936.83329532073571</v>
      </c>
      <c r="CY80" s="59">
        <f ca="1">AVERAGE(OFFSET($CX$3,0,0,'Données projet'!$E$13+1,1))-AVERAGE(OFFSET($H$3,0,0,'Données projet'!$E$13+1,1))</f>
        <v>565.32667500225568</v>
      </c>
      <c r="CZ80" s="59">
        <f t="shared" si="96"/>
        <v>275.06957234480944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0</v>
      </c>
      <c r="DG80" s="21">
        <f>EXP(-LN(2)/25)*DG79+(1-EXP(-LN(2)/25))/(LN(2)/25)*Calculateur!DB80*Calculateur!DD80*VLOOKUP('Données projet'!$B$13,Paramètres!$A$1:$I$89,3,0)*0.475*44/12</f>
        <v>1.19033326589898</v>
      </c>
      <c r="DH80" s="21">
        <f>EXP(-LN(2)/2)*DH79+(1-EXP(-LN(2)/2))/(LN(2)/2)*DB80*DE80*VLOOKUP('Données projet'!$B$13,Paramètres!$A$1:$I$89,3,0)*0.475*44/12</f>
        <v>5.9709678932640581E-7</v>
      </c>
      <c r="DI80" s="22">
        <f t="shared" si="69"/>
        <v>1.1903338629957694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68.180775795308065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12.9</v>
      </c>
      <c r="DO80" s="12">
        <f>IF('Données projet'!$A$166&gt;35,DO79+DN80-DW79,IF(A80&lt;'Données projet'!$A$166,$DL$205^A80,IF(A80='Données projet'!$A$166,'Données projet'!$B$166,DO79+DN80-DW79)))</f>
        <v>751.29999999999882</v>
      </c>
      <c r="DP80" s="17">
        <f>DO80*VLOOKUP('Données projet'!$B$14,Paramètres!$A$1:$I$89,3,0)*VLOOKUP('Données projet'!$B$14,Paramètres!$A$1:$I$89,5,0)</f>
        <v>419.97669999999937</v>
      </c>
      <c r="DQ80" s="13">
        <f t="shared" si="97"/>
        <v>95.815076062060939</v>
      </c>
      <c r="DR80" s="20">
        <f t="shared" si="70"/>
        <v>898.33734330808841</v>
      </c>
      <c r="DS80" s="59">
        <f t="shared" si="71"/>
        <v>1185.0001878908847</v>
      </c>
      <c r="DT80" s="59">
        <f ca="1">AVERAGE(OFFSET($DS$3,0,0,'Données projet'!$E$14+1,1))-AVERAGE(OFFSET($H$3,0,0,'Données projet'!$E$14+1,1))</f>
        <v>532.64469322244281</v>
      </c>
      <c r="DU80" s="59">
        <f t="shared" si="98"/>
        <v>525.88014011096413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4.5021566843174758</v>
      </c>
      <c r="EB80" s="21">
        <f>EXP(-LN(2)/25)*EB79+(1-EXP(-LN(2)/25))/(LN(2)/25)*Calculateur!DW80*Calculateur!DY80*VLOOKUP('Données projet'!$B$14,Paramètres!$A$1:$I$89,3,0)*0.475*44/12</f>
        <v>10.530300553034289</v>
      </c>
      <c r="EC80" s="21">
        <f>EXP(-LN(2)/2)*EC79+(1-EXP(-LN(2)/2))/(LN(2)/2)*DW80*DZ80*VLOOKUP('Données projet'!$B$14,Paramètres!$A$1:$I$89,3,0)*0.475*44/12</f>
        <v>3.0743505596928154E-6</v>
      </c>
      <c r="ED80" s="22">
        <f t="shared" si="72"/>
        <v>15.032460311702323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68.180775795308065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6.1</v>
      </c>
      <c r="EJ80" s="12">
        <f>IF('Données projet'!$A$192&gt;35,EJ79+EI80-ER79,IF(A80&lt;'Données projet'!$A$192,$EG$205^A80,IF(A80='Données projet'!$A$192,'Données projet'!$B$192,EJ79+EI80-ER79)))</f>
        <v>263.70000000000022</v>
      </c>
      <c r="EK80" s="17">
        <f>EJ80*VLOOKUP('Données projet'!$B$15,Paramètres!$A$1:$I$89,3,0)*VLOOKUP('Données projet'!$B$15,Paramètres!$A$1:$I$89,5,0)</f>
        <v>238.59576000000018</v>
      </c>
      <c r="EL80" s="13">
        <f t="shared" si="99"/>
        <v>58.137298297430824</v>
      </c>
      <c r="EM80" s="20">
        <f t="shared" si="73"/>
        <v>516.81007653469237</v>
      </c>
      <c r="EN80" s="59">
        <f t="shared" si="74"/>
        <v>803.47292111748857</v>
      </c>
      <c r="EO80" s="59">
        <f ca="1">AVERAGE(OFFSET($EN$3,0,0,'Données projet'!$E$15+1,1))-AVERAGE(OFFSET($H$3,0,0,'Données projet'!$E$15+1,1))</f>
        <v>398.27843768730202</v>
      </c>
      <c r="EP80" s="59">
        <f t="shared" si="100"/>
        <v>252.3617347568813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0</v>
      </c>
      <c r="EW80" s="21">
        <f>EXP(-LN(2)/25)*EW79+(1-EXP(-LN(2)/25))/(LN(2)/25)*Calculateur!ER80*Calculateur!ET80*VLOOKUP('Données projet'!$B$15,Paramètres!$A$1:$I$89,3,0)*0.475*44/12</f>
        <v>0.84383282322381492</v>
      </c>
      <c r="EX80" s="21">
        <f>EXP(-LN(2)/2)*EX79+(1-EXP(-LN(2)/2))/(LN(2)/2)*ER80*EU80*VLOOKUP('Données projet'!$B$15,Paramètres!$A$1:$I$89,3,0)*0.475*44/12</f>
        <v>5.2172301280364385E-7</v>
      </c>
      <c r="EY80" s="22">
        <f t="shared" si="75"/>
        <v>0.84383334494682771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68.180775795308065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6.1</v>
      </c>
      <c r="FE80" s="12">
        <f>IF('Données projet'!$A$218&gt;35,FE79+FD80-FM79,IF(A80&lt;'Données projet'!$A$218,$FB$205^A80,IF(A80='Données projet'!$A$218,'Données projet'!$B$218,FE79+FD80-FM79)))</f>
        <v>263.70000000000022</v>
      </c>
      <c r="FF80" s="17">
        <f>FE80*VLOOKUP('Données projet'!$B$16,Paramètres!$A$1:$I$89,3,0)*VLOOKUP('Données projet'!$B$16,Paramètres!$A$1:$I$89,5,0)</f>
        <v>255.05064000000024</v>
      </c>
      <c r="FG80" s="13">
        <f t="shared" si="101"/>
        <v>61.666197214635986</v>
      </c>
      <c r="FH80" s="20">
        <f t="shared" si="76"/>
        <v>551.61515814882478</v>
      </c>
      <c r="FI80" s="59">
        <f t="shared" si="77"/>
        <v>838.27800273162097</v>
      </c>
      <c r="FJ80" s="59">
        <f ca="1">AVERAGE(OFFSET($FI$3,0,0,'Données projet'!$E$16+1,1))-AVERAGE(OFFSET($H$3,0,0,'Données projet'!$E$16+1,1))</f>
        <v>422.28024471365825</v>
      </c>
      <c r="FK80" s="59">
        <f t="shared" si="102"/>
        <v>266.49730479813206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0</v>
      </c>
      <c r="FR80" s="21">
        <f>EXP(-LN(2)/25)*FR79+(1-EXP(-LN(2)/25))/(LN(2)/25)*Calculateur!FM80*Calculateur!FO80*VLOOKUP('Données projet'!$B$16,Paramètres!$A$1:$I$89,3,0)*0.475*44/12</f>
        <v>0.90202819034269877</v>
      </c>
      <c r="FS80" s="21">
        <f>EXP(-LN(2)/2)*FS79+(1-EXP(-LN(2)/2))/(LN(2)/2)*FM80*FP80*VLOOKUP('Données projet'!$B$16,Paramètres!$A$1:$I$89,3,0)*0.475*44/12</f>
        <v>5.577039102383778E-7</v>
      </c>
      <c r="FT80" s="22">
        <f t="shared" si="78"/>
        <v>0.90202874804660904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68.180775795308065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3.4106051316484809E-13</v>
      </c>
      <c r="GA80" s="17">
        <f>FZ80*VLOOKUP('Données projet'!$B$17,Paramètres!$A$1:$I$89,3,0)*VLOOKUP('Données projet'!$B$17,Paramètres!$A$1:$I$89,5,0)</f>
        <v>2.6602720026858149E-13</v>
      </c>
      <c r="GB80" s="13">
        <f t="shared" si="103"/>
        <v>3.5662905043956649E-12</v>
      </c>
      <c r="GC80" s="20">
        <f t="shared" si="79"/>
        <v>6.6746200022902298E-12</v>
      </c>
      <c r="GD80" s="59">
        <f t="shared" si="80"/>
        <v>286.6628445828029</v>
      </c>
      <c r="GE80" s="59">
        <f ca="1">AVERAGE(OFFSET($GD$3,0,0,'Données projet'!$E$17+1,1))-AVERAGE(OFFSET($H$3,0,0,'Données projet'!$E$17+1,1))</f>
        <v>300.95722646933314</v>
      </c>
      <c r="GF80" s="59">
        <f t="shared" si="104"/>
        <v>269.52365224623759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>
        <f>EXP(-LN(2)/35)*GL79+(1-EXP(-LN(2)/35))/(LN(2)/35)*GH80*GI80*VLOOKUP('Données projet'!$B$17,Paramètres!$A$1:$I$89,3,0)*0.475*44/12</f>
        <v>0.35081740397279004</v>
      </c>
      <c r="GM80" s="21">
        <f>EXP(-LN(2)/25)*GM79+(1-EXP(-LN(2)/25))/(LN(2)/25)*Calculateur!GH80*Calculateur!GJ80*VLOOKUP('Données projet'!$B$17,Paramètres!$A$1:$I$89,3,0)*0.475*44/12</f>
        <v>1.6950759177067725</v>
      </c>
      <c r="GN80" s="21">
        <f>EXP(-LN(2)/2)*GN79+(1-EXP(-LN(2)/2))/(LN(2)/2)*GH80*GK80*VLOOKUP('Données projet'!$B$17,Paramètres!$A$1:$I$89,3,0)*0.475*44/12</f>
        <v>7.4675479532993862E-7</v>
      </c>
      <c r="GO80" s="21">
        <f t="shared" si="81"/>
        <v>2.0458940684343578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68.180775795308065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1.4000000000000001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5.1333333333333337</v>
      </c>
      <c r="H81" s="67">
        <f t="shared" si="56"/>
        <v>236.13333333333335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68.21233526808345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7.4</v>
      </c>
      <c r="N81" s="13">
        <f>IF('Données projet'!$A$36&gt;35,N80+M81-V80,IF(A81&lt;'Données projet'!$A$36,$K$205^A81,IF(A81='Données projet'!$A$36,'Données projet'!$B$36,N80+M81-V80)))</f>
        <v>333.19999999999982</v>
      </c>
      <c r="O81" s="13">
        <f>N81*VLOOKUP('Données projet'!$B$9,Paramètres!$A$1:$I$89,3,0)*VLOOKUP('Données projet'!$B$9,Paramètres!$A$1:$I$89,5,0)</f>
        <v>301.47935999999982</v>
      </c>
      <c r="P81" s="13">
        <f t="shared" si="87"/>
        <v>71.486505311225272</v>
      </c>
      <c r="Q81" s="20">
        <f t="shared" si="54"/>
        <v>649.58221541705041</v>
      </c>
      <c r="R81" s="59">
        <f t="shared" si="55"/>
        <v>936.3607780666897</v>
      </c>
      <c r="S81" s="59">
        <f ca="1">AVERAGE(OFFSET($R$3,0,0,'Données projet'!$E$9+1,1))-AVERAGE(OFFSET($H$3,0,0,'Données projet'!$E$9+1,1))</f>
        <v>479.46542424895119</v>
      </c>
      <c r="T81" s="59">
        <f t="shared" si="88"/>
        <v>337.96395820277337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0.93092575996865867</v>
      </c>
      <c r="AA81" s="21">
        <f>EXP(-LN(2)/25)*AA80+(1-EXP(-LN(2)/25))/(LN(2)/25)*Calculateur!V81*Calculateur!X81*VLOOKUP('Données projet'!$B$9,Paramètres!$A$1:$I$89,3,0)*0.475*44/12</f>
        <v>2.9815356494291767</v>
      </c>
      <c r="AB81" s="21">
        <f>EXP(-LN(2)/2)*AB80+(1-EXP(-LN(2)/2))/(LN(2)/2)*V81*Y81*VLOOKUP('Données projet'!$B$9,Paramètres!$A$1:$I$89,3,0)*0.475*44/12</f>
        <v>1.284678982144991E-6</v>
      </c>
      <c r="AC81" s="22">
        <f t="shared" si="57"/>
        <v>3.9124626940768175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68.21233526808345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7.4</v>
      </c>
      <c r="AI81" s="13">
        <f>IF('Données projet'!$A$62&gt;35,AI80+AH81-AQ80,IF(A81&lt;'Données projet'!$A$62,$AF$205^A81,IF(A81='Données projet'!$A$62,'Données projet'!$B$62,AI80+AH81-AQ80)))</f>
        <v>333.19999999999982</v>
      </c>
      <c r="AJ81" s="13">
        <f>AI81*VLOOKUP('Données projet'!$B$10,Paramètres!$A$1:$I$89,3,0)*VLOOKUP('Données projet'!$B$10,Paramètres!$A$1:$I$89,5,0)</f>
        <v>322.27103999999986</v>
      </c>
      <c r="AK81" s="13">
        <f t="shared" si="89"/>
        <v>75.825693037097096</v>
      </c>
      <c r="AL81" s="20">
        <f t="shared" si="58"/>
        <v>693.35181003961054</v>
      </c>
      <c r="AM81" s="59">
        <f t="shared" si="59"/>
        <v>980.13037268924984</v>
      </c>
      <c r="AN81" s="59">
        <f ca="1">AVERAGE(OFFSET($AM$3,0,0,'Données projet'!$E$10+1,1))-AVERAGE(OFFSET($H$3,0,0,'Données projet'!$E$10+1,1))</f>
        <v>508.94560627895089</v>
      </c>
      <c r="AO81" s="59">
        <f t="shared" si="90"/>
        <v>357.86868650263034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0.99512753651822206</v>
      </c>
      <c r="AV81" s="21">
        <f>EXP(-LN(2)/25)*AV80+(1-EXP(-LN(2)/25))/(LN(2)/25)*Calculateur!AQ81*Calculateur!AS81*VLOOKUP('Données projet'!$B$10,Paramètres!$A$1:$I$89,3,0)*0.475*44/12</f>
        <v>3.1871587976656728</v>
      </c>
      <c r="AW81" s="21">
        <f>EXP(-LN(2)/2)*AW80+(1-EXP(-LN(2)/2))/(LN(2)/2)*AQ81*AT81*VLOOKUP('Données projet'!$B$10,Paramètres!$A$1:$I$89,3,0)*0.475*44/12</f>
        <v>1.3732775326377443E-6</v>
      </c>
      <c r="AX81" s="21">
        <f t="shared" si="60"/>
        <v>4.1822877074614278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68.21233526808345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8.5</v>
      </c>
      <c r="BD81" s="12">
        <f>IF('Données projet'!$A$88&gt;35,BD80+BC81-BL80,IF(A81&lt;'Données projet'!$A$88,$BA$205^A81,IF(A81='Données projet'!$A$88,'Données projet'!$B$88,BD80+BC81-BL80)))</f>
        <v>363.00000000000017</v>
      </c>
      <c r="BE81" s="13">
        <f>BD81*VLOOKUP('Données projet'!$B$11,Paramètres!$A$1:$I$89,3,0)*VLOOKUP('Données projet'!$B$11,Paramètres!$A$1:$I$89,5,0)</f>
        <v>283.14000000000016</v>
      </c>
      <c r="BF81" s="13">
        <f t="shared" si="91"/>
        <v>67.630149847512001</v>
      </c>
      <c r="BG81" s="20">
        <f t="shared" si="61"/>
        <v>610.92467765108358</v>
      </c>
      <c r="BH81" s="59">
        <f t="shared" si="62"/>
        <v>897.70324030072288</v>
      </c>
      <c r="BI81" s="59">
        <f ca="1">AVERAGE(OFFSET($BH$3,0,0,'Données projet'!$E$11+1,1))-AVERAGE(OFFSET($H$3,0,0,'Données projet'!$E$11+1,1))</f>
        <v>383.03154033422328</v>
      </c>
      <c r="BJ81" s="59">
        <f t="shared" si="92"/>
        <v>373.27897156169877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0.55889939406985389</v>
      </c>
      <c r="BQ81" s="21">
        <f>EXP(-LN(2)/25)*BQ80+(1-EXP(-LN(2)/25))/(LN(2)/25)*Calculateur!BL81*Calculateur!BN81*VLOOKUP('Données projet'!$B$11,Paramètres!$A$1:$I$89,3,0)*0.475*44/12</f>
        <v>2.2120011818798599</v>
      </c>
      <c r="BR81" s="21">
        <f>EXP(-LN(2)/2)*BR80+(1-EXP(-LN(2)/2))/(LN(2)/2)*BL81*BO81*VLOOKUP('Données projet'!$B$11,Paramètres!$A$1:$I$89,3,0)*0.475*44/12</f>
        <v>7.7910301665674659E-7</v>
      </c>
      <c r="BS81" s="22">
        <f t="shared" si="63"/>
        <v>2.7709013550527306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68.21233526808345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7.4</v>
      </c>
      <c r="BY81" s="12">
        <f>IF('Données projet'!$A$114&gt;35,BY80+BX81-CG80,IF(A81&lt;'Données projet'!$A$114,$BV$205^A81,IF(A81='Données projet'!$A$114,'Données projet'!$B$114,BY80+BX81-CG80)))</f>
        <v>333.19999999999982</v>
      </c>
      <c r="BZ81" s="13">
        <f>BY81*VLOOKUP('Données projet'!$B$12,Paramètres!$A$1:$I$89,3,0)*VLOOKUP('Données projet'!$B$12,Paramètres!$A$1:$I$89,5,0)</f>
        <v>280.68767999999989</v>
      </c>
      <c r="CA81" s="13">
        <f t="shared" si="93"/>
        <v>67.11231467966806</v>
      </c>
      <c r="CB81" s="20">
        <f t="shared" si="64"/>
        <v>605.75165740042166</v>
      </c>
      <c r="CC81" s="59">
        <f t="shared" si="65"/>
        <v>892.53022005006096</v>
      </c>
      <c r="CD81" s="59">
        <f ca="1">AVERAGE(OFFSET($CC$3,0,0,'Données projet'!$E$12+1,1))-AVERAGE(OFFSET($H$3,0,0,'Données projet'!$E$12+1,1))</f>
        <v>449.94334483948603</v>
      </c>
      <c r="CE81" s="59">
        <f t="shared" si="94"/>
        <v>318.02929110264176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0.86672398341909607</v>
      </c>
      <c r="CL81" s="21">
        <f>EXP(-LN(2)/25)*CL80+(1-EXP(-LN(2)/25))/(LN(2)/25)*Calculateur!CG81*Calculateur!CI81*VLOOKUP('Données projet'!$B$12,Paramètres!$A$1:$I$89,3,0)*0.475*44/12</f>
        <v>2.7759125011926828</v>
      </c>
      <c r="CM81" s="21">
        <f>EXP(-LN(2)/2)*CM80+(1-EXP(-LN(2)/2))/(LN(2)/2)*CG81*CJ81*VLOOKUP('Données projet'!$B$12,Paramètres!$A$1:$I$89,3,0)*0.475*44/12</f>
        <v>1.1960804316522301E-6</v>
      </c>
      <c r="CN81" s="22">
        <f t="shared" si="66"/>
        <v>3.6426376806922103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68.21233526808345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9.1</v>
      </c>
      <c r="CT81" s="12">
        <f>IF('Données projet'!$A$140&gt;35,CT80+CS81-DB80,IF(A81&lt;'Données projet'!$A$140,$CQ$205^A81,IF(A81='Données projet'!$A$140,'Données projet'!$B$140,CT80+CS81-DB80)))</f>
        <v>360.80000000000007</v>
      </c>
      <c r="CU81" s="17">
        <f>CT81*VLOOKUP('Données projet'!$B$13,Paramètres!$A$1:$I$89,3,0)*VLOOKUP('Données projet'!$B$13,Paramètres!$A$1:$I$89,5,0)</f>
        <v>309.5664000000001</v>
      </c>
      <c r="CV81" s="13">
        <f t="shared" si="95"/>
        <v>73.178269858732662</v>
      </c>
      <c r="CW81" s="20">
        <f t="shared" si="67"/>
        <v>666.61363333729287</v>
      </c>
      <c r="CX81" s="59">
        <f t="shared" si="68"/>
        <v>953.39219598693217</v>
      </c>
      <c r="CY81" s="59">
        <f ca="1">AVERAGE(OFFSET($CX$3,0,0,'Données projet'!$E$13+1,1))-AVERAGE(OFFSET($H$3,0,0,'Données projet'!$E$13+1,1))</f>
        <v>565.32667500225568</v>
      </c>
      <c r="CZ81" s="59">
        <f t="shared" si="96"/>
        <v>275.06957234480944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0</v>
      </c>
      <c r="DG81" s="21">
        <f>EXP(-LN(2)/25)*DG80+(1-EXP(-LN(2)/25))/(LN(2)/25)*Calculateur!DB81*Calculateur!DD81*VLOOKUP('Données projet'!$B$13,Paramètres!$A$1:$I$89,3,0)*0.475*44/12</f>
        <v>1.1577835401460665</v>
      </c>
      <c r="DH81" s="21">
        <f>EXP(-LN(2)/2)*DH80+(1-EXP(-LN(2)/2))/(LN(2)/2)*DB81*DE81*VLOOKUP('Données projet'!$B$13,Paramètres!$A$1:$I$89,3,0)*0.475*44/12</f>
        <v>4.222111887574169E-7</v>
      </c>
      <c r="DI81" s="22">
        <f t="shared" si="69"/>
        <v>1.1577839623572552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68.21233526808345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12.9</v>
      </c>
      <c r="DO81" s="12">
        <f>IF('Données projet'!$A$166&gt;35,DO80+DN81-DW80,IF(A81&lt;'Données projet'!$A$166,$DL$205^A81,IF(A81='Données projet'!$A$166,'Données projet'!$B$166,DO80+DN81-DW80)))</f>
        <v>764.19999999999879</v>
      </c>
      <c r="DP81" s="17">
        <f>DO81*VLOOKUP('Données projet'!$B$14,Paramètres!$A$1:$I$89,3,0)*VLOOKUP('Données projet'!$B$14,Paramètres!$A$1:$I$89,5,0)</f>
        <v>427.18779999999936</v>
      </c>
      <c r="DQ81" s="13">
        <f t="shared" si="97"/>
        <v>97.267302762395772</v>
      </c>
      <c r="DR81" s="20">
        <f t="shared" si="70"/>
        <v>913.42597064450467</v>
      </c>
      <c r="DS81" s="59">
        <f t="shared" si="71"/>
        <v>1200.2045332941439</v>
      </c>
      <c r="DT81" s="59">
        <f ca="1">AVERAGE(OFFSET($DS$3,0,0,'Données projet'!$E$14+1,1))-AVERAGE(OFFSET($H$3,0,0,'Données projet'!$E$14+1,1))</f>
        <v>532.64469322244281</v>
      </c>
      <c r="DU81" s="59">
        <f t="shared" si="98"/>
        <v>525.88014011096413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4.4138721377824384</v>
      </c>
      <c r="EB81" s="21">
        <f>EXP(-LN(2)/25)*EB80+(1-EXP(-LN(2)/25))/(LN(2)/25)*Calculateur!DW81*Calculateur!DY81*VLOOKUP('Données projet'!$B$14,Paramètres!$A$1:$I$89,3,0)*0.475*44/12</f>
        <v>10.242348930647127</v>
      </c>
      <c r="EC81" s="21">
        <f>EXP(-LN(2)/2)*EC80+(1-EXP(-LN(2)/2))/(LN(2)/2)*DW81*DZ81*VLOOKUP('Données projet'!$B$14,Paramètres!$A$1:$I$89,3,0)*0.475*44/12</f>
        <v>2.1738941285034475E-6</v>
      </c>
      <c r="ED81" s="22">
        <f t="shared" si="72"/>
        <v>14.656223242323694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68.21233526808345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6.1</v>
      </c>
      <c r="EJ81" s="12">
        <f>IF('Données projet'!$A$192&gt;35,EJ80+EI81-ER80,IF(A81&lt;'Données projet'!$A$192,$EG$205^A81,IF(A81='Données projet'!$A$192,'Données projet'!$B$192,EJ80+EI81-ER80)))</f>
        <v>269.80000000000024</v>
      </c>
      <c r="EK81" s="17">
        <f>EJ81*VLOOKUP('Données projet'!$B$15,Paramètres!$A$1:$I$89,3,0)*VLOOKUP('Données projet'!$B$15,Paramètres!$A$1:$I$89,5,0)</f>
        <v>244.11504000000019</v>
      </c>
      <c r="EL81" s="13">
        <f t="shared" si="99"/>
        <v>59.324023461759062</v>
      </c>
      <c r="EM81" s="20">
        <f t="shared" si="73"/>
        <v>528.48970219589739</v>
      </c>
      <c r="EN81" s="59">
        <f t="shared" si="74"/>
        <v>815.26826484553669</v>
      </c>
      <c r="EO81" s="59">
        <f ca="1">AVERAGE(OFFSET($EN$3,0,0,'Données projet'!$E$15+1,1))-AVERAGE(OFFSET($H$3,0,0,'Données projet'!$E$15+1,1))</f>
        <v>398.27843768730202</v>
      </c>
      <c r="EP81" s="59">
        <f t="shared" si="100"/>
        <v>252.3617347568813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0</v>
      </c>
      <c r="EW81" s="21">
        <f>EXP(-LN(2)/25)*EW80+(1-EXP(-LN(2)/25))/(LN(2)/25)*Calculateur!ER81*Calculateur!ET81*VLOOKUP('Données projet'!$B$15,Paramètres!$A$1:$I$89,3,0)*0.475*44/12</f>
        <v>0.82075817029752018</v>
      </c>
      <c r="EX81" s="21">
        <f>EXP(-LN(2)/2)*EX80+(1-EXP(-LN(2)/2))/(LN(2)/2)*ER81*EU81*VLOOKUP('Données projet'!$B$15,Paramètres!$A$1:$I$89,3,0)*0.475*44/12</f>
        <v>3.6891388025453253E-7</v>
      </c>
      <c r="EY81" s="22">
        <f t="shared" si="75"/>
        <v>0.82075853921140041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68.21233526808345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6.1</v>
      </c>
      <c r="FE81" s="12">
        <f>IF('Données projet'!$A$218&gt;35,FE80+FD81-FM80,IF(A81&lt;'Données projet'!$A$218,$FB$205^A81,IF(A81='Données projet'!$A$218,'Données projet'!$B$218,FE80+FD81-FM80)))</f>
        <v>269.80000000000024</v>
      </c>
      <c r="FF81" s="17">
        <f>FE81*VLOOKUP('Données projet'!$B$16,Paramètres!$A$1:$I$89,3,0)*VLOOKUP('Données projet'!$B$16,Paramètres!$A$1:$I$89,5,0)</f>
        <v>260.95056000000022</v>
      </c>
      <c r="FG81" s="13">
        <f t="shared" si="101"/>
        <v>62.924955880176995</v>
      </c>
      <c r="FH81" s="20">
        <f t="shared" si="76"/>
        <v>564.0831901579752</v>
      </c>
      <c r="FI81" s="59">
        <f t="shared" si="77"/>
        <v>850.86175280761449</v>
      </c>
      <c r="FJ81" s="59">
        <f ca="1">AVERAGE(OFFSET($FI$3,0,0,'Données projet'!$E$16+1,1))-AVERAGE(OFFSET($H$3,0,0,'Données projet'!$E$16+1,1))</f>
        <v>422.28024471365825</v>
      </c>
      <c r="FK81" s="59">
        <f t="shared" si="102"/>
        <v>266.49730479813206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0</v>
      </c>
      <c r="FR81" s="21">
        <f>EXP(-LN(2)/25)*FR80+(1-EXP(-LN(2)/25))/(LN(2)/25)*Calculateur!FM81*Calculateur!FO81*VLOOKUP('Données projet'!$B$16,Paramètres!$A$1:$I$89,3,0)*0.475*44/12</f>
        <v>0.87736218204217675</v>
      </c>
      <c r="FS81" s="21">
        <f>EXP(-LN(2)/2)*FS80+(1-EXP(-LN(2)/2))/(LN(2)/2)*FM81*FP81*VLOOKUP('Données projet'!$B$16,Paramètres!$A$1:$I$89,3,0)*0.475*44/12</f>
        <v>3.9435621682381056E-7</v>
      </c>
      <c r="FT81" s="22">
        <f t="shared" si="78"/>
        <v>0.87736257639839355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68.21233526808345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3.4106051316484809E-13</v>
      </c>
      <c r="GA81" s="17">
        <f>FZ81*VLOOKUP('Données projet'!$B$17,Paramètres!$A$1:$I$89,3,0)*VLOOKUP('Données projet'!$B$17,Paramètres!$A$1:$I$89,5,0)</f>
        <v>2.6602720026858149E-13</v>
      </c>
      <c r="GB81" s="13">
        <f t="shared" si="103"/>
        <v>3.5662905043956649E-12</v>
      </c>
      <c r="GC81" s="20">
        <f t="shared" si="79"/>
        <v>6.6746200022902298E-12</v>
      </c>
      <c r="GD81" s="59">
        <f t="shared" si="80"/>
        <v>286.77856264964595</v>
      </c>
      <c r="GE81" s="59">
        <f ca="1">AVERAGE(OFFSET($GD$3,0,0,'Données projet'!$E$17+1,1))-AVERAGE(OFFSET($H$3,0,0,'Données projet'!$E$17+1,1))</f>
        <v>300.95722646933314</v>
      </c>
      <c r="GF81" s="59">
        <f t="shared" si="104"/>
        <v>269.52365224623759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>
        <f>EXP(-LN(2)/35)*GL80+(1-EXP(-LN(2)/35))/(LN(2)/35)*GH81*GI81*VLOOKUP('Données projet'!$B$17,Paramètres!$A$1:$I$89,3,0)*0.475*44/12</f>
        <v>0.34393808865837155</v>
      </c>
      <c r="GM81" s="21">
        <f>EXP(-LN(2)/25)*GM80+(1-EXP(-LN(2)/25))/(LN(2)/25)*Calculateur!GH81*Calculateur!GJ81*VLOOKUP('Données projet'!$B$17,Paramètres!$A$1:$I$89,3,0)*0.475*44/12</f>
        <v>1.6487239775969125</v>
      </c>
      <c r="GN81" s="21">
        <f>EXP(-LN(2)/2)*GN80+(1-EXP(-LN(2)/2))/(LN(2)/2)*GH81*GK81*VLOOKUP('Données projet'!$B$17,Paramètres!$A$1:$I$89,3,0)*0.475*44/12</f>
        <v>5.2803537966137198E-7</v>
      </c>
      <c r="GO81" s="21">
        <f t="shared" si="81"/>
        <v>1.9926625942906637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68.21233526808345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1.4000000000000001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5.1333333333333337</v>
      </c>
      <c r="H82" s="67">
        <f t="shared" si="56"/>
        <v>236.13333333333335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68.243347254562607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7.4</v>
      </c>
      <c r="N82" s="13">
        <f>IF('Données projet'!$A$36&gt;35,N81+M82-V81,IF(A82&lt;'Données projet'!$A$36,$K$205^A82,IF(A82='Données projet'!$A$36,'Données projet'!$B$36,N81+M82-V81)))</f>
        <v>340.5999999999998</v>
      </c>
      <c r="O82" s="13">
        <f>N82*VLOOKUP('Données projet'!$B$9,Paramètres!$A$1:$I$89,3,0)*VLOOKUP('Données projet'!$B$9,Paramètres!$A$1:$I$89,5,0)</f>
        <v>308.1748799999998</v>
      </c>
      <c r="P82" s="13">
        <f t="shared" si="87"/>
        <v>72.887541582684676</v>
      </c>
      <c r="Q82" s="20">
        <f t="shared" si="54"/>
        <v>663.6837175898421</v>
      </c>
      <c r="R82" s="59">
        <f t="shared" si="55"/>
        <v>950.57599085657171</v>
      </c>
      <c r="S82" s="59">
        <f ca="1">AVERAGE(OFFSET($R$3,0,0,'Données projet'!$E$9+1,1))-AVERAGE(OFFSET($H$3,0,0,'Données projet'!$E$9+1,1))</f>
        <v>479.46542424895119</v>
      </c>
      <c r="T82" s="59">
        <f t="shared" si="88"/>
        <v>337.96395820277337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0.91267087362432042</v>
      </c>
      <c r="AA82" s="21">
        <f>EXP(-LN(2)/25)*AA81+(1-EXP(-LN(2)/25))/(LN(2)/25)*Calculateur!V82*Calculateur!X82*VLOOKUP('Données projet'!$B$9,Paramètres!$A$1:$I$89,3,0)*0.475*44/12</f>
        <v>2.9000054003033906</v>
      </c>
      <c r="AB82" s="21">
        <f>EXP(-LN(2)/2)*AB81+(1-EXP(-LN(2)/2))/(LN(2)/2)*V82*Y82*VLOOKUP('Données projet'!$B$9,Paramètres!$A$1:$I$89,3,0)*0.475*44/12</f>
        <v>9.0840521992255487E-7</v>
      </c>
      <c r="AC82" s="22">
        <f t="shared" si="57"/>
        <v>3.8126771823329308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68.243347254562607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7.4</v>
      </c>
      <c r="AI82" s="13">
        <f>IF('Données projet'!$A$62&gt;35,AI81+AH82-AQ81,IF(A82&lt;'Données projet'!$A$62,$AF$205^A82,IF(A82='Données projet'!$A$62,'Données projet'!$B$62,AI81+AH82-AQ81)))</f>
        <v>340.5999999999998</v>
      </c>
      <c r="AJ82" s="13">
        <f>AI82*VLOOKUP('Données projet'!$B$10,Paramètres!$A$1:$I$89,3,0)*VLOOKUP('Données projet'!$B$10,Paramètres!$A$1:$I$89,5,0)</f>
        <v>329.42831999999981</v>
      </c>
      <c r="AK82" s="13">
        <f t="shared" si="89"/>
        <v>77.311771364622189</v>
      </c>
      <c r="AL82" s="20">
        <f t="shared" si="58"/>
        <v>708.40565912671661</v>
      </c>
      <c r="AM82" s="59">
        <f t="shared" si="59"/>
        <v>995.29793239344622</v>
      </c>
      <c r="AN82" s="59">
        <f ca="1">AVERAGE(OFFSET($AM$3,0,0,'Données projet'!$E$10+1,1))-AVERAGE(OFFSET($H$3,0,0,'Données projet'!$E$10+1,1))</f>
        <v>508.94560627895089</v>
      </c>
      <c r="AO82" s="59">
        <f t="shared" si="90"/>
        <v>357.86868650263034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0.97561369249496388</v>
      </c>
      <c r="AV82" s="21">
        <f>EXP(-LN(2)/25)*AV81+(1-EXP(-LN(2)/25))/(LN(2)/25)*Calculateur!AQ82*Calculateur!AS82*VLOOKUP('Données projet'!$B$10,Paramètres!$A$1:$I$89,3,0)*0.475*44/12</f>
        <v>3.1000057727381081</v>
      </c>
      <c r="AW82" s="21">
        <f>EXP(-LN(2)/2)*AW81+(1-EXP(-LN(2)/2))/(LN(2)/2)*AQ82*AT82*VLOOKUP('Données projet'!$B$10,Paramètres!$A$1:$I$89,3,0)*0.475*44/12</f>
        <v>9.7105385577927932E-7</v>
      </c>
      <c r="AX82" s="21">
        <f t="shared" si="60"/>
        <v>4.0756204362869282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68.243347254562607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8.5</v>
      </c>
      <c r="BD82" s="12">
        <f>IF('Données projet'!$A$88&gt;35,BD81+BC82-BL81,IF(A82&lt;'Données projet'!$A$88,$BA$205^A82,IF(A82='Données projet'!$A$88,'Données projet'!$B$88,BD81+BC82-BL81)))</f>
        <v>371.50000000000017</v>
      </c>
      <c r="BE82" s="13">
        <f>BD82*VLOOKUP('Données projet'!$B$11,Paramètres!$A$1:$I$89,3,0)*VLOOKUP('Données projet'!$B$11,Paramètres!$A$1:$I$89,5,0)</f>
        <v>289.77000000000015</v>
      </c>
      <c r="BF82" s="13">
        <f t="shared" si="91"/>
        <v>69.027551313132406</v>
      </c>
      <c r="BG82" s="20">
        <f t="shared" si="61"/>
        <v>624.90573520370583</v>
      </c>
      <c r="BH82" s="59">
        <f t="shared" si="62"/>
        <v>911.79800847043543</v>
      </c>
      <c r="BI82" s="59">
        <f ca="1">AVERAGE(OFFSET($BH$3,0,0,'Données projet'!$E$11+1,1))-AVERAGE(OFFSET($H$3,0,0,'Données projet'!$E$11+1,1))</f>
        <v>383.03154033422328</v>
      </c>
      <c r="BJ82" s="59">
        <f t="shared" si="92"/>
        <v>373.27897156169877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0.54793971784711382</v>
      </c>
      <c r="BQ82" s="21">
        <f>EXP(-LN(2)/25)*BQ81+(1-EXP(-LN(2)/25))/(LN(2)/25)*Calculateur!BL82*Calculateur!BN82*VLOOKUP('Données projet'!$B$11,Paramètres!$A$1:$I$89,3,0)*0.475*44/12</f>
        <v>2.1515138932372686</v>
      </c>
      <c r="BR82" s="21">
        <f>EXP(-LN(2)/2)*BR81+(1-EXP(-LN(2)/2))/(LN(2)/2)*BL82*BO82*VLOOKUP('Données projet'!$B$11,Paramètres!$A$1:$I$89,3,0)*0.475*44/12</f>
        <v>5.5090902632088119E-7</v>
      </c>
      <c r="BS82" s="22">
        <f t="shared" si="63"/>
        <v>2.6994541619934087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68.243347254562607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7.4</v>
      </c>
      <c r="BY82" s="12">
        <f>IF('Données projet'!$A$114&gt;35,BY81+BX82-CG81,IF(A82&lt;'Données projet'!$A$114,$BV$205^A82,IF(A82='Données projet'!$A$114,'Données projet'!$B$114,BY81+BX82-CG81)))</f>
        <v>340.5999999999998</v>
      </c>
      <c r="BZ82" s="13">
        <f>BY82*VLOOKUP('Données projet'!$B$12,Paramètres!$A$1:$I$89,3,0)*VLOOKUP('Données projet'!$B$12,Paramètres!$A$1:$I$89,5,0)</f>
        <v>286.92143999999985</v>
      </c>
      <c r="CA82" s="13">
        <f t="shared" si="93"/>
        <v>68.427622886698884</v>
      </c>
      <c r="CB82" s="20">
        <f t="shared" si="64"/>
        <v>618.89961786100014</v>
      </c>
      <c r="CC82" s="59">
        <f t="shared" si="65"/>
        <v>905.79189112772974</v>
      </c>
      <c r="CD82" s="59">
        <f ca="1">AVERAGE(OFFSET($CC$3,0,0,'Données projet'!$E$12+1,1))-AVERAGE(OFFSET($H$3,0,0,'Données projet'!$E$12+1,1))</f>
        <v>449.94334483948603</v>
      </c>
      <c r="CE82" s="59">
        <f t="shared" si="94"/>
        <v>318.02929110264176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0.84972805475367763</v>
      </c>
      <c r="CL82" s="21">
        <f>EXP(-LN(2)/25)*CL81+(1-EXP(-LN(2)/25))/(LN(2)/25)*Calculateur!CG82*Calculateur!CI82*VLOOKUP('Données projet'!$B$12,Paramètres!$A$1:$I$89,3,0)*0.475*44/12</f>
        <v>2.7000050278686749</v>
      </c>
      <c r="CM82" s="21">
        <f>EXP(-LN(2)/2)*CM81+(1-EXP(-LN(2)/2))/(LN(2)/2)*CG82*CJ82*VLOOKUP('Données projet'!$B$12,Paramètres!$A$1:$I$89,3,0)*0.475*44/12</f>
        <v>8.457565840658248E-7</v>
      </c>
      <c r="CN82" s="22">
        <f t="shared" si="66"/>
        <v>3.5497339283789362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68.243347254562607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9.1</v>
      </c>
      <c r="CT82" s="12">
        <f>IF('Données projet'!$A$140&gt;35,CT81+CS82-DB81,IF(A82&lt;'Données projet'!$A$140,$CQ$205^A82,IF(A82='Données projet'!$A$140,'Données projet'!$B$140,CT81+CS82-DB81)))</f>
        <v>369.90000000000009</v>
      </c>
      <c r="CU82" s="17">
        <f>CT82*VLOOKUP('Données projet'!$B$13,Paramètres!$A$1:$I$89,3,0)*VLOOKUP('Données projet'!$B$13,Paramètres!$A$1:$I$89,5,0)</f>
        <v>317.37420000000014</v>
      </c>
      <c r="CV82" s="13">
        <f t="shared" si="95"/>
        <v>74.806743188237078</v>
      </c>
      <c r="CW82" s="20">
        <f t="shared" si="67"/>
        <v>683.04847605284647</v>
      </c>
      <c r="CX82" s="59">
        <f t="shared" si="68"/>
        <v>969.94074931957607</v>
      </c>
      <c r="CY82" s="59">
        <f ca="1">AVERAGE(OFFSET($CX$3,0,0,'Données projet'!$E$13+1,1))-AVERAGE(OFFSET($H$3,0,0,'Données projet'!$E$13+1,1))</f>
        <v>565.32667500225568</v>
      </c>
      <c r="CZ82" s="59">
        <f t="shared" si="96"/>
        <v>275.06957234480944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0</v>
      </c>
      <c r="DG82" s="21">
        <f>EXP(-LN(2)/25)*DG81+(1-EXP(-LN(2)/25))/(LN(2)/25)*Calculateur!DB82*Calculateur!DD82*VLOOKUP('Données projet'!$B$13,Paramètres!$A$1:$I$89,3,0)*0.475*44/12</f>
        <v>1.1261238883555822</v>
      </c>
      <c r="DH82" s="21">
        <f>EXP(-LN(2)/2)*DH81+(1-EXP(-LN(2)/2))/(LN(2)/2)*DB82*DE82*VLOOKUP('Données projet'!$B$13,Paramètres!$A$1:$I$89,3,0)*0.475*44/12</f>
        <v>2.985483946632029E-7</v>
      </c>
      <c r="DI82" s="22">
        <f t="shared" si="69"/>
        <v>1.1261241869039769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68.243347254562607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12.9</v>
      </c>
      <c r="DO82" s="12">
        <f>IF('Données projet'!$A$166&gt;35,DO81+DN82-DW81,IF(A82&lt;'Données projet'!$A$166,$DL$205^A82,IF(A82='Données projet'!$A$166,'Données projet'!$B$166,DO81+DN82-DW81)))</f>
        <v>777.09999999999877</v>
      </c>
      <c r="DP82" s="17">
        <f>DO82*VLOOKUP('Données projet'!$B$14,Paramètres!$A$1:$I$89,3,0)*VLOOKUP('Données projet'!$B$14,Paramètres!$A$1:$I$89,5,0)</f>
        <v>434.39889999999929</v>
      </c>
      <c r="DQ82" s="13">
        <f t="shared" si="97"/>
        <v>98.716678672362434</v>
      </c>
      <c r="DR82" s="20">
        <f t="shared" si="70"/>
        <v>928.50963285436319</v>
      </c>
      <c r="DS82" s="59">
        <f t="shared" si="71"/>
        <v>1215.4019061210927</v>
      </c>
      <c r="DT82" s="59">
        <f ca="1">AVERAGE(OFFSET($DS$3,0,0,'Données projet'!$E$14+1,1))-AVERAGE(OFFSET($H$3,0,0,'Données projet'!$E$14+1,1))</f>
        <v>532.64469322244281</v>
      </c>
      <c r="DU82" s="59">
        <f t="shared" si="98"/>
        <v>525.88014011096413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4.3273187973566962</v>
      </c>
      <c r="EB82" s="21">
        <f>EXP(-LN(2)/25)*EB81+(1-EXP(-LN(2)/25))/(LN(2)/25)*Calculateur!DW82*Calculateur!DY82*VLOOKUP('Données projet'!$B$14,Paramètres!$A$1:$I$89,3,0)*0.475*44/12</f>
        <v>9.9622713605168602</v>
      </c>
      <c r="EC82" s="21">
        <f>EXP(-LN(2)/2)*EC81+(1-EXP(-LN(2)/2))/(LN(2)/2)*DW82*DZ82*VLOOKUP('Données projet'!$B$14,Paramètres!$A$1:$I$89,3,0)*0.475*44/12</f>
        <v>1.5371752798464077E-6</v>
      </c>
      <c r="ED82" s="22">
        <f t="shared" si="72"/>
        <v>14.289591695048836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68.243347254562607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6.1</v>
      </c>
      <c r="EJ82" s="12">
        <f>IF('Données projet'!$A$192&gt;35,EJ81+EI82-ER81,IF(A82&lt;'Données projet'!$A$192,$EG$205^A82,IF(A82='Données projet'!$A$192,'Données projet'!$B$192,EJ81+EI82-ER81)))</f>
        <v>275.90000000000026</v>
      </c>
      <c r="EK82" s="17">
        <f>EJ82*VLOOKUP('Données projet'!$B$15,Paramètres!$A$1:$I$89,3,0)*VLOOKUP('Données projet'!$B$15,Paramètres!$A$1:$I$89,5,0)</f>
        <v>249.63432000000023</v>
      </c>
      <c r="EL82" s="13">
        <f t="shared" si="99"/>
        <v>60.507629314318471</v>
      </c>
      <c r="EM82" s="20">
        <f t="shared" si="73"/>
        <v>540.16389505577172</v>
      </c>
      <c r="EN82" s="59">
        <f t="shared" si="74"/>
        <v>827.05616832250121</v>
      </c>
      <c r="EO82" s="59">
        <f ca="1">AVERAGE(OFFSET($EN$3,0,0,'Données projet'!$E$15+1,1))-AVERAGE(OFFSET($H$3,0,0,'Données projet'!$E$15+1,1))</f>
        <v>398.27843768730202</v>
      </c>
      <c r="EP82" s="59">
        <f t="shared" si="100"/>
        <v>252.3617347568813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0</v>
      </c>
      <c r="EW82" s="21">
        <f>EXP(-LN(2)/25)*EW81+(1-EXP(-LN(2)/25))/(LN(2)/25)*Calculateur!ER82*Calculateur!ET82*VLOOKUP('Données projet'!$B$15,Paramètres!$A$1:$I$89,3,0)*0.475*44/12</f>
        <v>0.79831449496893814</v>
      </c>
      <c r="EX82" s="21">
        <f>EXP(-LN(2)/2)*EX81+(1-EXP(-LN(2)/2))/(LN(2)/2)*ER82*EU82*VLOOKUP('Données projet'!$B$15,Paramètres!$A$1:$I$89,3,0)*0.475*44/12</f>
        <v>2.6086150640182193E-7</v>
      </c>
      <c r="EY82" s="22">
        <f t="shared" si="75"/>
        <v>0.79831475583044453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68.243347254562607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6.1</v>
      </c>
      <c r="FE82" s="12">
        <f>IF('Données projet'!$A$218&gt;35,FE81+FD82-FM81,IF(A82&lt;'Données projet'!$A$218,$FB$205^A82,IF(A82='Données projet'!$A$218,'Données projet'!$B$218,FE81+FD82-FM81)))</f>
        <v>275.90000000000026</v>
      </c>
      <c r="FF82" s="17">
        <f>FE82*VLOOKUP('Données projet'!$B$16,Paramètres!$A$1:$I$89,3,0)*VLOOKUP('Données projet'!$B$16,Paramètres!$A$1:$I$89,5,0)</f>
        <v>266.85048000000029</v>
      </c>
      <c r="FG82" s="13">
        <f t="shared" si="101"/>
        <v>64.180405893607485</v>
      </c>
      <c r="FH82" s="20">
        <f t="shared" si="76"/>
        <v>576.54545959803352</v>
      </c>
      <c r="FI82" s="59">
        <f t="shared" si="77"/>
        <v>863.43773286476312</v>
      </c>
      <c r="FJ82" s="59">
        <f ca="1">AVERAGE(OFFSET($FI$3,0,0,'Données projet'!$E$16+1,1))-AVERAGE(OFFSET($H$3,0,0,'Données projet'!$E$16+1,1))</f>
        <v>422.28024471365825</v>
      </c>
      <c r="FK82" s="59">
        <f t="shared" si="102"/>
        <v>266.49730479813206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0</v>
      </c>
      <c r="FR82" s="21">
        <f>EXP(-LN(2)/25)*FR81+(1-EXP(-LN(2)/25))/(LN(2)/25)*Calculateur!FM82*Calculateur!FO82*VLOOKUP('Données projet'!$B$16,Paramètres!$A$1:$I$89,3,0)*0.475*44/12</f>
        <v>0.85337066703576148</v>
      </c>
      <c r="FS82" s="21">
        <f>EXP(-LN(2)/2)*FS81+(1-EXP(-LN(2)/2))/(LN(2)/2)*FM82*FP82*VLOOKUP('Données projet'!$B$16,Paramètres!$A$1:$I$89,3,0)*0.475*44/12</f>
        <v>2.788519551191889E-7</v>
      </c>
      <c r="FT82" s="22">
        <f t="shared" si="78"/>
        <v>0.85337094588771656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68.243347254562607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3.4106051316484809E-13</v>
      </c>
      <c r="GA82" s="17">
        <f>FZ82*VLOOKUP('Données projet'!$B$17,Paramètres!$A$1:$I$89,3,0)*VLOOKUP('Données projet'!$B$17,Paramètres!$A$1:$I$89,5,0)</f>
        <v>2.6602720026858149E-13</v>
      </c>
      <c r="GB82" s="13">
        <f t="shared" si="103"/>
        <v>3.5662905043956649E-12</v>
      </c>
      <c r="GC82" s="20">
        <f t="shared" si="79"/>
        <v>6.6746200022902298E-12</v>
      </c>
      <c r="GD82" s="59">
        <f t="shared" si="80"/>
        <v>286.8922732667362</v>
      </c>
      <c r="GE82" s="59">
        <f ca="1">AVERAGE(OFFSET($GD$3,0,0,'Données projet'!$E$17+1,1))-AVERAGE(OFFSET($H$3,0,0,'Données projet'!$E$17+1,1))</f>
        <v>300.95722646933314</v>
      </c>
      <c r="GF82" s="59">
        <f t="shared" si="104"/>
        <v>269.52365224623759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>
        <f>EXP(-LN(2)/35)*GL81+(1-EXP(-LN(2)/35))/(LN(2)/35)*GH82*GI82*VLOOKUP('Données projet'!$B$17,Paramètres!$A$1:$I$89,3,0)*0.475*44/12</f>
        <v>0.33719367252130078</v>
      </c>
      <c r="GM82" s="21">
        <f>EXP(-LN(2)/25)*GM81+(1-EXP(-LN(2)/25))/(LN(2)/25)*Calculateur!GH82*Calculateur!GJ82*VLOOKUP('Données projet'!$B$17,Paramètres!$A$1:$I$89,3,0)*0.475*44/12</f>
        <v>1.6036395337268992</v>
      </c>
      <c r="GN82" s="21">
        <f>EXP(-LN(2)/2)*GN81+(1-EXP(-LN(2)/2))/(LN(2)/2)*GH82*GK82*VLOOKUP('Données projet'!$B$17,Paramètres!$A$1:$I$89,3,0)*0.475*44/12</f>
        <v>3.7337739766496931E-7</v>
      </c>
      <c r="GO82" s="21">
        <f t="shared" si="81"/>
        <v>1.9408335796255975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68.243347254562607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1.4000000000000001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5.1333333333333337</v>
      </c>
      <c r="H83" s="67">
        <f t="shared" si="56"/>
        <v>236.13333333333335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68.273821252408752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348</v>
      </c>
      <c r="L83" s="12">
        <f>VLOOKUP(A83,'Données projet'!$A$35:$I$55,9,0)</f>
        <v>7.4</v>
      </c>
      <c r="M83" s="12">
        <f t="array" ref="M83">INDEX(L:L,MIN(IF(ISNUMBER(L83:L279),ROW(L83:L279),"")))</f>
        <v>7.4</v>
      </c>
      <c r="N83" s="13">
        <f>IF('Données projet'!$A$36&gt;35,N82+M83-V82,IF(A83&lt;'Données projet'!$A$36,$K$205^A83,IF(A83='Données projet'!$A$36,'Données projet'!$B$36,N82+M83-V82)))</f>
        <v>347.99999999999977</v>
      </c>
      <c r="O83" s="13">
        <f>N83*VLOOKUP('Données projet'!$B$9,Paramètres!$A$1:$I$89,3,0)*VLOOKUP('Données projet'!$B$9,Paramètres!$A$1:$I$89,5,0)</f>
        <v>314.87039999999979</v>
      </c>
      <c r="P83" s="13">
        <f t="shared" si="87"/>
        <v>74.285038887149881</v>
      </c>
      <c r="Q83" s="20">
        <f t="shared" si="54"/>
        <v>677.7790560617857</v>
      </c>
      <c r="R83" s="59">
        <f t="shared" si="55"/>
        <v>964.78306732061787</v>
      </c>
      <c r="S83" s="59">
        <f ca="1">AVERAGE(OFFSET($R$3,0,0,'Données projet'!$E$9+1,1))-AVERAGE(OFFSET($H$3,0,0,'Données projet'!$E$9+1,1))</f>
        <v>479.46542424895119</v>
      </c>
      <c r="T83" s="59">
        <f t="shared" si="88"/>
        <v>337.96395820277337</v>
      </c>
      <c r="U83" s="15">
        <f>IF(ISNA(VLOOKUP(A83,'Données projet'!$A$35:$I$55,3,0)),0,VLOOKUP(A83,'Données projet'!$A$35:$I$55,3,0))</f>
        <v>7</v>
      </c>
      <c r="V83" s="15">
        <f>IF(ISNA(VLOOKUP(A83,'Données projet'!$A$35:$I$55,4,0)),0,VLOOKUP(A83,'Données projet'!$A$35:$I$55,4,0))</f>
        <v>56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0.8947739544668134</v>
      </c>
      <c r="AA83" s="21">
        <f>EXP(-LN(2)/25)*AA82+(1-EXP(-LN(2)/25))/(LN(2)/25)*Calculateur!V83*Calculateur!X83*VLOOKUP('Données projet'!$B$9,Paramètres!$A$1:$I$89,3,0)*0.475*44/12</f>
        <v>2.8207046001274385</v>
      </c>
      <c r="AB83" s="21">
        <f>EXP(-LN(2)/2)*AB82+(1-EXP(-LN(2)/2))/(LN(2)/2)*V83*Y83*VLOOKUP('Données projet'!$B$9,Paramètres!$A$1:$I$89,3,0)*0.475*44/12</f>
        <v>6.4233949107249562E-7</v>
      </c>
      <c r="AC83" s="22">
        <f t="shared" si="57"/>
        <v>3.7154791969337428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68.273821252408752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348</v>
      </c>
      <c r="AG83" s="12">
        <f>VLOOKUP(A83,'Données projet'!$A$61:$I$81,9,0)</f>
        <v>7.4</v>
      </c>
      <c r="AH83" s="12">
        <f t="array" ref="AH83">INDEX(AG:AG,MIN(IF(ISNUMBER(AG83:AG279),ROW(AG83:AG279),"")))</f>
        <v>7.4</v>
      </c>
      <c r="AI83" s="13">
        <f>IF('Données projet'!$A$62&gt;35,AI82+AH83-AQ82,IF(A83&lt;'Données projet'!$A$62,$AF$205^A83,IF(A83='Données projet'!$A$62,'Données projet'!$B$62,AI82+AH83-AQ82)))</f>
        <v>347.99999999999977</v>
      </c>
      <c r="AJ83" s="13">
        <f>AI83*VLOOKUP('Données projet'!$B$10,Paramètres!$A$1:$I$89,3,0)*VLOOKUP('Données projet'!$B$10,Paramètres!$A$1:$I$89,5,0)</f>
        <v>336.58559999999977</v>
      </c>
      <c r="AK83" s="13">
        <f t="shared" si="89"/>
        <v>78.794095911992599</v>
      </c>
      <c r="AL83" s="20">
        <f t="shared" si="58"/>
        <v>723.45297038005344</v>
      </c>
      <c r="AM83" s="59">
        <f t="shared" si="59"/>
        <v>1010.4569816388855</v>
      </c>
      <c r="AN83" s="59">
        <f ca="1">AVERAGE(OFFSET($AM$3,0,0,'Données projet'!$E$10+1,1))-AVERAGE(OFFSET($H$3,0,0,'Données projet'!$E$10+1,1))</f>
        <v>508.94560627895089</v>
      </c>
      <c r="AO83" s="59">
        <f t="shared" si="90"/>
        <v>357.86868650263034</v>
      </c>
      <c r="AP83" s="15">
        <f>IF(ISNA(VLOOKUP(A83,'Données projet'!$A$61:$I$81,3,0)),0,VLOOKUP(A83,'Données projet'!$A$61:$I$81,3,0))</f>
        <v>7</v>
      </c>
      <c r="AQ83" s="15">
        <f>IF(ISNA(VLOOKUP(A83,'Données projet'!$A$61:$I$81,4,0)),0,VLOOKUP(A83,'Données projet'!$A$61:$I$81,4,0))</f>
        <v>56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0.95648250305073224</v>
      </c>
      <c r="AV83" s="21">
        <f>EXP(-LN(2)/25)*AV82+(1-EXP(-LN(2)/25))/(LN(2)/25)*Calculateur!AQ83*Calculateur!AS83*VLOOKUP('Données projet'!$B$10,Paramètres!$A$1:$I$89,3,0)*0.475*44/12</f>
        <v>3.0152359518603662</v>
      </c>
      <c r="AW83" s="21">
        <f>EXP(-LN(2)/2)*AW82+(1-EXP(-LN(2)/2))/(LN(2)/2)*AQ83*AT83*VLOOKUP('Données projet'!$B$10,Paramètres!$A$1:$I$89,3,0)*0.475*44/12</f>
        <v>6.8663876631887215E-7</v>
      </c>
      <c r="AX83" s="21">
        <f t="shared" si="60"/>
        <v>3.9717191415498645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68.273821252408752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380</v>
      </c>
      <c r="BB83" s="12">
        <f>VLOOKUP(A83,'Données projet'!$A$87:$I$107,9,0)</f>
        <v>8.5</v>
      </c>
      <c r="BC83" s="12">
        <f t="array" ref="BC83">INDEX(BB:BB,MIN(IF(ISNUMBER(BB83:BB279),ROW(BB83:BB279),"")))</f>
        <v>8.5</v>
      </c>
      <c r="BD83" s="12">
        <f>IF('Données projet'!$A$88&gt;35,BD82+BC83-BL82,IF(A83&lt;'Données projet'!$A$88,$BA$205^A83,IF(A83='Données projet'!$A$88,'Données projet'!$B$88,BD82+BC83-BL82)))</f>
        <v>380.00000000000017</v>
      </c>
      <c r="BE83" s="13">
        <f>BD83*VLOOKUP('Données projet'!$B$11,Paramètres!$A$1:$I$89,3,0)*VLOOKUP('Données projet'!$B$11,Paramètres!$A$1:$I$89,5,0)</f>
        <v>296.40000000000015</v>
      </c>
      <c r="BF83" s="13">
        <f t="shared" si="91"/>
        <v>70.421235748094688</v>
      </c>
      <c r="BG83" s="20">
        <f t="shared" si="61"/>
        <v>638.88031892793185</v>
      </c>
      <c r="BH83" s="59">
        <f t="shared" si="62"/>
        <v>925.88433018676392</v>
      </c>
      <c r="BI83" s="59">
        <f ca="1">AVERAGE(OFFSET($BH$3,0,0,'Données projet'!$E$11+1,1))-AVERAGE(OFFSET($H$3,0,0,'Données projet'!$E$11+1,1))</f>
        <v>383.03154033422328</v>
      </c>
      <c r="BJ83" s="59">
        <f t="shared" si="92"/>
        <v>373.27897156169877</v>
      </c>
      <c r="BK83" s="15">
        <f>IF(ISNA(VLOOKUP(A83,'Données projet'!$A$87:$I$107,3,0)),0,VLOOKUP(A83,'Données projet'!$A$87:$I$107,3,0))</f>
        <v>7</v>
      </c>
      <c r="BL83" s="21">
        <f>IF(ISNA(VLOOKUP(A83,'Données projet'!$A$87:$I$107,4,0)),0,VLOOKUP(A83,'Données projet'!$A$87:$I$107,4,0))</f>
        <v>380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0.53719495419035923</v>
      </c>
      <c r="BQ83" s="21">
        <f>EXP(-LN(2)/25)*BQ82+(1-EXP(-LN(2)/25))/(LN(2)/25)*Calculateur!BL83*Calculateur!BN83*VLOOKUP('Données projet'!$B$11,Paramètres!$A$1:$I$89,3,0)*0.475*44/12</f>
        <v>2.0926806326834972</v>
      </c>
      <c r="BR83" s="21">
        <f>EXP(-LN(2)/2)*BR82+(1-EXP(-LN(2)/2))/(LN(2)/2)*BL83*BO83*VLOOKUP('Données projet'!$B$11,Paramètres!$A$1:$I$89,3,0)*0.475*44/12</f>
        <v>3.8955150832837329E-7</v>
      </c>
      <c r="BS83" s="22">
        <f t="shared" si="63"/>
        <v>2.6298759764253647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68.273821252408752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348</v>
      </c>
      <c r="BW83" s="12">
        <f>VLOOKUP(A83,'Données projet'!$A$113:$I$133,9,0)</f>
        <v>7.4</v>
      </c>
      <c r="BX83" s="12">
        <f t="array" ref="BX83">INDEX(BW:BW,MIN(IF(ISNUMBER(BW83:BW279),ROW(BW83:BW279),"")))</f>
        <v>7.4</v>
      </c>
      <c r="BY83" s="12">
        <f>IF('Données projet'!$A$114&gt;35,BY82+BX83-CG82,IF(A83&lt;'Données projet'!$A$114,$BV$205^A83,IF(A83='Données projet'!$A$114,'Données projet'!$B$114,BY82+BX83-CG82)))</f>
        <v>347.99999999999977</v>
      </c>
      <c r="BZ83" s="13">
        <f>BY83*VLOOKUP('Données projet'!$B$12,Paramètres!$A$1:$I$89,3,0)*VLOOKUP('Données projet'!$B$12,Paramètres!$A$1:$I$89,5,0)</f>
        <v>293.15519999999987</v>
      </c>
      <c r="CA83" s="13">
        <f t="shared" si="93"/>
        <v>69.739608672728551</v>
      </c>
      <c r="CB83" s="20">
        <f t="shared" si="64"/>
        <v>632.0417917716685</v>
      </c>
      <c r="CC83" s="59">
        <f t="shared" si="65"/>
        <v>919.04580303050057</v>
      </c>
      <c r="CD83" s="59">
        <f ca="1">AVERAGE(OFFSET($CC$3,0,0,'Données projet'!$E$12+1,1))-AVERAGE(OFFSET($H$3,0,0,'Données projet'!$E$12+1,1))</f>
        <v>449.94334483948603</v>
      </c>
      <c r="CE83" s="59">
        <f t="shared" si="94"/>
        <v>318.02929110264176</v>
      </c>
      <c r="CF83" s="15">
        <f>IF(ISNA(VLOOKUP(A83,'Données projet'!$A$113:$I$133,3,0)),0,VLOOKUP(A83,'Données projet'!$A$113:$I$133,3,0))</f>
        <v>7</v>
      </c>
      <c r="CG83" s="15">
        <f>IF(ISNA(VLOOKUP(A83,'Données projet'!$A$113:$I$133,4,0)),0,VLOOKUP(A83,'Données projet'!$A$113:$I$133,4,0))</f>
        <v>56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0.83306540588289524</v>
      </c>
      <c r="CL83" s="21">
        <f>EXP(-LN(2)/25)*CL82+(1-EXP(-LN(2)/25))/(LN(2)/25)*Calculateur!CG83*Calculateur!CI83*VLOOKUP('Données projet'!$B$12,Paramètres!$A$1:$I$89,3,0)*0.475*44/12</f>
        <v>2.6261732483945126</v>
      </c>
      <c r="CM83" s="21">
        <f>EXP(-LN(2)/2)*CM82+(1-EXP(-LN(2)/2))/(LN(2)/2)*CG83*CJ83*VLOOKUP('Données projet'!$B$12,Paramètres!$A$1:$I$89,3,0)*0.475*44/12</f>
        <v>5.9804021582611506E-7</v>
      </c>
      <c r="CN83" s="22">
        <f t="shared" si="66"/>
        <v>3.4592392523176239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68.273821252408752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379</v>
      </c>
      <c r="CR83" s="12">
        <f>VLOOKUP(A83,'Données projet'!$A$139:$I$159,9,0)</f>
        <v>9.1</v>
      </c>
      <c r="CS83" s="12">
        <f t="array" ref="CS83">INDEX(CR:CR,MIN(IF(ISNUMBER(CR83:CR279),ROW(CR83:CR279),"")))</f>
        <v>9.1</v>
      </c>
      <c r="CT83" s="12">
        <f>IF('Données projet'!$A$140&gt;35,CT82+CS83-DB82,IF(A83&lt;'Données projet'!$A$140,$CQ$205^A83,IF(A83='Données projet'!$A$140,'Données projet'!$B$140,CT82+CS83-DB82)))</f>
        <v>379.00000000000011</v>
      </c>
      <c r="CU83" s="17">
        <f>CT83*VLOOKUP('Données projet'!$B$13,Paramètres!$A$1:$I$89,3,0)*VLOOKUP('Données projet'!$B$13,Paramètres!$A$1:$I$89,5,0)</f>
        <v>325.18200000000013</v>
      </c>
      <c r="CV83" s="13">
        <f t="shared" si="95"/>
        <v>76.430559420348956</v>
      </c>
      <c r="CW83" s="20">
        <f t="shared" si="67"/>
        <v>699.47520765710806</v>
      </c>
      <c r="CX83" s="59">
        <f t="shared" si="68"/>
        <v>986.47921891594024</v>
      </c>
      <c r="CY83" s="59">
        <f ca="1">AVERAGE(OFFSET($CX$3,0,0,'Données projet'!$E$13+1,1))-AVERAGE(OFFSET($H$3,0,0,'Données projet'!$E$13+1,1))</f>
        <v>565.32667500225568</v>
      </c>
      <c r="CZ83" s="59">
        <f t="shared" si="96"/>
        <v>275.06957234480944</v>
      </c>
      <c r="DA83" s="15">
        <f>IF(ISNA(VLOOKUP(A83,'Données projet'!$A$139:$I$159,3,0)),0,VLOOKUP(A83,'Données projet'!$A$139:$I$159,3,0))</f>
        <v>6</v>
      </c>
      <c r="DB83" s="15">
        <f>IF(ISNA(VLOOKUP(A83,'Données projet'!$A$139:$I$159,4,0)),0,VLOOKUP(A83,'Données projet'!$A$139:$I$159,4,0))</f>
        <v>56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0</v>
      </c>
      <c r="DG83" s="21">
        <f>EXP(-LN(2)/25)*DG82+(1-EXP(-LN(2)/25))/(LN(2)/25)*Calculateur!DB83*Calculateur!DD83*VLOOKUP('Données projet'!$B$13,Paramètres!$A$1:$I$89,3,0)*0.475*44/12</f>
        <v>1.0953299714082172</v>
      </c>
      <c r="DH83" s="21">
        <f>EXP(-LN(2)/2)*DH82+(1-EXP(-LN(2)/2))/(LN(2)/2)*DB83*DE83*VLOOKUP('Données projet'!$B$13,Paramètres!$A$1:$I$89,3,0)*0.475*44/12</f>
        <v>2.1110559437870845E-7</v>
      </c>
      <c r="DI83" s="22">
        <f t="shared" si="69"/>
        <v>1.0953301825138115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68.273821252408752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790</v>
      </c>
      <c r="DM83" s="12">
        <f>VLOOKUP(A83,'Données projet'!$A$165:$I$185,9,0)</f>
        <v>12.9</v>
      </c>
      <c r="DN83" s="12">
        <f t="array" ref="DN83">INDEX(DM:DM,MIN(IF(ISNUMBER(DM83:DM279),ROW(DM83:DM279),"")))</f>
        <v>12.9</v>
      </c>
      <c r="DO83" s="12">
        <f>IF('Données projet'!$A$166&gt;35,DO82+DN83-DW82,IF(A83&lt;'Données projet'!$A$166,$DL$205^A83,IF(A83='Données projet'!$A$166,'Données projet'!$B$166,DO82+DN83-DW82)))</f>
        <v>789.99999999999875</v>
      </c>
      <c r="DP83" s="17">
        <f>DO83*VLOOKUP('Données projet'!$B$14,Paramètres!$A$1:$I$89,3,0)*VLOOKUP('Données projet'!$B$14,Paramètres!$A$1:$I$89,5,0)</f>
        <v>441.60999999999933</v>
      </c>
      <c r="DQ83" s="13">
        <f t="shared" si="97"/>
        <v>100.16325657794113</v>
      </c>
      <c r="DR83" s="20">
        <f t="shared" si="70"/>
        <v>943.58842187324615</v>
      </c>
      <c r="DS83" s="59">
        <f t="shared" si="71"/>
        <v>1230.5924331320782</v>
      </c>
      <c r="DT83" s="59">
        <f ca="1">AVERAGE(OFFSET($DS$3,0,0,'Données projet'!$E$14+1,1))-AVERAGE(OFFSET($H$3,0,0,'Données projet'!$E$14+1,1))</f>
        <v>532.64469322244281</v>
      </c>
      <c r="DU83" s="59">
        <f t="shared" si="98"/>
        <v>525.88014011096413</v>
      </c>
      <c r="DV83" s="15">
        <f>IF(ISNA(VLOOKUP(A83,'Données projet'!$A$165:$I$185,3,0)),0,VLOOKUP(A83,'Données projet'!$A$165:$I$185,3,0))</f>
        <v>7</v>
      </c>
      <c r="DW83" s="15">
        <f>IF(ISNA(VLOOKUP(A83,'Données projet'!$A$165:$I$185,4,0)),0,VLOOKUP(A83,'Données projet'!$A$165:$I$185,4,0))</f>
        <v>790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4.2424627151443781</v>
      </c>
      <c r="EB83" s="21">
        <f>EXP(-LN(2)/25)*EB82+(1-EXP(-LN(2)/25))/(LN(2)/25)*Calculateur!DW83*Calculateur!DY83*VLOOKUP('Données projet'!$B$14,Paramètres!$A$1:$I$89,3,0)*0.475*44/12</f>
        <v>9.6898525262704442</v>
      </c>
      <c r="EC83" s="21">
        <f>EXP(-LN(2)/2)*EC82+(1-EXP(-LN(2)/2))/(LN(2)/2)*DW83*DZ83*VLOOKUP('Données projet'!$B$14,Paramètres!$A$1:$I$89,3,0)*0.475*44/12</f>
        <v>1.0869470642517238E-6</v>
      </c>
      <c r="ED83" s="22">
        <f t="shared" si="72"/>
        <v>13.932316328361887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68.273821252408752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>
        <f>VLOOKUP(A83,'Données projet'!$A$191:$I$211,2,0)</f>
        <v>282</v>
      </c>
      <c r="EH83" s="12">
        <f>VLOOKUP(A83,'Données projet'!$A$191:$I$211,9,0)</f>
        <v>6.1</v>
      </c>
      <c r="EI83" s="12">
        <f t="array" ref="EI83">INDEX(EH:EH,MIN(IF(ISNUMBER(EH83:EH279),ROW(EH83:EH279),"")))</f>
        <v>6.1</v>
      </c>
      <c r="EJ83" s="12">
        <f>IF('Données projet'!$A$192&gt;35,EJ82+EI83-ER82,IF(A83&lt;'Données projet'!$A$192,$EG$205^A83,IF(A83='Données projet'!$A$192,'Données projet'!$B$192,EJ82+EI83-ER82)))</f>
        <v>282.00000000000028</v>
      </c>
      <c r="EK83" s="17">
        <f>EJ83*VLOOKUP('Données projet'!$B$15,Paramètres!$A$1:$I$89,3,0)*VLOOKUP('Données projet'!$B$15,Paramètres!$A$1:$I$89,5,0)</f>
        <v>255.15360000000024</v>
      </c>
      <c r="EL83" s="13">
        <f t="shared" si="99"/>
        <v>61.688192762754483</v>
      </c>
      <c r="EM83" s="20">
        <f t="shared" si="73"/>
        <v>551.83278906179783</v>
      </c>
      <c r="EN83" s="59">
        <f t="shared" si="74"/>
        <v>838.83680032062989</v>
      </c>
      <c r="EO83" s="59">
        <f ca="1">AVERAGE(OFFSET($EN$3,0,0,'Données projet'!$E$15+1,1))-AVERAGE(OFFSET($H$3,0,0,'Données projet'!$E$15+1,1))</f>
        <v>398.27843768730202</v>
      </c>
      <c r="EP83" s="59">
        <f t="shared" si="100"/>
        <v>252.3617347568813</v>
      </c>
      <c r="EQ83" s="15">
        <f>IF(ISNA(VLOOKUP(A83,'Données projet'!$A$191:$I$211,3,0)),0,VLOOKUP(A83,'Données projet'!$A$191:$I$211,3,0))</f>
        <v>6</v>
      </c>
      <c r="ER83" s="15">
        <f>IF(ISNA(VLOOKUP(A83,'Données projet'!$A$191:$I$211,4,0)),0,VLOOKUP(A83,'Données projet'!$A$191:$I$211,4,0))</f>
        <v>42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0</v>
      </c>
      <c r="EW83" s="21">
        <f>EXP(-LN(2)/25)*EW82+(1-EXP(-LN(2)/25))/(LN(2)/25)*Calculateur!ER83*Calculateur!ET83*VLOOKUP('Données projet'!$B$15,Paramètres!$A$1:$I$89,3,0)*0.475*44/12</f>
        <v>0.77648454312247783</v>
      </c>
      <c r="EX83" s="21">
        <f>EXP(-LN(2)/2)*EX82+(1-EXP(-LN(2)/2))/(LN(2)/2)*ER83*EU83*VLOOKUP('Données projet'!$B$15,Paramètres!$A$1:$I$89,3,0)*0.475*44/12</f>
        <v>1.8445694012726627E-7</v>
      </c>
      <c r="EY83" s="22">
        <f t="shared" si="75"/>
        <v>0.776484727579418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68.273821252408752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>
        <f>VLOOKUP(A83,'Données projet'!$A$217:$I$237,2,0)</f>
        <v>282</v>
      </c>
      <c r="FC83" s="12">
        <f>VLOOKUP(A83,'Données projet'!$A$217:$I$237,9,0)</f>
        <v>6.1</v>
      </c>
      <c r="FD83" s="12">
        <f t="array" ref="FD83">INDEX(FC:FC,MIN(IF(ISNUMBER(FC83:FC279),ROW(FC83:FC279),"")))</f>
        <v>6.1</v>
      </c>
      <c r="FE83" s="12">
        <f>IF('Données projet'!$A$218&gt;35,FE82+FD83-FM82,IF(A83&lt;'Données projet'!$A$218,$FB$205^A83,IF(A83='Données projet'!$A$218,'Données projet'!$B$218,FE82+FD83-FM82)))</f>
        <v>282.00000000000028</v>
      </c>
      <c r="FF83" s="17">
        <f>FE83*VLOOKUP('Données projet'!$B$16,Paramètres!$A$1:$I$89,3,0)*VLOOKUP('Données projet'!$B$16,Paramètres!$A$1:$I$89,5,0)</f>
        <v>272.7504000000003</v>
      </c>
      <c r="FG83" s="13">
        <f t="shared" si="101"/>
        <v>65.432628830820761</v>
      </c>
      <c r="FH83" s="20">
        <f t="shared" si="76"/>
        <v>589.00210854701334</v>
      </c>
      <c r="FI83" s="59">
        <f t="shared" si="77"/>
        <v>876.0061198058454</v>
      </c>
      <c r="FJ83" s="59">
        <f ca="1">AVERAGE(OFFSET($FI$3,0,0,'Données projet'!$E$16+1,1))-AVERAGE(OFFSET($H$3,0,0,'Données projet'!$E$16+1,1))</f>
        <v>422.28024471365825</v>
      </c>
      <c r="FK83" s="59">
        <f t="shared" si="102"/>
        <v>266.49730479813206</v>
      </c>
      <c r="FL83" s="15">
        <f>IF(ISNA(VLOOKUP(A83,'Données projet'!$A$217:$I$237,3,0)),0,VLOOKUP(A83,'Données projet'!$A$217:$I$237,3,0))</f>
        <v>6</v>
      </c>
      <c r="FM83" s="15">
        <f>IF(ISNA(VLOOKUP(A83,'Données projet'!$A$217:$I$237,4,0)),0,VLOOKUP(A83,'Données projet'!$A$217:$I$237,4,0))</f>
        <v>42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>
        <f>EXP(-LN(2)/35)*FQ82+(1-EXP(-LN(2)/35))/(LN(2)/35)*FM83*FN83*VLOOKUP('Données projet'!$B$16,Paramètres!$A$1:$I$89,3,0)*0.475*44/12</f>
        <v>0</v>
      </c>
      <c r="FR83" s="21">
        <f>EXP(-LN(2)/25)*FR82+(1-EXP(-LN(2)/25))/(LN(2)/25)*Calculateur!FM83*Calculateur!FO83*VLOOKUP('Données projet'!$B$16,Paramètres!$A$1:$I$89,3,0)*0.475*44/12</f>
        <v>0.83003520126885555</v>
      </c>
      <c r="FS83" s="21">
        <f>EXP(-LN(2)/2)*FS82+(1-EXP(-LN(2)/2))/(LN(2)/2)*FM83*FP83*VLOOKUP('Données projet'!$B$16,Paramètres!$A$1:$I$89,3,0)*0.475*44/12</f>
        <v>1.9717810841190528E-7</v>
      </c>
      <c r="FT83" s="22">
        <f t="shared" si="78"/>
        <v>0.83003539844696395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68.273821252408752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3.4106051316484809E-13</v>
      </c>
      <c r="GA83" s="17">
        <f>FZ83*VLOOKUP('Données projet'!$B$17,Paramètres!$A$1:$I$89,3,0)*VLOOKUP('Données projet'!$B$17,Paramètres!$A$1:$I$89,5,0)</f>
        <v>2.6602720026858149E-13</v>
      </c>
      <c r="GB83" s="13">
        <f t="shared" si="103"/>
        <v>3.5662905043956649E-12</v>
      </c>
      <c r="GC83" s="20">
        <f t="shared" si="79"/>
        <v>6.6746200022902298E-12</v>
      </c>
      <c r="GD83" s="59">
        <f t="shared" si="80"/>
        <v>287.00401125883877</v>
      </c>
      <c r="GE83" s="59">
        <f ca="1">AVERAGE(OFFSET($GD$3,0,0,'Données projet'!$E$17+1,1))-AVERAGE(OFFSET($H$3,0,0,'Données projet'!$E$17+1,1))</f>
        <v>300.95722646933314</v>
      </c>
      <c r="GF83" s="59">
        <f t="shared" si="104"/>
        <v>269.52365224623759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>
        <f>EXP(-LN(2)/35)*GL82+(1-EXP(-LN(2)/35))/(LN(2)/35)*GH83*GI83*VLOOKUP('Données projet'!$B$17,Paramètres!$A$1:$I$89,3,0)*0.475*44/12</f>
        <v>0.33058151027099031</v>
      </c>
      <c r="GM83" s="21">
        <f>EXP(-LN(2)/25)*GM82+(1-EXP(-LN(2)/25))/(LN(2)/25)*Calculateur!GH83*Calculateur!GJ83*VLOOKUP('Données projet'!$B$17,Paramètres!$A$1:$I$89,3,0)*0.475*44/12</f>
        <v>1.5597879263453991</v>
      </c>
      <c r="GN83" s="21">
        <f>EXP(-LN(2)/2)*GN82+(1-EXP(-LN(2)/2))/(LN(2)/2)*GH83*GK83*VLOOKUP('Données projet'!$B$17,Paramètres!$A$1:$I$89,3,0)*0.475*44/12</f>
        <v>2.6401768983068599E-7</v>
      </c>
      <c r="GO83" s="21">
        <f t="shared" si="81"/>
        <v>1.8903697006340794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68.273821252408752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1.4000000000000001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5.1333333333333337</v>
      </c>
      <c r="H84" s="67">
        <f t="shared" si="56"/>
        <v>236.13333333333335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68.303766594521932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6.6</v>
      </c>
      <c r="N84" s="13">
        <f>IF('Données projet'!$A$36&gt;35,N83+M84-V83,IF(A84&lt;'Données projet'!$A$36,$K$205^A84,IF(A84='Données projet'!$A$36,'Données projet'!$B$36,N83+M84-V83)))</f>
        <v>298.5999999999998</v>
      </c>
      <c r="O84" s="13">
        <f>N84*VLOOKUP('Données projet'!$B$9,Paramètres!$A$1:$I$89,3,0)*VLOOKUP('Données projet'!$B$9,Paramètres!$A$1:$I$89,5,0)</f>
        <v>270.17327999999981</v>
      </c>
      <c r="P84" s="13">
        <f t="shared" si="87"/>
        <v>64.886042303882988</v>
      </c>
      <c r="Q84" s="20">
        <f t="shared" si="54"/>
        <v>583.56165301259591</v>
      </c>
      <c r="R84" s="59">
        <f t="shared" si="55"/>
        <v>870.67546385917626</v>
      </c>
      <c r="S84" s="59">
        <f ca="1">AVERAGE(OFFSET($R$3,0,0,'Données projet'!$E$9+1,1))-AVERAGE(OFFSET($H$3,0,0,'Données projet'!$E$9+1,1))</f>
        <v>479.46542424895119</v>
      </c>
      <c r="T84" s="59">
        <f t="shared" si="88"/>
        <v>337.96395820277337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0.87722798297794224</v>
      </c>
      <c r="AA84" s="21">
        <f>EXP(-LN(2)/25)*AA83+(1-EXP(-LN(2)/25))/(LN(2)/25)*Calculateur!V84*Calculateur!X84*VLOOKUP('Données projet'!$B$9,Paramètres!$A$1:$I$89,3,0)*0.475*44/12</f>
        <v>2.7435722845025454</v>
      </c>
      <c r="AB84" s="21">
        <f>EXP(-LN(2)/2)*AB83+(1-EXP(-LN(2)/2))/(LN(2)/2)*V84*Y84*VLOOKUP('Données projet'!$B$9,Paramètres!$A$1:$I$89,3,0)*0.475*44/12</f>
        <v>4.5420260996127749E-7</v>
      </c>
      <c r="AC84" s="22">
        <f t="shared" si="57"/>
        <v>3.6208007216830973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68.303766594521932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6.6</v>
      </c>
      <c r="AI84" s="13">
        <f>IF('Données projet'!$A$62&gt;35,AI83+AH84-AQ83,IF(A84&lt;'Données projet'!$A$62,$AF$205^A84,IF(A84='Données projet'!$A$62,'Données projet'!$B$62,AI83+AH84-AQ83)))</f>
        <v>298.5999999999998</v>
      </c>
      <c r="AJ84" s="13">
        <f>AI84*VLOOKUP('Données projet'!$B$10,Paramètres!$A$1:$I$89,3,0)*VLOOKUP('Données projet'!$B$10,Paramètres!$A$1:$I$89,5,0)</f>
        <v>288.80591999999979</v>
      </c>
      <c r="AK84" s="13">
        <f t="shared" si="89"/>
        <v>68.824585908996056</v>
      </c>
      <c r="AL84" s="20">
        <f t="shared" si="58"/>
        <v>622.87313112483434</v>
      </c>
      <c r="AM84" s="59">
        <f t="shared" si="59"/>
        <v>909.98694197141481</v>
      </c>
      <c r="AN84" s="59">
        <f ca="1">AVERAGE(OFFSET($AM$3,0,0,'Données projet'!$E$10+1,1))-AVERAGE(OFFSET($H$3,0,0,'Données projet'!$E$10+1,1))</f>
        <v>508.94560627895089</v>
      </c>
      <c r="AO84" s="59">
        <f t="shared" si="90"/>
        <v>357.86868650263034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0.93772646456262865</v>
      </c>
      <c r="AV84" s="21">
        <f>EXP(-LN(2)/25)*AV83+(1-EXP(-LN(2)/25))/(LN(2)/25)*Calculateur!AQ84*Calculateur!AS84*VLOOKUP('Données projet'!$B$10,Paramètres!$A$1:$I$89,3,0)*0.475*44/12</f>
        <v>2.932784166192377</v>
      </c>
      <c r="AW84" s="21">
        <f>EXP(-LN(2)/2)*AW83+(1-EXP(-LN(2)/2))/(LN(2)/2)*AQ84*AT84*VLOOKUP('Données projet'!$B$10,Paramètres!$A$1:$I$89,3,0)*0.475*44/12</f>
        <v>4.8552692788963966E-7</v>
      </c>
      <c r="AX84" s="21">
        <f t="shared" si="60"/>
        <v>3.8705111162819339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68.303766594521932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1.7053025658242404E-13</v>
      </c>
      <c r="BE84" s="13">
        <f>BD84*VLOOKUP('Données projet'!$B$11,Paramètres!$A$1:$I$89,3,0)*VLOOKUP('Données projet'!$B$11,Paramètres!$A$1:$I$89,5,0)</f>
        <v>1.3301360013429075E-13</v>
      </c>
      <c r="BF84" s="13">
        <f t="shared" si="91"/>
        <v>1.9329766731057041E-12</v>
      </c>
      <c r="BG84" s="20">
        <f t="shared" si="61"/>
        <v>3.5982663925596575E-12</v>
      </c>
      <c r="BH84" s="59">
        <f t="shared" si="62"/>
        <v>287.11381084658399</v>
      </c>
      <c r="BI84" s="59">
        <f ca="1">AVERAGE(OFFSET($BH$3,0,0,'Données projet'!$E$11+1,1))-AVERAGE(OFFSET($H$3,0,0,'Données projet'!$E$11+1,1))</f>
        <v>383.03154033422328</v>
      </c>
      <c r="BJ84" s="59">
        <f t="shared" si="92"/>
        <v>373.27897156169877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0.52666088879525497</v>
      </c>
      <c r="BQ84" s="21">
        <f>EXP(-LN(2)/25)*BQ83+(1-EXP(-LN(2)/25))/(LN(2)/25)*Calculateur!BL84*Calculateur!BN84*VLOOKUP('Données projet'!$B$11,Paramètres!$A$1:$I$89,3,0)*0.475*44/12</f>
        <v>2.0354561707334753</v>
      </c>
      <c r="BR84" s="21">
        <f>EXP(-LN(2)/2)*BR83+(1-EXP(-LN(2)/2))/(LN(2)/2)*BL84*BO84*VLOOKUP('Données projet'!$B$11,Paramètres!$A$1:$I$89,3,0)*0.475*44/12</f>
        <v>2.7545451316044059E-7</v>
      </c>
      <c r="BS84" s="22">
        <f t="shared" si="63"/>
        <v>2.5621173349832431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68.303766594521932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6.6</v>
      </c>
      <c r="BY84" s="12">
        <f>IF('Données projet'!$A$114&gt;35,BY83+BX84-CG83,IF(A84&lt;'Données projet'!$A$114,$BV$205^A84,IF(A84='Données projet'!$A$114,'Données projet'!$B$114,BY83+BX84-CG83)))</f>
        <v>298.5999999999998</v>
      </c>
      <c r="BZ84" s="13">
        <f>BY84*VLOOKUP('Données projet'!$B$12,Paramètres!$A$1:$I$89,3,0)*VLOOKUP('Données projet'!$B$12,Paramètres!$A$1:$I$89,5,0)</f>
        <v>251.54063999999983</v>
      </c>
      <c r="CA84" s="13">
        <f t="shared" si="93"/>
        <v>60.915727667172014</v>
      </c>
      <c r="CB84" s="20">
        <f t="shared" si="64"/>
        <v>544.19484035365758</v>
      </c>
      <c r="CC84" s="59">
        <f t="shared" si="65"/>
        <v>831.30865120023805</v>
      </c>
      <c r="CD84" s="59">
        <f ca="1">AVERAGE(OFFSET($CC$3,0,0,'Données projet'!$E$12+1,1))-AVERAGE(OFFSET($H$3,0,0,'Données projet'!$E$12+1,1))</f>
        <v>449.94334483948603</v>
      </c>
      <c r="CE84" s="59">
        <f t="shared" si="94"/>
        <v>318.02929110264176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0.81672950139325662</v>
      </c>
      <c r="CL84" s="21">
        <f>EXP(-LN(2)/25)*CL83+(1-EXP(-LN(2)/25))/(LN(2)/25)*Calculateur!CG84*Calculateur!CI84*VLOOKUP('Données projet'!$B$12,Paramètres!$A$1:$I$89,3,0)*0.475*44/12</f>
        <v>2.5543604028127156</v>
      </c>
      <c r="CM84" s="21">
        <f>EXP(-LN(2)/2)*CM83+(1-EXP(-LN(2)/2))/(LN(2)/2)*CG84*CJ84*VLOOKUP('Données projet'!$B$12,Paramètres!$A$1:$I$89,3,0)*0.475*44/12</f>
        <v>4.228782920329124E-7</v>
      </c>
      <c r="CN84" s="22">
        <f t="shared" si="66"/>
        <v>3.3710903270842643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68.303766594521932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8.1</v>
      </c>
      <c r="CT84" s="12">
        <f>IF('Données projet'!$A$140&gt;35,CT83+CS84-DB83,IF(A84&lt;'Données projet'!$A$140,$CQ$205^A84,IF(A84='Données projet'!$A$140,'Données projet'!$B$140,CT83+CS84-DB83)))</f>
        <v>331.10000000000014</v>
      </c>
      <c r="CU84" s="17">
        <f>CT84*VLOOKUP('Données projet'!$B$13,Paramètres!$A$1:$I$89,3,0)*VLOOKUP('Données projet'!$B$13,Paramètres!$A$1:$I$89,5,0)</f>
        <v>284.08380000000017</v>
      </c>
      <c r="CV84" s="13">
        <f t="shared" si="95"/>
        <v>67.829304586540019</v>
      </c>
      <c r="CW84" s="20">
        <f t="shared" si="67"/>
        <v>612.91532382155742</v>
      </c>
      <c r="CX84" s="59">
        <f t="shared" si="68"/>
        <v>900.02913466813789</v>
      </c>
      <c r="CY84" s="59">
        <f ca="1">AVERAGE(OFFSET($CX$3,0,0,'Données projet'!$E$13+1,1))-AVERAGE(OFFSET($H$3,0,0,'Données projet'!$E$13+1,1))</f>
        <v>565.32667500225568</v>
      </c>
      <c r="CZ84" s="59">
        <f t="shared" si="96"/>
        <v>275.06957234480944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0</v>
      </c>
      <c r="DG84" s="21">
        <f>EXP(-LN(2)/25)*DG83+(1-EXP(-LN(2)/25))/(LN(2)/25)*Calculateur!DB84*Calculateur!DD84*VLOOKUP('Données projet'!$B$13,Paramètres!$A$1:$I$89,3,0)*0.475*44/12</f>
        <v>1.0653781157391597</v>
      </c>
      <c r="DH84" s="21">
        <f>EXP(-LN(2)/2)*DH83+(1-EXP(-LN(2)/2))/(LN(2)/2)*DB84*DE84*VLOOKUP('Données projet'!$B$13,Paramètres!$A$1:$I$89,3,0)*0.475*44/12</f>
        <v>1.4927419733160145E-7</v>
      </c>
      <c r="DI84" s="22">
        <f t="shared" si="69"/>
        <v>1.065378265013357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68.303766594521932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-1.2505552149377763E-12</v>
      </c>
      <c r="DP84" s="17">
        <f>DO84*VLOOKUP('Données projet'!$B$14,Paramètres!$A$1:$I$89,3,0)*VLOOKUP('Données projet'!$B$14,Paramètres!$A$1:$I$89,5,0)</f>
        <v>-6.9906036515021697E-13</v>
      </c>
      <c r="DQ84" s="13" t="e">
        <f t="shared" si="97"/>
        <v>#NUM!</v>
      </c>
      <c r="DR84" s="20" t="e">
        <f t="shared" si="70"/>
        <v>#NUM!</v>
      </c>
      <c r="DS84" s="59" t="e">
        <f t="shared" si="71"/>
        <v>#NUM!</v>
      </c>
      <c r="DT84" s="59">
        <f ca="1">AVERAGE(OFFSET($DS$3,0,0,'Données projet'!$E$14+1,1))-AVERAGE(OFFSET($H$3,0,0,'Données projet'!$E$14+1,1))</f>
        <v>532.64469322244281</v>
      </c>
      <c r="DU84" s="59">
        <f t="shared" si="98"/>
        <v>525.88014011096413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4.1592706089471445</v>
      </c>
      <c r="EB84" s="21">
        <f>EXP(-LN(2)/25)*EB83+(1-EXP(-LN(2)/25))/(LN(2)/25)*Calculateur!DW84*Calculateur!DY84*VLOOKUP('Données projet'!$B$14,Paramètres!$A$1:$I$89,3,0)*0.475*44/12</f>
        <v>9.4248829993723806</v>
      </c>
      <c r="EC84" s="21">
        <f>EXP(-LN(2)/2)*EC83+(1-EXP(-LN(2)/2))/(LN(2)/2)*DW84*DZ84*VLOOKUP('Données projet'!$B$14,Paramètres!$A$1:$I$89,3,0)*0.475*44/12</f>
        <v>7.6858763992320385E-7</v>
      </c>
      <c r="ED84" s="22">
        <f t="shared" si="72"/>
        <v>13.584154376907165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68.303766594521932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5.6</v>
      </c>
      <c r="EJ84" s="12">
        <f>IF('Données projet'!$A$192&gt;35,EJ83+EI84-ER83,IF(A84&lt;'Données projet'!$A$192,$EG$205^A84,IF(A84='Données projet'!$A$192,'Données projet'!$B$192,EJ83+EI84-ER83)))</f>
        <v>245.60000000000031</v>
      </c>
      <c r="EK84" s="17">
        <f>EJ84*VLOOKUP('Données projet'!$B$15,Paramètres!$A$1:$I$89,3,0)*VLOOKUP('Données projet'!$B$15,Paramètres!$A$1:$I$89,5,0)</f>
        <v>222.2188800000003</v>
      </c>
      <c r="EL84" s="13">
        <f t="shared" si="99"/>
        <v>54.596866296848951</v>
      </c>
      <c r="EM84" s="20">
        <f t="shared" si="73"/>
        <v>482.12075813367898</v>
      </c>
      <c r="EN84" s="59">
        <f t="shared" si="74"/>
        <v>769.23456898025938</v>
      </c>
      <c r="EO84" s="59">
        <f ca="1">AVERAGE(OFFSET($EN$3,0,0,'Données projet'!$E$15+1,1))-AVERAGE(OFFSET($H$3,0,0,'Données projet'!$E$15+1,1))</f>
        <v>398.27843768730202</v>
      </c>
      <c r="EP84" s="59">
        <f t="shared" si="100"/>
        <v>252.3617347568813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0</v>
      </c>
      <c r="EW84" s="21">
        <f>EXP(-LN(2)/25)*EW83+(1-EXP(-LN(2)/25))/(LN(2)/25)*Calculateur!ER84*Calculateur!ET84*VLOOKUP('Données projet'!$B$15,Paramètres!$A$1:$I$89,3,0)*0.475*44/12</f>
        <v>0.75525153245724619</v>
      </c>
      <c r="EX84" s="21">
        <f>EXP(-LN(2)/2)*EX83+(1-EXP(-LN(2)/2))/(LN(2)/2)*ER84*EU84*VLOOKUP('Données projet'!$B$15,Paramètres!$A$1:$I$89,3,0)*0.475*44/12</f>
        <v>1.3043075320091096E-7</v>
      </c>
      <c r="EY84" s="22">
        <f t="shared" si="75"/>
        <v>0.75525166288799939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68.303766594521932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5.6</v>
      </c>
      <c r="FE84" s="12">
        <f>IF('Données projet'!$A$218&gt;35,FE83+FD84-FM83,IF(A84&lt;'Données projet'!$A$218,$FB$205^A84,IF(A84='Données projet'!$A$218,'Données projet'!$B$218,FE83+FD84-FM83)))</f>
        <v>245.60000000000031</v>
      </c>
      <c r="FF84" s="17">
        <f>FE84*VLOOKUP('Données projet'!$B$16,Paramètres!$A$1:$I$89,3,0)*VLOOKUP('Données projet'!$B$16,Paramètres!$A$1:$I$89,5,0)</f>
        <v>237.54432000000031</v>
      </c>
      <c r="FG84" s="13">
        <f t="shared" si="101"/>
        <v>57.910863128488039</v>
      </c>
      <c r="FH84" s="20">
        <f t="shared" si="76"/>
        <v>514.58444394878381</v>
      </c>
      <c r="FI84" s="59">
        <f t="shared" si="77"/>
        <v>801.69825479536416</v>
      </c>
      <c r="FJ84" s="59">
        <f ca="1">AVERAGE(OFFSET($FI$3,0,0,'Données projet'!$E$16+1,1))-AVERAGE(OFFSET($H$3,0,0,'Données projet'!$E$16+1,1))</f>
        <v>422.28024471365825</v>
      </c>
      <c r="FK84" s="59">
        <f t="shared" si="102"/>
        <v>266.49730479813206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0</v>
      </c>
      <c r="FR84" s="21">
        <f>EXP(-LN(2)/25)*FR83+(1-EXP(-LN(2)/25))/(LN(2)/25)*Calculateur!FM84*Calculateur!FO84*VLOOKUP('Données projet'!$B$16,Paramètres!$A$1:$I$89,3,0)*0.475*44/12</f>
        <v>0.80733784504050454</v>
      </c>
      <c r="FS84" s="21">
        <f>EXP(-LN(2)/2)*FS83+(1-EXP(-LN(2)/2))/(LN(2)/2)*FM84*FP84*VLOOKUP('Données projet'!$B$16,Paramètres!$A$1:$I$89,3,0)*0.475*44/12</f>
        <v>1.3942597755959445E-7</v>
      </c>
      <c r="FT84" s="22">
        <f t="shared" si="78"/>
        <v>0.80733798446648208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68.303766594521932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3.4106051316484809E-13</v>
      </c>
      <c r="GA84" s="17">
        <f>FZ84*VLOOKUP('Données projet'!$B$17,Paramètres!$A$1:$I$89,3,0)*VLOOKUP('Données projet'!$B$17,Paramètres!$A$1:$I$89,5,0)</f>
        <v>2.6602720026858149E-13</v>
      </c>
      <c r="GB84" s="13">
        <f t="shared" si="103"/>
        <v>3.5662905043956649E-12</v>
      </c>
      <c r="GC84" s="20">
        <f t="shared" si="79"/>
        <v>6.6746200022902298E-12</v>
      </c>
      <c r="GD84" s="59">
        <f t="shared" si="80"/>
        <v>287.11381084658706</v>
      </c>
      <c r="GE84" s="59">
        <f ca="1">AVERAGE(OFFSET($GD$3,0,0,'Données projet'!$E$17+1,1))-AVERAGE(OFFSET($H$3,0,0,'Données projet'!$E$17+1,1))</f>
        <v>300.95722646933314</v>
      </c>
      <c r="GF84" s="59">
        <f t="shared" si="104"/>
        <v>269.52365224623759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>
        <f>EXP(-LN(2)/35)*GL83+(1-EXP(-LN(2)/35))/(LN(2)/35)*GH84*GI84*VLOOKUP('Données projet'!$B$17,Paramètres!$A$1:$I$89,3,0)*0.475*44/12</f>
        <v>0.32409900848938766</v>
      </c>
      <c r="GM84" s="21">
        <f>EXP(-LN(2)/25)*GM83+(1-EXP(-LN(2)/25))/(LN(2)/25)*Calculateur!GH84*Calculateur!GJ84*VLOOKUP('Données projet'!$B$17,Paramètres!$A$1:$I$89,3,0)*0.475*44/12</f>
        <v>1.517135443473802</v>
      </c>
      <c r="GN84" s="21">
        <f>EXP(-LN(2)/2)*GN83+(1-EXP(-LN(2)/2))/(LN(2)/2)*GH84*GK84*VLOOKUP('Données projet'!$B$17,Paramètres!$A$1:$I$89,3,0)*0.475*44/12</f>
        <v>1.8668869883248465E-7</v>
      </c>
      <c r="GO84" s="21">
        <f t="shared" si="81"/>
        <v>1.8412346386518883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68.303766594521932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1.4000000000000001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5.1333333333333337</v>
      </c>
      <c r="H85" s="67">
        <f t="shared" si="56"/>
        <v>236.13333333333335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68.33319245189719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6.6</v>
      </c>
      <c r="N85" s="13">
        <f>IF('Données projet'!$A$36&gt;35,N84+M85-V84,IF(A85&lt;'Données projet'!$A$36,$K$205^A85,IF(A85='Données projet'!$A$36,'Données projet'!$B$36,N84+M85-V84)))</f>
        <v>305.19999999999982</v>
      </c>
      <c r="O85" s="13">
        <f>N85*VLOOKUP('Données projet'!$B$9,Paramètres!$A$1:$I$89,3,0)*VLOOKUP('Données projet'!$B$9,Paramètres!$A$1:$I$89,5,0)</f>
        <v>276.1449599999998</v>
      </c>
      <c r="P85" s="13">
        <f t="shared" si="87"/>
        <v>66.151671938851194</v>
      </c>
      <c r="Q85" s="20">
        <f t="shared" si="54"/>
        <v>596.16663396016543</v>
      </c>
      <c r="R85" s="59">
        <f t="shared" si="55"/>
        <v>883.3883396171218</v>
      </c>
      <c r="S85" s="59">
        <f ca="1">AVERAGE(OFFSET($R$3,0,0,'Données projet'!$E$9+1,1))-AVERAGE(OFFSET($H$3,0,0,'Données projet'!$E$9+1,1))</f>
        <v>479.46542424895119</v>
      </c>
      <c r="T85" s="59">
        <f t="shared" si="88"/>
        <v>337.96395820277337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0.86002607728798197</v>
      </c>
      <c r="AA85" s="21">
        <f>EXP(-LN(2)/25)*AA84+(1-EXP(-LN(2)/25))/(LN(2)/25)*Calculateur!V85*Calculateur!X85*VLOOKUP('Données projet'!$B$9,Paramètres!$A$1:$I$89,3,0)*0.475*44/12</f>
        <v>2.6685491561046275</v>
      </c>
      <c r="AB85" s="21">
        <f>EXP(-LN(2)/2)*AB84+(1-EXP(-LN(2)/2))/(LN(2)/2)*V85*Y85*VLOOKUP('Données projet'!$B$9,Paramètres!$A$1:$I$89,3,0)*0.475*44/12</f>
        <v>3.2116974553624786E-7</v>
      </c>
      <c r="AC85" s="22">
        <f t="shared" si="57"/>
        <v>3.5285755545623547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68.33319245189719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6.6</v>
      </c>
      <c r="AI85" s="13">
        <f>IF('Données projet'!$A$62&gt;35,AI84+AH85-AQ84,IF(A85&lt;'Données projet'!$A$62,$AF$205^A85,IF(A85='Données projet'!$A$62,'Données projet'!$B$62,AI84+AH85-AQ84)))</f>
        <v>305.19999999999982</v>
      </c>
      <c r="AJ85" s="13">
        <f>AI85*VLOOKUP('Données projet'!$B$10,Paramètres!$A$1:$I$89,3,0)*VLOOKUP('Données projet'!$B$10,Paramètres!$A$1:$I$89,5,0)</f>
        <v>295.18943999999982</v>
      </c>
      <c r="AK85" s="13">
        <f t="shared" si="89"/>
        <v>70.167038498921158</v>
      </c>
      <c r="AL85" s="20">
        <f t="shared" si="58"/>
        <v>636.32920005228732</v>
      </c>
      <c r="AM85" s="59">
        <f t="shared" si="59"/>
        <v>923.55090570924369</v>
      </c>
      <c r="AN85" s="59">
        <f ca="1">AVERAGE(OFFSET($AM$3,0,0,'Données projet'!$E$10+1,1))-AVERAGE(OFFSET($H$3,0,0,'Données projet'!$E$10+1,1))</f>
        <v>508.94560627895089</v>
      </c>
      <c r="AO85" s="59">
        <f t="shared" si="90"/>
        <v>357.86868650263034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0.91933822054922287</v>
      </c>
      <c r="AV85" s="21">
        <f>EXP(-LN(2)/25)*AV84+(1-EXP(-LN(2)/25))/(LN(2)/25)*Calculateur!AQ85*Calculateur!AS85*VLOOKUP('Données projet'!$B$10,Paramètres!$A$1:$I$89,3,0)*0.475*44/12</f>
        <v>2.8525870289394302</v>
      </c>
      <c r="AW85" s="21">
        <f>EXP(-LN(2)/2)*AW84+(1-EXP(-LN(2)/2))/(LN(2)/2)*AQ85*AT85*VLOOKUP('Données projet'!$B$10,Paramètres!$A$1:$I$89,3,0)*0.475*44/12</f>
        <v>3.4331938315943608E-7</v>
      </c>
      <c r="AX85" s="21">
        <f t="shared" si="60"/>
        <v>3.7719255928080364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68.33319245189719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1.7053025658242404E-13</v>
      </c>
      <c r="BE85" s="13">
        <f>BD85*VLOOKUP('Données projet'!$B$11,Paramètres!$A$1:$I$89,3,0)*VLOOKUP('Données projet'!$B$11,Paramètres!$A$1:$I$89,5,0)</f>
        <v>1.3301360013429075E-13</v>
      </c>
      <c r="BF85" s="13">
        <f t="shared" si="91"/>
        <v>1.9329766731057041E-12</v>
      </c>
      <c r="BG85" s="20">
        <f t="shared" si="61"/>
        <v>3.5982663925596575E-12</v>
      </c>
      <c r="BH85" s="59">
        <f t="shared" si="62"/>
        <v>287.22170565695995</v>
      </c>
      <c r="BI85" s="59">
        <f ca="1">AVERAGE(OFFSET($BH$3,0,0,'Données projet'!$E$11+1,1))-AVERAGE(OFFSET($H$3,0,0,'Données projet'!$E$11+1,1))</f>
        <v>383.03154033422328</v>
      </c>
      <c r="BJ85" s="59">
        <f t="shared" si="92"/>
        <v>373.27897156169877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0.51633338999740319</v>
      </c>
      <c r="BQ85" s="21">
        <f>EXP(-LN(2)/25)*BQ84+(1-EXP(-LN(2)/25))/(LN(2)/25)*Calculateur!BL85*Calculateur!BN85*VLOOKUP('Données projet'!$B$11,Paramètres!$A$1:$I$89,3,0)*0.475*44/12</f>
        <v>1.9797965147047805</v>
      </c>
      <c r="BR85" s="21">
        <f>EXP(-LN(2)/2)*BR84+(1-EXP(-LN(2)/2))/(LN(2)/2)*BL85*BO85*VLOOKUP('Données projet'!$B$11,Paramètres!$A$1:$I$89,3,0)*0.475*44/12</f>
        <v>1.9477575416418665E-7</v>
      </c>
      <c r="BS85" s="22">
        <f t="shared" si="63"/>
        <v>2.4961300994779378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68.33319245189719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6.6</v>
      </c>
      <c r="BY85" s="12">
        <f>IF('Données projet'!$A$114&gt;35,BY84+BX85-CG84,IF(A85&lt;'Données projet'!$A$114,$BV$205^A85,IF(A85='Données projet'!$A$114,'Données projet'!$B$114,BY84+BX85-CG84)))</f>
        <v>305.19999999999982</v>
      </c>
      <c r="BZ85" s="13">
        <f>BY85*VLOOKUP('Données projet'!$B$12,Paramètres!$A$1:$I$89,3,0)*VLOOKUP('Données projet'!$B$12,Paramètres!$A$1:$I$89,5,0)</f>
        <v>257.10047999999989</v>
      </c>
      <c r="CA85" s="13">
        <f t="shared" si="93"/>
        <v>62.103914639805609</v>
      </c>
      <c r="CB85" s="20">
        <f t="shared" si="64"/>
        <v>555.94765399766129</v>
      </c>
      <c r="CC85" s="59">
        <f t="shared" si="65"/>
        <v>843.16935965461767</v>
      </c>
      <c r="CD85" s="59">
        <f ca="1">AVERAGE(OFFSET($CC$3,0,0,'Données projet'!$E$12+1,1))-AVERAGE(OFFSET($H$3,0,0,'Données projet'!$E$12+1,1))</f>
        <v>449.94334483948603</v>
      </c>
      <c r="CE85" s="59">
        <f t="shared" si="94"/>
        <v>318.02929110264176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0.80071393402674196</v>
      </c>
      <c r="CL85" s="21">
        <f>EXP(-LN(2)/25)*CL84+(1-EXP(-LN(2)/25))/(LN(2)/25)*Calculateur!CG85*Calculateur!CI85*VLOOKUP('Données projet'!$B$12,Paramètres!$A$1:$I$89,3,0)*0.475*44/12</f>
        <v>2.4845112832698262</v>
      </c>
      <c r="CM85" s="21">
        <f>EXP(-LN(2)/2)*CM84+(1-EXP(-LN(2)/2))/(LN(2)/2)*CG85*CJ85*VLOOKUP('Données projet'!$B$12,Paramètres!$A$1:$I$89,3,0)*0.475*44/12</f>
        <v>2.9902010791305753E-7</v>
      </c>
      <c r="CN85" s="22">
        <f t="shared" si="66"/>
        <v>3.2852255163166757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68.33319245189719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8.1</v>
      </c>
      <c r="CT85" s="12">
        <f>IF('Données projet'!$A$140&gt;35,CT84+CS85-DB84,IF(A85&lt;'Données projet'!$A$140,$CQ$205^A85,IF(A85='Données projet'!$A$140,'Données projet'!$B$140,CT84+CS85-DB84)))</f>
        <v>339.20000000000016</v>
      </c>
      <c r="CU85" s="17">
        <f>CT85*VLOOKUP('Données projet'!$B$13,Paramètres!$A$1:$I$89,3,0)*VLOOKUP('Données projet'!$B$13,Paramètres!$A$1:$I$89,5,0)</f>
        <v>291.03360000000021</v>
      </c>
      <c r="CV85" s="13">
        <f t="shared" si="95"/>
        <v>69.293454972934953</v>
      </c>
      <c r="CW85" s="20">
        <f t="shared" si="67"/>
        <v>627.56962074452872</v>
      </c>
      <c r="CX85" s="59">
        <f t="shared" si="68"/>
        <v>914.79132640148509</v>
      </c>
      <c r="CY85" s="59">
        <f ca="1">AVERAGE(OFFSET($CX$3,0,0,'Données projet'!$E$13+1,1))-AVERAGE(OFFSET($H$3,0,0,'Données projet'!$E$13+1,1))</f>
        <v>565.32667500225568</v>
      </c>
      <c r="CZ85" s="59">
        <f t="shared" si="96"/>
        <v>275.06957234480944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0</v>
      </c>
      <c r="DG85" s="21">
        <f>EXP(-LN(2)/25)*DG84+(1-EXP(-LN(2)/25))/(LN(2)/25)*Calculateur!DB85*Calculateur!DD85*VLOOKUP('Données projet'!$B$13,Paramètres!$A$1:$I$89,3,0)*0.475*44/12</f>
        <v>1.0362452951384722</v>
      </c>
      <c r="DH85" s="21">
        <f>EXP(-LN(2)/2)*DH84+(1-EXP(-LN(2)/2))/(LN(2)/2)*DB85*DE85*VLOOKUP('Données projet'!$B$13,Paramètres!$A$1:$I$89,3,0)*0.475*44/12</f>
        <v>1.0555279718935423E-7</v>
      </c>
      <c r="DI85" s="22">
        <f t="shared" si="69"/>
        <v>1.0362454006912694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68.33319245189719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-1.2505552149377763E-12</v>
      </c>
      <c r="DP85" s="17">
        <f>DO85*VLOOKUP('Données projet'!$B$14,Paramètres!$A$1:$I$89,3,0)*VLOOKUP('Données projet'!$B$14,Paramètres!$A$1:$I$89,5,0)</f>
        <v>-6.9906036515021697E-13</v>
      </c>
      <c r="DQ85" s="13" t="e">
        <f t="shared" si="97"/>
        <v>#NUM!</v>
      </c>
      <c r="DR85" s="20" t="e">
        <f t="shared" si="70"/>
        <v>#NUM!</v>
      </c>
      <c r="DS85" s="59" t="e">
        <f t="shared" si="71"/>
        <v>#NUM!</v>
      </c>
      <c r="DT85" s="59">
        <f ca="1">AVERAGE(OFFSET($DS$3,0,0,'Données projet'!$E$14+1,1))-AVERAGE(OFFSET($H$3,0,0,'Données projet'!$E$14+1,1))</f>
        <v>532.64469322244281</v>
      </c>
      <c r="DU85" s="59">
        <f t="shared" si="98"/>
        <v>525.88014011096413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4.0777098492102644</v>
      </c>
      <c r="EB85" s="21">
        <f>EXP(-LN(2)/25)*EB84+(1-EXP(-LN(2)/25))/(LN(2)/25)*Calculateur!DW85*Calculateur!DY85*VLOOKUP('Données projet'!$B$14,Paramètres!$A$1:$I$89,3,0)*0.475*44/12</f>
        <v>9.167159078121486</v>
      </c>
      <c r="EC85" s="21">
        <f>EXP(-LN(2)/2)*EC84+(1-EXP(-LN(2)/2))/(LN(2)/2)*DW85*DZ85*VLOOKUP('Données projet'!$B$14,Paramètres!$A$1:$I$89,3,0)*0.475*44/12</f>
        <v>5.4347353212586188E-7</v>
      </c>
      <c r="ED85" s="22">
        <f t="shared" si="72"/>
        <v>13.244869470805284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68.33319245189719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5.6</v>
      </c>
      <c r="EJ85" s="12">
        <f>IF('Données projet'!$A$192&gt;35,EJ84+EI85-ER84,IF(A85&lt;'Données projet'!$A$192,$EG$205^A85,IF(A85='Données projet'!$A$192,'Données projet'!$B$192,EJ84+EI85-ER84)))</f>
        <v>251.2000000000003</v>
      </c>
      <c r="EK85" s="17">
        <f>EJ85*VLOOKUP('Données projet'!$B$15,Paramètres!$A$1:$I$89,3,0)*VLOOKUP('Données projet'!$B$15,Paramètres!$A$1:$I$89,5,0)</f>
        <v>227.28576000000027</v>
      </c>
      <c r="EL85" s="13">
        <f t="shared" si="99"/>
        <v>55.695394520076427</v>
      </c>
      <c r="EM85" s="20">
        <f t="shared" si="73"/>
        <v>492.85884412246696</v>
      </c>
      <c r="EN85" s="59">
        <f t="shared" si="74"/>
        <v>780.08054977942334</v>
      </c>
      <c r="EO85" s="59">
        <f ca="1">AVERAGE(OFFSET($EN$3,0,0,'Données projet'!$E$15+1,1))-AVERAGE(OFFSET($H$3,0,0,'Données projet'!$E$15+1,1))</f>
        <v>398.27843768730202</v>
      </c>
      <c r="EP85" s="59">
        <f t="shared" si="100"/>
        <v>252.3617347568813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0</v>
      </c>
      <c r="EW85" s="21">
        <f>EXP(-LN(2)/25)*EW84+(1-EXP(-LN(2)/25))/(LN(2)/25)*Calculateur!ER85*Calculateur!ET85*VLOOKUP('Données projet'!$B$15,Paramètres!$A$1:$I$89,3,0)*0.475*44/12</f>
        <v>0.7345991395852508</v>
      </c>
      <c r="EX85" s="21">
        <f>EXP(-LN(2)/2)*EX84+(1-EXP(-LN(2)/2))/(LN(2)/2)*ER85*EU85*VLOOKUP('Données projet'!$B$15,Paramètres!$A$1:$I$89,3,0)*0.475*44/12</f>
        <v>9.2228470063633133E-8</v>
      </c>
      <c r="EY85" s="22">
        <f t="shared" si="75"/>
        <v>0.73459923181372089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68.33319245189719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5.6</v>
      </c>
      <c r="FE85" s="12">
        <f>IF('Données projet'!$A$218&gt;35,FE84+FD85-FM84,IF(A85&lt;'Données projet'!$A$218,$FB$205^A85,IF(A85='Données projet'!$A$218,'Données projet'!$B$218,FE84+FD85-FM84)))</f>
        <v>251.2000000000003</v>
      </c>
      <c r="FF85" s="17">
        <f>FE85*VLOOKUP('Données projet'!$B$16,Paramètres!$A$1:$I$89,3,0)*VLOOKUP('Données projet'!$B$16,Paramètres!$A$1:$I$89,5,0)</f>
        <v>242.96064000000032</v>
      </c>
      <c r="FG85" s="13">
        <f t="shared" si="101"/>
        <v>59.076071351835822</v>
      </c>
      <c r="FH85" s="20">
        <f t="shared" si="76"/>
        <v>526.04727227111459</v>
      </c>
      <c r="FI85" s="59">
        <f t="shared" si="77"/>
        <v>813.26897792807097</v>
      </c>
      <c r="FJ85" s="59">
        <f ca="1">AVERAGE(OFFSET($FI$3,0,0,'Données projet'!$E$16+1,1))-AVERAGE(OFFSET($H$3,0,0,'Données projet'!$E$16+1,1))</f>
        <v>422.28024471365825</v>
      </c>
      <c r="FK85" s="59">
        <f t="shared" si="102"/>
        <v>266.49730479813206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0</v>
      </c>
      <c r="FR85" s="21">
        <f>EXP(-LN(2)/25)*FR84+(1-EXP(-LN(2)/25))/(LN(2)/25)*Calculateur!FM85*Calculateur!FO85*VLOOKUP('Données projet'!$B$16,Paramètres!$A$1:$I$89,3,0)*0.475*44/12</f>
        <v>0.78526114921181989</v>
      </c>
      <c r="FS85" s="21">
        <f>EXP(-LN(2)/2)*FS84+(1-EXP(-LN(2)/2))/(LN(2)/2)*FM85*FP85*VLOOKUP('Données projet'!$B$16,Paramètres!$A$1:$I$89,3,0)*0.475*44/12</f>
        <v>9.8589054205952641E-8</v>
      </c>
      <c r="FT85" s="22">
        <f t="shared" si="78"/>
        <v>0.78526124780087414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68.33319245189719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3.4106051316484809E-13</v>
      </c>
      <c r="GA85" s="17">
        <f>FZ85*VLOOKUP('Données projet'!$B$17,Paramètres!$A$1:$I$89,3,0)*VLOOKUP('Données projet'!$B$17,Paramètres!$A$1:$I$89,5,0)</f>
        <v>2.6602720026858149E-13</v>
      </c>
      <c r="GB85" s="13">
        <f t="shared" si="103"/>
        <v>3.5662905043956649E-12</v>
      </c>
      <c r="GC85" s="20">
        <f t="shared" si="79"/>
        <v>6.6746200022902298E-12</v>
      </c>
      <c r="GD85" s="59">
        <f t="shared" si="80"/>
        <v>287.22170565696302</v>
      </c>
      <c r="GE85" s="59">
        <f ca="1">AVERAGE(OFFSET($GD$3,0,0,'Données projet'!$E$17+1,1))-AVERAGE(OFFSET($H$3,0,0,'Données projet'!$E$17+1,1))</f>
        <v>300.95722646933314</v>
      </c>
      <c r="GF85" s="59">
        <f t="shared" si="104"/>
        <v>269.52365224623759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>
        <f>EXP(-LN(2)/35)*GL84+(1-EXP(-LN(2)/35))/(LN(2)/35)*GH85*GI85*VLOOKUP('Données projet'!$B$17,Paramètres!$A$1:$I$89,3,0)*0.475*44/12</f>
        <v>0.31774362461378658</v>
      </c>
      <c r="GM85" s="21">
        <f>EXP(-LN(2)/25)*GM84+(1-EXP(-LN(2)/25))/(LN(2)/25)*Calculateur!GH85*Calculateur!GJ85*VLOOKUP('Données projet'!$B$17,Paramètres!$A$1:$I$89,3,0)*0.475*44/12</f>
        <v>1.4756492949893254</v>
      </c>
      <c r="GN85" s="21">
        <f>EXP(-LN(2)/2)*GN84+(1-EXP(-LN(2)/2))/(LN(2)/2)*GH85*GK85*VLOOKUP('Données projet'!$B$17,Paramètres!$A$1:$I$89,3,0)*0.475*44/12</f>
        <v>1.32008844915343E-7</v>
      </c>
      <c r="GO85" s="21">
        <f t="shared" si="81"/>
        <v>1.7933930516119569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68.33319245189719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1.4000000000000001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5.1333333333333337</v>
      </c>
      <c r="H86" s="67">
        <f t="shared" si="56"/>
        <v>236.13333333333335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68.362107836433353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6.6</v>
      </c>
      <c r="N86" s="13">
        <f>IF('Données projet'!$A$36&gt;35,N85+M86-V85,IF(A86&lt;'Données projet'!$A$36,$K$205^A86,IF(A86='Données projet'!$A$36,'Données projet'!$B$36,N85+M86-V85)))</f>
        <v>311.79999999999984</v>
      </c>
      <c r="O86" s="13">
        <f>N86*VLOOKUP('Données projet'!$B$9,Paramètres!$A$1:$I$89,3,0)*VLOOKUP('Données projet'!$B$9,Paramètres!$A$1:$I$89,5,0)</f>
        <v>282.11663999999985</v>
      </c>
      <c r="P86" s="13">
        <f t="shared" si="87"/>
        <v>67.414119514142243</v>
      </c>
      <c r="Q86" s="20">
        <f t="shared" si="54"/>
        <v>608.76607282046416</v>
      </c>
      <c r="R86" s="59">
        <f t="shared" si="55"/>
        <v>896.09380155405313</v>
      </c>
      <c r="S86" s="59">
        <f ca="1">AVERAGE(OFFSET($R$3,0,0,'Données projet'!$E$9+1,1))-AVERAGE(OFFSET($H$3,0,0,'Données projet'!$E$9+1,1))</f>
        <v>479.46542424895119</v>
      </c>
      <c r="T86" s="59">
        <f t="shared" si="88"/>
        <v>337.96395820277337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0.84316149047647537</v>
      </c>
      <c r="AA86" s="21">
        <f>EXP(-LN(2)/25)*AA85+(1-EXP(-LN(2)/25))/(LN(2)/25)*Calculateur!V86*Calculateur!X86*VLOOKUP('Données projet'!$B$9,Paramètres!$A$1:$I$89,3,0)*0.475*44/12</f>
        <v>2.5955775390980453</v>
      </c>
      <c r="AB86" s="21">
        <f>EXP(-LN(2)/2)*AB85+(1-EXP(-LN(2)/2))/(LN(2)/2)*V86*Y86*VLOOKUP('Données projet'!$B$9,Paramètres!$A$1:$I$89,3,0)*0.475*44/12</f>
        <v>2.2710130498063877E-7</v>
      </c>
      <c r="AC86" s="22">
        <f t="shared" si="57"/>
        <v>3.4387392566758255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68.362107836433353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6.6</v>
      </c>
      <c r="AI86" s="13">
        <f>IF('Données projet'!$A$62&gt;35,AI85+AH86-AQ85,IF(A86&lt;'Données projet'!$A$62,$AF$205^A86,IF(A86='Données projet'!$A$62,'Données projet'!$B$62,AI85+AH86-AQ85)))</f>
        <v>311.79999999999984</v>
      </c>
      <c r="AJ86" s="13">
        <f>AI86*VLOOKUP('Données projet'!$B$10,Paramètres!$A$1:$I$89,3,0)*VLOOKUP('Données projet'!$B$10,Paramètres!$A$1:$I$89,5,0)</f>
        <v>301.57295999999985</v>
      </c>
      <c r="AK86" s="13">
        <f t="shared" si="89"/>
        <v>71.506115880067313</v>
      </c>
      <c r="AL86" s="20">
        <f t="shared" si="58"/>
        <v>649.77939049111694</v>
      </c>
      <c r="AM86" s="59">
        <f t="shared" si="59"/>
        <v>937.10711922470591</v>
      </c>
      <c r="AN86" s="59">
        <f ca="1">AVERAGE(OFFSET($AM$3,0,0,'Données projet'!$E$10+1,1))-AVERAGE(OFFSET($H$3,0,0,'Données projet'!$E$10+1,1))</f>
        <v>508.94560627895089</v>
      </c>
      <c r="AO86" s="59">
        <f t="shared" si="90"/>
        <v>357.86868650263034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0.90131055878519861</v>
      </c>
      <c r="AV86" s="21">
        <f>EXP(-LN(2)/25)*AV85+(1-EXP(-LN(2)/25))/(LN(2)/25)*Calculateur!AQ86*Calculateur!AS86*VLOOKUP('Données projet'!$B$10,Paramètres!$A$1:$I$89,3,0)*0.475*44/12</f>
        <v>2.7745828866220492</v>
      </c>
      <c r="AW86" s="21">
        <f>EXP(-LN(2)/2)*AW85+(1-EXP(-LN(2)/2))/(LN(2)/2)*AQ86*AT86*VLOOKUP('Données projet'!$B$10,Paramètres!$A$1:$I$89,3,0)*0.475*44/12</f>
        <v>2.4276346394481983E-7</v>
      </c>
      <c r="AX86" s="21">
        <f t="shared" si="60"/>
        <v>3.6758936881707118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68.362107836433353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1.7053025658242404E-13</v>
      </c>
      <c r="BE86" s="13">
        <f>BD86*VLOOKUP('Données projet'!$B$11,Paramètres!$A$1:$I$89,3,0)*VLOOKUP('Données projet'!$B$11,Paramètres!$A$1:$I$89,5,0)</f>
        <v>1.3301360013429075E-13</v>
      </c>
      <c r="BF86" s="13">
        <f t="shared" si="91"/>
        <v>1.9329766731057041E-12</v>
      </c>
      <c r="BG86" s="20">
        <f t="shared" si="61"/>
        <v>3.5982663925596575E-12</v>
      </c>
      <c r="BH86" s="59">
        <f t="shared" si="62"/>
        <v>287.32772873359255</v>
      </c>
      <c r="BI86" s="59">
        <f ca="1">AVERAGE(OFFSET($BH$3,0,0,'Données projet'!$E$11+1,1))-AVERAGE(OFFSET($H$3,0,0,'Données projet'!$E$11+1,1))</f>
        <v>383.03154033422328</v>
      </c>
      <c r="BJ86" s="59">
        <f t="shared" si="92"/>
        <v>373.27897156169877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0.50620840715182502</v>
      </c>
      <c r="BQ86" s="21">
        <f>EXP(-LN(2)/25)*BQ85+(1-EXP(-LN(2)/25))/(LN(2)/25)*Calculateur!BL86*Calculateur!BN86*VLOOKUP('Données projet'!$B$11,Paramètres!$A$1:$I$89,3,0)*0.475*44/12</f>
        <v>1.9256588748972043</v>
      </c>
      <c r="BR86" s="21">
        <f>EXP(-LN(2)/2)*BR85+(1-EXP(-LN(2)/2))/(LN(2)/2)*BL86*BO86*VLOOKUP('Données projet'!$B$11,Paramètres!$A$1:$I$89,3,0)*0.475*44/12</f>
        <v>1.377272565802203E-7</v>
      </c>
      <c r="BS86" s="22">
        <f t="shared" si="63"/>
        <v>2.4318674197762862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68.362107836433353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6.6</v>
      </c>
      <c r="BY86" s="12">
        <f>IF('Données projet'!$A$114&gt;35,BY85+BX86-CG85,IF(A86&lt;'Données projet'!$A$114,$BV$205^A86,IF(A86='Données projet'!$A$114,'Données projet'!$B$114,BY85+BX86-CG85)))</f>
        <v>311.79999999999984</v>
      </c>
      <c r="BZ86" s="13">
        <f>BY86*VLOOKUP('Données projet'!$B$12,Paramètres!$A$1:$I$89,3,0)*VLOOKUP('Données projet'!$B$12,Paramètres!$A$1:$I$89,5,0)</f>
        <v>262.6603199999999</v>
      </c>
      <c r="CA86" s="13">
        <f t="shared" si="93"/>
        <v>63.289114259938842</v>
      </c>
      <c r="CB86" s="20">
        <f t="shared" si="64"/>
        <v>567.69526466939328</v>
      </c>
      <c r="CC86" s="59">
        <f t="shared" si="65"/>
        <v>855.02299340298225</v>
      </c>
      <c r="CD86" s="59">
        <f ca="1">AVERAGE(OFFSET($CC$3,0,0,'Données projet'!$E$12+1,1))-AVERAGE(OFFSET($H$3,0,0,'Données projet'!$E$12+1,1))</f>
        <v>449.94334483948603</v>
      </c>
      <c r="CE86" s="59">
        <f t="shared" si="94"/>
        <v>318.02929110264176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0.78501242216775302</v>
      </c>
      <c r="CL86" s="21">
        <f>EXP(-LN(2)/25)*CL85+(1-EXP(-LN(2)/25))/(LN(2)/25)*Calculateur!CG86*Calculateur!CI86*VLOOKUP('Données projet'!$B$12,Paramètres!$A$1:$I$89,3,0)*0.475*44/12</f>
        <v>2.4165721915740428</v>
      </c>
      <c r="CM86" s="21">
        <f>EXP(-LN(2)/2)*CM85+(1-EXP(-LN(2)/2))/(LN(2)/2)*CG86*CJ86*VLOOKUP('Données projet'!$B$12,Paramètres!$A$1:$I$89,3,0)*0.475*44/12</f>
        <v>2.114391460164562E-7</v>
      </c>
      <c r="CN86" s="22">
        <f t="shared" si="66"/>
        <v>3.2015848251809418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68.362107836433353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8.1</v>
      </c>
      <c r="CT86" s="12">
        <f>IF('Données projet'!$A$140&gt;35,CT85+CS86-DB85,IF(A86&lt;'Données projet'!$A$140,$CQ$205^A86,IF(A86='Données projet'!$A$140,'Données projet'!$B$140,CT85+CS86-DB85)))</f>
        <v>347.30000000000018</v>
      </c>
      <c r="CU86" s="17">
        <f>CT86*VLOOKUP('Données projet'!$B$13,Paramètres!$A$1:$I$89,3,0)*VLOOKUP('Données projet'!$B$13,Paramètres!$A$1:$I$89,5,0)</f>
        <v>297.98340000000019</v>
      </c>
      <c r="CV86" s="13">
        <f t="shared" si="95"/>
        <v>70.753540850936076</v>
      </c>
      <c r="CW86" s="20">
        <f t="shared" si="67"/>
        <v>642.21683864871386</v>
      </c>
      <c r="CX86" s="59">
        <f t="shared" si="68"/>
        <v>929.54456738230283</v>
      </c>
      <c r="CY86" s="59">
        <f ca="1">AVERAGE(OFFSET($CX$3,0,0,'Données projet'!$E$13+1,1))-AVERAGE(OFFSET($H$3,0,0,'Données projet'!$E$13+1,1))</f>
        <v>565.32667500225568</v>
      </c>
      <c r="CZ86" s="59">
        <f t="shared" si="96"/>
        <v>275.06957234480944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0</v>
      </c>
      <c r="DG86" s="21">
        <f>EXP(-LN(2)/25)*DG85+(1-EXP(-LN(2)/25))/(LN(2)/25)*Calculateur!DB86*Calculateur!DD86*VLOOKUP('Données projet'!$B$13,Paramètres!$A$1:$I$89,3,0)*0.475*44/12</f>
        <v>1.0079091130491389</v>
      </c>
      <c r="DH86" s="21">
        <f>EXP(-LN(2)/2)*DH85+(1-EXP(-LN(2)/2))/(LN(2)/2)*DB86*DE86*VLOOKUP('Données projet'!$B$13,Paramètres!$A$1:$I$89,3,0)*0.475*44/12</f>
        <v>7.4637098665800726E-8</v>
      </c>
      <c r="DI86" s="22">
        <f t="shared" si="69"/>
        <v>1.0079091876862376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68.362107836433353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-1.2505552149377763E-12</v>
      </c>
      <c r="DP86" s="17">
        <f>DO86*VLOOKUP('Données projet'!$B$14,Paramètres!$A$1:$I$89,3,0)*VLOOKUP('Données projet'!$B$14,Paramètres!$A$1:$I$89,5,0)</f>
        <v>-6.9906036515021697E-13</v>
      </c>
      <c r="DQ86" s="13" t="e">
        <f t="shared" si="97"/>
        <v>#NUM!</v>
      </c>
      <c r="DR86" s="20" t="e">
        <f t="shared" si="70"/>
        <v>#NUM!</v>
      </c>
      <c r="DS86" s="59" t="e">
        <f t="shared" si="71"/>
        <v>#NUM!</v>
      </c>
      <c r="DT86" s="59">
        <f ca="1">AVERAGE(OFFSET($DS$3,0,0,'Données projet'!$E$14+1,1))-AVERAGE(OFFSET($H$3,0,0,'Données projet'!$E$14+1,1))</f>
        <v>532.64469322244281</v>
      </c>
      <c r="DU86" s="59">
        <f t="shared" si="98"/>
        <v>525.88014011096413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3.9977484462246728</v>
      </c>
      <c r="EB86" s="21">
        <f>EXP(-LN(2)/25)*EB85+(1-EXP(-LN(2)/25))/(LN(2)/25)*Calculateur!DW86*Calculateur!DY86*VLOOKUP('Données projet'!$B$14,Paramètres!$A$1:$I$89,3,0)*0.475*44/12</f>
        <v>8.9164826310503091</v>
      </c>
      <c r="EC86" s="21">
        <f>EXP(-LN(2)/2)*EC85+(1-EXP(-LN(2)/2))/(LN(2)/2)*DW86*DZ86*VLOOKUP('Données projet'!$B$14,Paramètres!$A$1:$I$89,3,0)*0.475*44/12</f>
        <v>3.8429381996160193E-7</v>
      </c>
      <c r="ED86" s="22">
        <f t="shared" si="72"/>
        <v>12.914231461568802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68.362107836433353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5.6</v>
      </c>
      <c r="EJ86" s="12">
        <f>IF('Données projet'!$A$192&gt;35,EJ85+EI86-ER85,IF(A86&lt;'Données projet'!$A$192,$EG$205^A86,IF(A86='Données projet'!$A$192,'Données projet'!$B$192,EJ85+EI86-ER85)))</f>
        <v>256.8000000000003</v>
      </c>
      <c r="EK86" s="17">
        <f>EJ86*VLOOKUP('Données projet'!$B$15,Paramètres!$A$1:$I$89,3,0)*VLOOKUP('Données projet'!$B$15,Paramètres!$A$1:$I$89,5,0)</f>
        <v>232.35264000000026</v>
      </c>
      <c r="EL86" s="13">
        <f t="shared" si="99"/>
        <v>56.791075613550355</v>
      </c>
      <c r="EM86" s="20">
        <f t="shared" si="73"/>
        <v>503.59197136026728</v>
      </c>
      <c r="EN86" s="59">
        <f t="shared" si="74"/>
        <v>790.91970009385625</v>
      </c>
      <c r="EO86" s="59">
        <f ca="1">AVERAGE(OFFSET($EN$3,0,0,'Données projet'!$E$15+1,1))-AVERAGE(OFFSET($H$3,0,0,'Données projet'!$E$15+1,1))</f>
        <v>398.27843768730202</v>
      </c>
      <c r="EP86" s="59">
        <f t="shared" si="100"/>
        <v>252.3617347568813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0</v>
      </c>
      <c r="EW86" s="21">
        <f>EXP(-LN(2)/25)*EW85+(1-EXP(-LN(2)/25))/(LN(2)/25)*Calculateur!ER86*Calculateur!ET86*VLOOKUP('Données projet'!$B$15,Paramètres!$A$1:$I$89,3,0)*0.475*44/12</f>
        <v>0.71451148748240234</v>
      </c>
      <c r="EX86" s="21">
        <f>EXP(-LN(2)/2)*EX85+(1-EXP(-LN(2)/2))/(LN(2)/2)*ER86*EU86*VLOOKUP('Données projet'!$B$15,Paramètres!$A$1:$I$89,3,0)*0.475*44/12</f>
        <v>6.5215376600455482E-8</v>
      </c>
      <c r="EY86" s="22">
        <f t="shared" si="75"/>
        <v>0.714511552697779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68.362107836433353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5.6</v>
      </c>
      <c r="FE86" s="12">
        <f>IF('Données projet'!$A$218&gt;35,FE85+FD86-FM85,IF(A86&lt;'Données projet'!$A$218,$FB$205^A86,IF(A86='Données projet'!$A$218,'Données projet'!$B$218,FE85+FD86-FM85)))</f>
        <v>256.8000000000003</v>
      </c>
      <c r="FF86" s="17">
        <f>FE86*VLOOKUP('Données projet'!$B$16,Paramètres!$A$1:$I$89,3,0)*VLOOKUP('Données projet'!$B$16,Paramètres!$A$1:$I$89,5,0)</f>
        <v>248.37696000000028</v>
      </c>
      <c r="FG86" s="13">
        <f t="shared" si="101"/>
        <v>60.238259626372425</v>
      </c>
      <c r="FH86" s="20">
        <f t="shared" si="76"/>
        <v>537.50484084926575</v>
      </c>
      <c r="FI86" s="59">
        <f t="shared" si="77"/>
        <v>824.83256958285472</v>
      </c>
      <c r="FJ86" s="59">
        <f ca="1">AVERAGE(OFFSET($FI$3,0,0,'Données projet'!$E$16+1,1))-AVERAGE(OFFSET($H$3,0,0,'Données projet'!$E$16+1,1))</f>
        <v>422.28024471365825</v>
      </c>
      <c r="FK86" s="59">
        <f t="shared" si="102"/>
        <v>266.49730479813206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0</v>
      </c>
      <c r="FR86" s="21">
        <f>EXP(-LN(2)/25)*FR85+(1-EXP(-LN(2)/25))/(LN(2)/25)*Calculateur!FM86*Calculateur!FO86*VLOOKUP('Données projet'!$B$16,Paramètres!$A$1:$I$89,3,0)*0.475*44/12</f>
        <v>0.76378814179153354</v>
      </c>
      <c r="FS86" s="21">
        <f>EXP(-LN(2)/2)*FS85+(1-EXP(-LN(2)/2))/(LN(2)/2)*FM86*FP86*VLOOKUP('Données projet'!$B$16,Paramètres!$A$1:$I$89,3,0)*0.475*44/12</f>
        <v>6.9712988779797225E-8</v>
      </c>
      <c r="FT86" s="22">
        <f t="shared" si="78"/>
        <v>0.76378821150452236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68.362107836433353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3.4106051316484809E-13</v>
      </c>
      <c r="GA86" s="17">
        <f>FZ86*VLOOKUP('Données projet'!$B$17,Paramètres!$A$1:$I$89,3,0)*VLOOKUP('Données projet'!$B$17,Paramètres!$A$1:$I$89,5,0)</f>
        <v>2.6602720026858149E-13</v>
      </c>
      <c r="GB86" s="13">
        <f t="shared" si="103"/>
        <v>3.5662905043956649E-12</v>
      </c>
      <c r="GC86" s="20">
        <f t="shared" si="79"/>
        <v>6.6746200022902298E-12</v>
      </c>
      <c r="GD86" s="59">
        <f t="shared" si="80"/>
        <v>287.32772873359562</v>
      </c>
      <c r="GE86" s="59">
        <f ca="1">AVERAGE(OFFSET($GD$3,0,0,'Données projet'!$E$17+1,1))-AVERAGE(OFFSET($H$3,0,0,'Données projet'!$E$17+1,1))</f>
        <v>300.95722646933314</v>
      </c>
      <c r="GF86" s="59">
        <f t="shared" si="104"/>
        <v>269.52365224623759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>
        <f>EXP(-LN(2)/35)*GL85+(1-EXP(-LN(2)/35))/(LN(2)/35)*GH86*GI86*VLOOKUP('Données projet'!$B$17,Paramètres!$A$1:$I$89,3,0)*0.475*44/12</f>
        <v>0.31151286593958466</v>
      </c>
      <c r="GM86" s="21">
        <f>EXP(-LN(2)/25)*GM85+(1-EXP(-LN(2)/25))/(LN(2)/25)*Calculateur!GH86*Calculateur!GJ86*VLOOKUP('Données projet'!$B$17,Paramètres!$A$1:$I$89,3,0)*0.475*44/12</f>
        <v>1.4352975874168186</v>
      </c>
      <c r="GN86" s="21">
        <f>EXP(-LN(2)/2)*GN85+(1-EXP(-LN(2)/2))/(LN(2)/2)*GH86*GK86*VLOOKUP('Données projet'!$B$17,Paramètres!$A$1:$I$89,3,0)*0.475*44/12</f>
        <v>9.3344349416242327E-8</v>
      </c>
      <c r="GO86" s="21">
        <f t="shared" si="81"/>
        <v>1.7468105467007526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68.362107836433353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1.4000000000000001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5.1333333333333337</v>
      </c>
      <c r="H87" s="67">
        <f t="shared" si="56"/>
        <v>236.13333333333335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68.390521603692932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6.6</v>
      </c>
      <c r="N87" s="13">
        <f>IF('Données projet'!$A$36&gt;35,N86+M87-V86,IF(A87&lt;'Données projet'!$A$36,$K$205^A87,IF(A87='Données projet'!$A$36,'Données projet'!$B$36,N86+M87-V86)))</f>
        <v>318.39999999999986</v>
      </c>
      <c r="O87" s="13">
        <f>N87*VLOOKUP('Données projet'!$B$9,Paramètres!$A$1:$I$89,3,0)*VLOOKUP('Données projet'!$B$9,Paramètres!$A$1:$I$89,5,0)</f>
        <v>288.0883199999999</v>
      </c>
      <c r="P87" s="13">
        <f t="shared" si="87"/>
        <v>68.673460144735557</v>
      </c>
      <c r="Q87" s="20">
        <f t="shared" si="54"/>
        <v>621.36010041874761</v>
      </c>
      <c r="R87" s="59">
        <f t="shared" si="55"/>
        <v>908.79201296562178</v>
      </c>
      <c r="S87" s="59">
        <f ca="1">AVERAGE(OFFSET($R$3,0,0,'Données projet'!$E$9+1,1))-AVERAGE(OFFSET($H$3,0,0,'Données projet'!$E$9+1,1))</f>
        <v>479.46542424895119</v>
      </c>
      <c r="T87" s="59">
        <f t="shared" si="88"/>
        <v>337.96395820277337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0.82662760792596013</v>
      </c>
      <c r="AA87" s="21">
        <f>EXP(-LN(2)/25)*AA86+(1-EXP(-LN(2)/25))/(LN(2)/25)*Calculateur!V87*Calculateur!X87*VLOOKUP('Données projet'!$B$9,Paramètres!$A$1:$I$89,3,0)*0.475*44/12</f>
        <v>2.5246013347959186</v>
      </c>
      <c r="AB87" s="21">
        <f>EXP(-LN(2)/2)*AB86+(1-EXP(-LN(2)/2))/(LN(2)/2)*V87*Y87*VLOOKUP('Données projet'!$B$9,Paramètres!$A$1:$I$89,3,0)*0.475*44/12</f>
        <v>1.6058487276812396E-7</v>
      </c>
      <c r="AC87" s="22">
        <f t="shared" si="57"/>
        <v>3.3512291033067516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68.390521603692932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6.6</v>
      </c>
      <c r="AI87" s="13">
        <f>IF('Données projet'!$A$62&gt;35,AI86+AH87-AQ86,IF(A87&lt;'Données projet'!$A$62,$AF$205^A87,IF(A87='Données projet'!$A$62,'Données projet'!$B$62,AI86+AH87-AQ86)))</f>
        <v>318.39999999999986</v>
      </c>
      <c r="AJ87" s="13">
        <f>AI87*VLOOKUP('Données projet'!$B$10,Paramètres!$A$1:$I$89,3,0)*VLOOKUP('Données projet'!$B$10,Paramètres!$A$1:$I$89,5,0)</f>
        <v>307.95647999999989</v>
      </c>
      <c r="AK87" s="13">
        <f t="shared" si="89"/>
        <v>72.841897726847819</v>
      </c>
      <c r="AL87" s="20">
        <f t="shared" si="58"/>
        <v>663.22384120759318</v>
      </c>
      <c r="AM87" s="59">
        <f t="shared" si="59"/>
        <v>950.65575375446724</v>
      </c>
      <c r="AN87" s="59">
        <f ca="1">AVERAGE(OFFSET($AM$3,0,0,'Données projet'!$E$10+1,1))-AVERAGE(OFFSET($H$3,0,0,'Données projet'!$E$10+1,1))</f>
        <v>508.94560627895089</v>
      </c>
      <c r="AO87" s="59">
        <f t="shared" si="90"/>
        <v>357.86868650263034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0.88363640847257885</v>
      </c>
      <c r="AV87" s="21">
        <f>EXP(-LN(2)/25)*AV86+(1-EXP(-LN(2)/25))/(LN(2)/25)*Calculateur!AQ87*Calculateur!AS87*VLOOKUP('Données projet'!$B$10,Paramètres!$A$1:$I$89,3,0)*0.475*44/12</f>
        <v>2.6987117716783966</v>
      </c>
      <c r="AW87" s="21">
        <f>EXP(-LN(2)/2)*AW86+(1-EXP(-LN(2)/2))/(LN(2)/2)*AQ87*AT87*VLOOKUP('Données projet'!$B$10,Paramètres!$A$1:$I$89,3,0)*0.475*44/12</f>
        <v>1.7165969157971804E-7</v>
      </c>
      <c r="AX87" s="21">
        <f t="shared" si="60"/>
        <v>3.5823483518106674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68.390521603692932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1.7053025658242404E-13</v>
      </c>
      <c r="BE87" s="13">
        <f>BD87*VLOOKUP('Données projet'!$B$11,Paramètres!$A$1:$I$89,3,0)*VLOOKUP('Données projet'!$B$11,Paramètres!$A$1:$I$89,5,0)</f>
        <v>1.3301360013429075E-13</v>
      </c>
      <c r="BF87" s="13">
        <f t="shared" si="91"/>
        <v>1.9329766731057041E-12</v>
      </c>
      <c r="BG87" s="20">
        <f t="shared" si="61"/>
        <v>3.5982663925596575E-12</v>
      </c>
      <c r="BH87" s="59">
        <f t="shared" si="62"/>
        <v>287.4319125468777</v>
      </c>
      <c r="BI87" s="59">
        <f ca="1">AVERAGE(OFFSET($BH$3,0,0,'Données projet'!$E$11+1,1))-AVERAGE(OFFSET($H$3,0,0,'Données projet'!$E$11+1,1))</f>
        <v>383.03154033422328</v>
      </c>
      <c r="BJ87" s="59">
        <f t="shared" si="92"/>
        <v>373.27897156169877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0.4962819690442189</v>
      </c>
      <c r="BQ87" s="21">
        <f>EXP(-LN(2)/25)*BQ86+(1-EXP(-LN(2)/25))/(LN(2)/25)*Calculateur!BL87*Calculateur!BN87*VLOOKUP('Données projet'!$B$11,Paramètres!$A$1:$I$89,3,0)*0.475*44/12</f>
        <v>1.8730016316971412</v>
      </c>
      <c r="BR87" s="21">
        <f>EXP(-LN(2)/2)*BR86+(1-EXP(-LN(2)/2))/(LN(2)/2)*BL87*BO87*VLOOKUP('Données projet'!$B$11,Paramètres!$A$1:$I$89,3,0)*0.475*44/12</f>
        <v>9.7387877082093324E-8</v>
      </c>
      <c r="BS87" s="22">
        <f t="shared" si="63"/>
        <v>2.3692836981292369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68.390521603692932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6.6</v>
      </c>
      <c r="BY87" s="12">
        <f>IF('Données projet'!$A$114&gt;35,BY86+BX87-CG86,IF(A87&lt;'Données projet'!$A$114,$BV$205^A87,IF(A87='Données projet'!$A$114,'Données projet'!$B$114,BY86+BX87-CG86)))</f>
        <v>318.39999999999986</v>
      </c>
      <c r="BZ87" s="13">
        <f>BY87*VLOOKUP('Données projet'!$B$12,Paramètres!$A$1:$I$89,3,0)*VLOOKUP('Données projet'!$B$12,Paramètres!$A$1:$I$89,5,0)</f>
        <v>268.22015999999991</v>
      </c>
      <c r="CA87" s="13">
        <f t="shared" si="93"/>
        <v>64.471397046337671</v>
      </c>
      <c r="CB87" s="20">
        <f t="shared" si="64"/>
        <v>579.43779518903796</v>
      </c>
      <c r="CC87" s="59">
        <f t="shared" si="65"/>
        <v>866.86970773591202</v>
      </c>
      <c r="CD87" s="59">
        <f ca="1">AVERAGE(OFFSET($CC$3,0,0,'Données projet'!$E$12+1,1))-AVERAGE(OFFSET($H$3,0,0,'Données projet'!$E$12+1,1))</f>
        <v>449.94334483948603</v>
      </c>
      <c r="CE87" s="59">
        <f t="shared" si="94"/>
        <v>318.02929110264176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0.7696188073793423</v>
      </c>
      <c r="CL87" s="21">
        <f>EXP(-LN(2)/25)*CL86+(1-EXP(-LN(2)/25))/(LN(2)/25)*Calculateur!CG87*Calculateur!CI87*VLOOKUP('Données projet'!$B$12,Paramètres!$A$1:$I$89,3,0)*0.475*44/12</f>
        <v>2.350490897913442</v>
      </c>
      <c r="CM87" s="21">
        <f>EXP(-LN(2)/2)*CM86+(1-EXP(-LN(2)/2))/(LN(2)/2)*CG87*CJ87*VLOOKUP('Données projet'!$B$12,Paramètres!$A$1:$I$89,3,0)*0.475*44/12</f>
        <v>1.4951005395652876E-7</v>
      </c>
      <c r="CN87" s="22">
        <f t="shared" si="66"/>
        <v>3.1201098548028385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68.390521603692932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8.1</v>
      </c>
      <c r="CT87" s="12">
        <f>IF('Données projet'!$A$140&gt;35,CT86+CS87-DB86,IF(A87&lt;'Données projet'!$A$140,$CQ$205^A87,IF(A87='Données projet'!$A$140,'Données projet'!$B$140,CT86+CS87-DB86)))</f>
        <v>355.4000000000002</v>
      </c>
      <c r="CU87" s="17">
        <f>CT87*VLOOKUP('Données projet'!$B$13,Paramètres!$A$1:$I$89,3,0)*VLOOKUP('Données projet'!$B$13,Paramètres!$A$1:$I$89,5,0)</f>
        <v>304.93320000000023</v>
      </c>
      <c r="CV87" s="13">
        <f t="shared" si="95"/>
        <v>72.209667926220163</v>
      </c>
      <c r="CW87" s="20">
        <f t="shared" si="67"/>
        <v>656.85716163816721</v>
      </c>
      <c r="CX87" s="59">
        <f t="shared" si="68"/>
        <v>944.28907418504127</v>
      </c>
      <c r="CY87" s="59">
        <f ca="1">AVERAGE(OFFSET($CX$3,0,0,'Données projet'!$E$13+1,1))-AVERAGE(OFFSET($H$3,0,0,'Données projet'!$E$13+1,1))</f>
        <v>565.32667500225568</v>
      </c>
      <c r="CZ87" s="59">
        <f t="shared" si="96"/>
        <v>275.06957234480944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0</v>
      </c>
      <c r="DG87" s="21">
        <f>EXP(-LN(2)/25)*DG86+(1-EXP(-LN(2)/25))/(LN(2)/25)*Calculateur!DB87*Calculateur!DD87*VLOOKUP('Données projet'!$B$13,Paramètres!$A$1:$I$89,3,0)*0.475*44/12</f>
        <v>0.98034778534917355</v>
      </c>
      <c r="DH87" s="21">
        <f>EXP(-LN(2)/2)*DH86+(1-EXP(-LN(2)/2))/(LN(2)/2)*DB87*DE87*VLOOKUP('Données projet'!$B$13,Paramètres!$A$1:$I$89,3,0)*0.475*44/12</f>
        <v>5.2776398594677113E-8</v>
      </c>
      <c r="DI87" s="22">
        <f t="shared" si="69"/>
        <v>0.98034783812557214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68.390521603692932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-1.2505552149377763E-12</v>
      </c>
      <c r="DP87" s="17">
        <f>DO87*VLOOKUP('Données projet'!$B$14,Paramètres!$A$1:$I$89,3,0)*VLOOKUP('Données projet'!$B$14,Paramètres!$A$1:$I$89,5,0)</f>
        <v>-6.9906036515021697E-13</v>
      </c>
      <c r="DQ87" s="13" t="e">
        <f t="shared" si="97"/>
        <v>#NUM!</v>
      </c>
      <c r="DR87" s="20" t="e">
        <f t="shared" si="70"/>
        <v>#NUM!</v>
      </c>
      <c r="DS87" s="59" t="e">
        <f t="shared" si="71"/>
        <v>#NUM!</v>
      </c>
      <c r="DT87" s="59">
        <f ca="1">AVERAGE(OFFSET($DS$3,0,0,'Données projet'!$E$14+1,1))-AVERAGE(OFFSET($H$3,0,0,'Données projet'!$E$14+1,1))</f>
        <v>532.64469322244281</v>
      </c>
      <c r="DU87" s="59">
        <f t="shared" si="98"/>
        <v>525.88014011096413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3.9193550375799888</v>
      </c>
      <c r="EB87" s="21">
        <f>EXP(-LN(2)/25)*EB86+(1-EXP(-LN(2)/25))/(LN(2)/25)*Calculateur!DW87*Calculateur!DY87*VLOOKUP('Données projet'!$B$14,Paramètres!$A$1:$I$89,3,0)*0.475*44/12</f>
        <v>8.672660944606795</v>
      </c>
      <c r="EC87" s="21">
        <f>EXP(-LN(2)/2)*EC86+(1-EXP(-LN(2)/2))/(LN(2)/2)*DW87*DZ87*VLOOKUP('Données projet'!$B$14,Paramètres!$A$1:$I$89,3,0)*0.475*44/12</f>
        <v>2.7173676606293094E-7</v>
      </c>
      <c r="ED87" s="22">
        <f t="shared" si="72"/>
        <v>12.59201625392355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68.390521603692932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5.6</v>
      </c>
      <c r="EJ87" s="12">
        <f>IF('Données projet'!$A$192&gt;35,EJ86+EI87-ER86,IF(A87&lt;'Données projet'!$A$192,$EG$205^A87,IF(A87='Données projet'!$A$192,'Données projet'!$B$192,EJ86+EI87-ER86)))</f>
        <v>262.40000000000032</v>
      </c>
      <c r="EK87" s="17">
        <f>EJ87*VLOOKUP('Données projet'!$B$15,Paramètres!$A$1:$I$89,3,0)*VLOOKUP('Données projet'!$B$15,Paramètres!$A$1:$I$89,5,0)</f>
        <v>237.41952000000029</v>
      </c>
      <c r="EL87" s="13">
        <f t="shared" si="99"/>
        <v>57.883978814320969</v>
      </c>
      <c r="EM87" s="20">
        <f t="shared" si="73"/>
        <v>514.32026043494284</v>
      </c>
      <c r="EN87" s="59">
        <f t="shared" si="74"/>
        <v>801.75217298181701</v>
      </c>
      <c r="EO87" s="59">
        <f ca="1">AVERAGE(OFFSET($EN$3,0,0,'Données projet'!$E$15+1,1))-AVERAGE(OFFSET($H$3,0,0,'Données projet'!$E$15+1,1))</f>
        <v>398.27843768730202</v>
      </c>
      <c r="EP87" s="59">
        <f t="shared" si="100"/>
        <v>252.3617347568813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0</v>
      </c>
      <c r="EW87" s="21">
        <f>EXP(-LN(2)/25)*EW86+(1-EXP(-LN(2)/25))/(LN(2)/25)*Calculateur!ER87*Calculateur!ET87*VLOOKUP('Données projet'!$B$15,Paramètres!$A$1:$I$89,3,0)*0.475*44/12</f>
        <v>0.69497313328266996</v>
      </c>
      <c r="EX87" s="21">
        <f>EXP(-LN(2)/2)*EX86+(1-EXP(-LN(2)/2))/(LN(2)/2)*ER87*EU87*VLOOKUP('Données projet'!$B$15,Paramètres!$A$1:$I$89,3,0)*0.475*44/12</f>
        <v>4.6114235031816567E-8</v>
      </c>
      <c r="EY87" s="22">
        <f t="shared" si="75"/>
        <v>0.69497317939690495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68.390521603692932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5.6</v>
      </c>
      <c r="FE87" s="12">
        <f>IF('Données projet'!$A$218&gt;35,FE86+FD87-FM86,IF(A87&lt;'Données projet'!$A$218,$FB$205^A87,IF(A87='Données projet'!$A$218,'Données projet'!$B$218,FE86+FD87-FM86)))</f>
        <v>262.40000000000032</v>
      </c>
      <c r="FF87" s="17">
        <f>FE87*VLOOKUP('Données projet'!$B$16,Paramètres!$A$1:$I$89,3,0)*VLOOKUP('Données projet'!$B$16,Paramètres!$A$1:$I$89,5,0)</f>
        <v>253.79328000000029</v>
      </c>
      <c r="FG87" s="13">
        <f t="shared" si="101"/>
        <v>61.397501391795316</v>
      </c>
      <c r="FH87" s="20">
        <f t="shared" si="76"/>
        <v>548.95727759071076</v>
      </c>
      <c r="FI87" s="59">
        <f t="shared" si="77"/>
        <v>836.38919013758482</v>
      </c>
      <c r="FJ87" s="59">
        <f ca="1">AVERAGE(OFFSET($FI$3,0,0,'Données projet'!$E$16+1,1))-AVERAGE(OFFSET($H$3,0,0,'Données projet'!$E$16+1,1))</f>
        <v>422.28024471365825</v>
      </c>
      <c r="FK87" s="59">
        <f t="shared" si="102"/>
        <v>266.49730479813206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0</v>
      </c>
      <c r="FR87" s="21">
        <f>EXP(-LN(2)/25)*FR86+(1-EXP(-LN(2)/25))/(LN(2)/25)*Calculateur!FM87*Calculateur!FO87*VLOOKUP('Données projet'!$B$16,Paramètres!$A$1:$I$89,3,0)*0.475*44/12</f>
        <v>0.74290231488837133</v>
      </c>
      <c r="FS87" s="21">
        <f>EXP(-LN(2)/2)*FS86+(1-EXP(-LN(2)/2))/(LN(2)/2)*FM87*FP87*VLOOKUP('Données projet'!$B$16,Paramètres!$A$1:$I$89,3,0)*0.475*44/12</f>
        <v>4.929452710297632E-8</v>
      </c>
      <c r="FT87" s="22">
        <f t="shared" si="78"/>
        <v>0.74290236418289846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68.390521603692932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3.4106051316484809E-13</v>
      </c>
      <c r="GA87" s="17">
        <f>FZ87*VLOOKUP('Données projet'!$B$17,Paramètres!$A$1:$I$89,3,0)*VLOOKUP('Données projet'!$B$17,Paramètres!$A$1:$I$89,5,0)</f>
        <v>2.6602720026858149E-13</v>
      </c>
      <c r="GB87" s="13">
        <f t="shared" si="103"/>
        <v>3.5662905043956649E-12</v>
      </c>
      <c r="GC87" s="20">
        <f t="shared" si="79"/>
        <v>6.6746200022902298E-12</v>
      </c>
      <c r="GD87" s="59">
        <f t="shared" si="80"/>
        <v>287.43191254688077</v>
      </c>
      <c r="GE87" s="59">
        <f ca="1">AVERAGE(OFFSET($GD$3,0,0,'Données projet'!$E$17+1,1))-AVERAGE(OFFSET($H$3,0,0,'Données projet'!$E$17+1,1))</f>
        <v>300.95722646933314</v>
      </c>
      <c r="GF87" s="59">
        <f t="shared" si="104"/>
        <v>269.52365224623759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>
        <f>EXP(-LN(2)/35)*GL86+(1-EXP(-LN(2)/35))/(LN(2)/35)*GH87*GI87*VLOOKUP('Données projet'!$B$17,Paramètres!$A$1:$I$89,3,0)*0.475*44/12</f>
        <v>0.30540428864259628</v>
      </c>
      <c r="GM87" s="21">
        <f>EXP(-LN(2)/25)*GM86+(1-EXP(-LN(2)/25))/(LN(2)/25)*Calculateur!GH87*Calculateur!GJ87*VLOOKUP('Données projet'!$B$17,Paramètres!$A$1:$I$89,3,0)*0.475*44/12</f>
        <v>1.3960492994098859</v>
      </c>
      <c r="GN87" s="21">
        <f>EXP(-LN(2)/2)*GN86+(1-EXP(-LN(2)/2))/(LN(2)/2)*GH87*GK87*VLOOKUP('Données projet'!$B$17,Paramètres!$A$1:$I$89,3,0)*0.475*44/12</f>
        <v>6.6004422457671498E-8</v>
      </c>
      <c r="GO87" s="21">
        <f t="shared" si="81"/>
        <v>1.7014536540569045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68.390521603692932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1.4000000000000001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5.1333333333333337</v>
      </c>
      <c r="H88" s="67">
        <f t="shared" si="56"/>
        <v>236.13333333333335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68.418442455614226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6.6</v>
      </c>
      <c r="N88" s="13">
        <f>IF('Données projet'!$A$36&gt;35,N87+M88-V87,IF(A88&lt;'Données projet'!$A$36,$K$205^A88,IF(A88='Données projet'!$A$36,'Données projet'!$B$36,N87+M88-V87)))</f>
        <v>324.99999999999989</v>
      </c>
      <c r="O88" s="13">
        <f>N88*VLOOKUP('Données projet'!$B$9,Paramètres!$A$1:$I$89,3,0)*VLOOKUP('Données projet'!$B$9,Paramètres!$A$1:$I$89,5,0)</f>
        <v>294.05999999999989</v>
      </c>
      <c r="P88" s="13">
        <f t="shared" si="87"/>
        <v>69.929765653573313</v>
      </c>
      <c r="Q88" s="20">
        <f t="shared" si="54"/>
        <v>633.94884184663999</v>
      </c>
      <c r="R88" s="59">
        <f t="shared" si="55"/>
        <v>921.48313085055884</v>
      </c>
      <c r="S88" s="59">
        <f ca="1">AVERAGE(OFFSET($R$3,0,0,'Données projet'!$E$9+1,1))-AVERAGE(OFFSET($H$3,0,0,'Données projet'!$E$9+1,1))</f>
        <v>479.46542424895119</v>
      </c>
      <c r="T88" s="59">
        <f t="shared" si="88"/>
        <v>337.96395820277337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0.81041794472758799</v>
      </c>
      <c r="AA88" s="21">
        <f>EXP(-LN(2)/25)*AA87+(1-EXP(-LN(2)/25))/(LN(2)/25)*Calculateur!V88*Calculateur!X88*VLOOKUP('Données projet'!$B$9,Paramètres!$A$1:$I$89,3,0)*0.475*44/12</f>
        <v>2.4555659785329103</v>
      </c>
      <c r="AB88" s="21">
        <f>EXP(-LN(2)/2)*AB87+(1-EXP(-LN(2)/2))/(LN(2)/2)*V88*Y88*VLOOKUP('Données projet'!$B$9,Paramètres!$A$1:$I$89,3,0)*0.475*44/12</f>
        <v>1.1355065249031941E-7</v>
      </c>
      <c r="AC88" s="22">
        <f t="shared" si="57"/>
        <v>3.2659840368111506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68.418442455614226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6.6</v>
      </c>
      <c r="AI88" s="13">
        <f>IF('Données projet'!$A$62&gt;35,AI87+AH88-AQ87,IF(A88&lt;'Données projet'!$A$62,$AF$205^A88,IF(A88='Données projet'!$A$62,'Données projet'!$B$62,AI87+AH88-AQ87)))</f>
        <v>324.99999999999989</v>
      </c>
      <c r="AJ88" s="13">
        <f>AI88*VLOOKUP('Données projet'!$B$10,Paramètres!$A$1:$I$89,3,0)*VLOOKUP('Données projet'!$B$10,Paramètres!$A$1:$I$89,5,0)</f>
        <v>314.33999999999986</v>
      </c>
      <c r="AK88" s="13">
        <f t="shared" si="89"/>
        <v>74.174460221814215</v>
      </c>
      <c r="AL88" s="20">
        <f t="shared" si="58"/>
        <v>676.66268488632613</v>
      </c>
      <c r="AM88" s="59">
        <f t="shared" si="59"/>
        <v>964.19697389024498</v>
      </c>
      <c r="AN88" s="59">
        <f ca="1">AVERAGE(OFFSET($AM$3,0,0,'Données projet'!$E$10+1,1))-AVERAGE(OFFSET($H$3,0,0,'Données projet'!$E$10+1,1))</f>
        <v>508.94560627895089</v>
      </c>
      <c r="AO88" s="59">
        <f t="shared" si="90"/>
        <v>357.86868650263034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0.86630883746742238</v>
      </c>
      <c r="AV88" s="21">
        <f>EXP(-LN(2)/25)*AV87+(1-EXP(-LN(2)/25))/(LN(2)/25)*Calculateur!AQ88*Calculateur!AS88*VLOOKUP('Données projet'!$B$10,Paramètres!$A$1:$I$89,3,0)*0.475*44/12</f>
        <v>2.624915356362767</v>
      </c>
      <c r="AW88" s="21">
        <f>EXP(-LN(2)/2)*AW87+(1-EXP(-LN(2)/2))/(LN(2)/2)*AQ88*AT88*VLOOKUP('Données projet'!$B$10,Paramètres!$A$1:$I$89,3,0)*0.475*44/12</f>
        <v>1.2138173197240992E-7</v>
      </c>
      <c r="AX88" s="21">
        <f t="shared" si="60"/>
        <v>3.4912243152119209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68.418442455614226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1.7053025658242404E-13</v>
      </c>
      <c r="BE88" s="13">
        <f>BD88*VLOOKUP('Données projet'!$B$11,Paramètres!$A$1:$I$89,3,0)*VLOOKUP('Données projet'!$B$11,Paramètres!$A$1:$I$89,5,0)</f>
        <v>1.3301360013429075E-13</v>
      </c>
      <c r="BF88" s="13">
        <f t="shared" si="91"/>
        <v>1.9329766731057041E-12</v>
      </c>
      <c r="BG88" s="20">
        <f t="shared" si="61"/>
        <v>3.5982663925596575E-12</v>
      </c>
      <c r="BH88" s="59">
        <f t="shared" si="62"/>
        <v>287.53428900392242</v>
      </c>
      <c r="BI88" s="59">
        <f ca="1">AVERAGE(OFFSET($BH$3,0,0,'Données projet'!$E$11+1,1))-AVERAGE(OFFSET($H$3,0,0,'Données projet'!$E$11+1,1))</f>
        <v>383.03154033422328</v>
      </c>
      <c r="BJ88" s="59">
        <f t="shared" si="92"/>
        <v>373.27897156169877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0.48655018233337355</v>
      </c>
      <c r="BQ88" s="21">
        <f>EXP(-LN(2)/25)*BQ87+(1-EXP(-LN(2)/25))/(LN(2)/25)*Calculateur!BL88*Calculateur!BN88*VLOOKUP('Données projet'!$B$11,Paramètres!$A$1:$I$89,3,0)*0.475*44/12</f>
        <v>1.8217843035815078</v>
      </c>
      <c r="BR88" s="21">
        <f>EXP(-LN(2)/2)*BR87+(1-EXP(-LN(2)/2))/(LN(2)/2)*BL88*BO88*VLOOKUP('Données projet'!$B$11,Paramètres!$A$1:$I$89,3,0)*0.475*44/12</f>
        <v>6.8863628290110149E-8</v>
      </c>
      <c r="BS88" s="22">
        <f t="shared" si="63"/>
        <v>2.3083345547785092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68.418442455614226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6.6</v>
      </c>
      <c r="BY88" s="12">
        <f>IF('Données projet'!$A$114&gt;35,BY87+BX88-CG87,IF(A88&lt;'Données projet'!$A$114,$BV$205^A88,IF(A88='Données projet'!$A$114,'Données projet'!$B$114,BY87+BX88-CG87)))</f>
        <v>324.99999999999989</v>
      </c>
      <c r="BZ88" s="13">
        <f>BY88*VLOOKUP('Données projet'!$B$12,Paramètres!$A$1:$I$89,3,0)*VLOOKUP('Données projet'!$B$12,Paramètres!$A$1:$I$89,5,0)</f>
        <v>273.77999999999992</v>
      </c>
      <c r="CA88" s="13">
        <f t="shared" si="93"/>
        <v>65.650830427167435</v>
      </c>
      <c r="CB88" s="20">
        <f t="shared" si="64"/>
        <v>591.17536299398307</v>
      </c>
      <c r="CC88" s="59">
        <f t="shared" si="65"/>
        <v>878.70965199790191</v>
      </c>
      <c r="CD88" s="59">
        <f ca="1">AVERAGE(OFFSET($CC$3,0,0,'Données projet'!$E$12+1,1))-AVERAGE(OFFSET($H$3,0,0,'Données projet'!$E$12+1,1))</f>
        <v>449.94334483948603</v>
      </c>
      <c r="CE88" s="59">
        <f t="shared" si="94"/>
        <v>318.02929110264176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0.75452705198775438</v>
      </c>
      <c r="CL88" s="21">
        <f>EXP(-LN(2)/25)*CL87+(1-EXP(-LN(2)/25))/(LN(2)/25)*Calculateur!CG88*Calculateur!CI88*VLOOKUP('Données projet'!$B$12,Paramètres!$A$1:$I$89,3,0)*0.475*44/12</f>
        <v>2.2862166007030549</v>
      </c>
      <c r="CM88" s="21">
        <f>EXP(-LN(2)/2)*CM87+(1-EXP(-LN(2)/2))/(LN(2)/2)*CG88*CJ88*VLOOKUP('Données projet'!$B$12,Paramètres!$A$1:$I$89,3,0)*0.475*44/12</f>
        <v>1.057195730082281E-7</v>
      </c>
      <c r="CN88" s="22">
        <f t="shared" si="66"/>
        <v>3.0407437584103825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68.418442455614226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8.1</v>
      </c>
      <c r="CT88" s="12">
        <f>IF('Données projet'!$A$140&gt;35,CT87+CS88-DB87,IF(A88&lt;'Données projet'!$A$140,$CQ$205^A88,IF(A88='Données projet'!$A$140,'Données projet'!$B$140,CT87+CS88-DB87)))</f>
        <v>363.50000000000023</v>
      </c>
      <c r="CU88" s="17">
        <f>CT88*VLOOKUP('Données projet'!$B$13,Paramètres!$A$1:$I$89,3,0)*VLOOKUP('Données projet'!$B$13,Paramètres!$A$1:$I$89,5,0)</f>
        <v>311.88300000000027</v>
      </c>
      <c r="CV88" s="13">
        <f t="shared" si="95"/>
        <v>73.661936811145893</v>
      </c>
      <c r="CW88" s="20">
        <f t="shared" si="67"/>
        <v>671.49076494607959</v>
      </c>
      <c r="CX88" s="59">
        <f t="shared" si="68"/>
        <v>959.02505394999844</v>
      </c>
      <c r="CY88" s="59">
        <f ca="1">AVERAGE(OFFSET($CX$3,0,0,'Données projet'!$E$13+1,1))-AVERAGE(OFFSET($H$3,0,0,'Données projet'!$E$13+1,1))</f>
        <v>565.32667500225568</v>
      </c>
      <c r="CZ88" s="59">
        <f t="shared" si="96"/>
        <v>275.06957234480944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0</v>
      </c>
      <c r="DG88" s="21">
        <f>EXP(-LN(2)/25)*DG87+(1-EXP(-LN(2)/25))/(LN(2)/25)*Calculateur!DB88*Calculateur!DD88*VLOOKUP('Données projet'!$B$13,Paramètres!$A$1:$I$89,3,0)*0.475*44/12</f>
        <v>0.95354012360455098</v>
      </c>
      <c r="DH88" s="21">
        <f>EXP(-LN(2)/2)*DH87+(1-EXP(-LN(2)/2))/(LN(2)/2)*DB88*DE88*VLOOKUP('Données projet'!$B$13,Paramètres!$A$1:$I$89,3,0)*0.475*44/12</f>
        <v>3.7318549332900363E-8</v>
      </c>
      <c r="DI88" s="22">
        <f t="shared" si="69"/>
        <v>0.95354016092310034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68.418442455614226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-1.2505552149377763E-12</v>
      </c>
      <c r="DP88" s="17">
        <f>DO88*VLOOKUP('Données projet'!$B$14,Paramètres!$A$1:$I$89,3,0)*VLOOKUP('Données projet'!$B$14,Paramètres!$A$1:$I$89,5,0)</f>
        <v>-6.9906036515021697E-13</v>
      </c>
      <c r="DQ88" s="13" t="e">
        <f t="shared" si="97"/>
        <v>#NUM!</v>
      </c>
      <c r="DR88" s="20" t="e">
        <f t="shared" si="70"/>
        <v>#NUM!</v>
      </c>
      <c r="DS88" s="59" t="e">
        <f t="shared" si="71"/>
        <v>#NUM!</v>
      </c>
      <c r="DT88" s="59">
        <f ca="1">AVERAGE(OFFSET($DS$3,0,0,'Données projet'!$E$14+1,1))-AVERAGE(OFFSET($H$3,0,0,'Données projet'!$E$14+1,1))</f>
        <v>532.64469322244281</v>
      </c>
      <c r="DU88" s="59">
        <f t="shared" si="98"/>
        <v>525.88014011096413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3.8424988758635688</v>
      </c>
      <c r="EB88" s="21">
        <f>EXP(-LN(2)/25)*EB87+(1-EXP(-LN(2)/25))/(LN(2)/25)*Calculateur!DW88*Calculateur!DY88*VLOOKUP('Données projet'!$B$14,Paramètres!$A$1:$I$89,3,0)*0.475*44/12</f>
        <v>8.4355065750011047</v>
      </c>
      <c r="EC88" s="21">
        <f>EXP(-LN(2)/2)*EC87+(1-EXP(-LN(2)/2))/(LN(2)/2)*DW88*DZ88*VLOOKUP('Données projet'!$B$14,Paramètres!$A$1:$I$89,3,0)*0.475*44/12</f>
        <v>1.9214690998080096E-7</v>
      </c>
      <c r="ED88" s="22">
        <f t="shared" si="72"/>
        <v>12.278005643011584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68.418442455614226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5.6</v>
      </c>
      <c r="EJ88" s="12">
        <f>IF('Données projet'!$A$192&gt;35,EJ87+EI88-ER87,IF(A88&lt;'Données projet'!$A$192,$EG$205^A88,IF(A88='Données projet'!$A$192,'Données projet'!$B$192,EJ87+EI88-ER87)))</f>
        <v>268.00000000000034</v>
      </c>
      <c r="EK88" s="17">
        <f>EJ88*VLOOKUP('Données projet'!$B$15,Paramètres!$A$1:$I$89,3,0)*VLOOKUP('Données projet'!$B$15,Paramètres!$A$1:$I$89,5,0)</f>
        <v>242.48640000000032</v>
      </c>
      <c r="EL88" s="13">
        <f t="shared" si="99"/>
        <v>58.974170235372526</v>
      </c>
      <c r="EM88" s="20">
        <f t="shared" si="73"/>
        <v>525.04382649327442</v>
      </c>
      <c r="EN88" s="59">
        <f t="shared" si="74"/>
        <v>812.57811549719327</v>
      </c>
      <c r="EO88" s="59">
        <f ca="1">AVERAGE(OFFSET($EN$3,0,0,'Données projet'!$E$15+1,1))-AVERAGE(OFFSET($H$3,0,0,'Données projet'!$E$15+1,1))</f>
        <v>398.27843768730202</v>
      </c>
      <c r="EP88" s="59">
        <f t="shared" si="100"/>
        <v>252.3617347568813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0</v>
      </c>
      <c r="EW88" s="21">
        <f>EXP(-LN(2)/25)*EW87+(1-EXP(-LN(2)/25))/(LN(2)/25)*Calculateur!ER88*Calculateur!ET88*VLOOKUP('Données projet'!$B$15,Paramètres!$A$1:$I$89,3,0)*0.475*44/12</f>
        <v>0.67596905640600669</v>
      </c>
      <c r="EX88" s="21">
        <f>EXP(-LN(2)/2)*EX87+(1-EXP(-LN(2)/2))/(LN(2)/2)*ER88*EU88*VLOOKUP('Données projet'!$B$15,Paramètres!$A$1:$I$89,3,0)*0.475*44/12</f>
        <v>3.2607688300227741E-8</v>
      </c>
      <c r="EY88" s="22">
        <f t="shared" si="75"/>
        <v>0.67596908901369501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68.418442455614226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5.6</v>
      </c>
      <c r="FE88" s="12">
        <f>IF('Données projet'!$A$218&gt;35,FE87+FD88-FM87,IF(A88&lt;'Données projet'!$A$218,$FB$205^A88,IF(A88='Données projet'!$A$218,'Données projet'!$B$218,FE87+FD88-FM87)))</f>
        <v>268.00000000000034</v>
      </c>
      <c r="FF88" s="17">
        <f>FE88*VLOOKUP('Données projet'!$B$16,Paramètres!$A$1:$I$89,3,0)*VLOOKUP('Données projet'!$B$16,Paramètres!$A$1:$I$89,5,0)</f>
        <v>259.20960000000036</v>
      </c>
      <c r="FG88" s="13">
        <f t="shared" si="101"/>
        <v>62.553866774106815</v>
      </c>
      <c r="FH88" s="20">
        <f t="shared" si="76"/>
        <v>560.4047046315701</v>
      </c>
      <c r="FI88" s="59">
        <f t="shared" si="77"/>
        <v>847.93899363548894</v>
      </c>
      <c r="FJ88" s="59">
        <f ca="1">AVERAGE(OFFSET($FI$3,0,0,'Données projet'!$E$16+1,1))-AVERAGE(OFFSET($H$3,0,0,'Données projet'!$E$16+1,1))</f>
        <v>422.28024471365825</v>
      </c>
      <c r="FK88" s="59">
        <f t="shared" si="102"/>
        <v>266.49730479813206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0</v>
      </c>
      <c r="FR88" s="21">
        <f>EXP(-LN(2)/25)*FR87+(1-EXP(-LN(2)/25))/(LN(2)/25)*Calculateur!FM88*Calculateur!FO88*VLOOKUP('Données projet'!$B$16,Paramètres!$A$1:$I$89,3,0)*0.475*44/12</f>
        <v>0.72258761202021404</v>
      </c>
      <c r="FS88" s="21">
        <f>EXP(-LN(2)/2)*FS87+(1-EXP(-LN(2)/2))/(LN(2)/2)*FM88*FP88*VLOOKUP('Données projet'!$B$16,Paramètres!$A$1:$I$89,3,0)*0.475*44/12</f>
        <v>3.4856494389898613E-8</v>
      </c>
      <c r="FT88" s="22">
        <f t="shared" si="78"/>
        <v>0.7225876468767084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68.418442455614226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3.4106051316484809E-13</v>
      </c>
      <c r="GA88" s="17">
        <f>FZ88*VLOOKUP('Données projet'!$B$17,Paramètres!$A$1:$I$89,3,0)*VLOOKUP('Données projet'!$B$17,Paramètres!$A$1:$I$89,5,0)</f>
        <v>2.6602720026858149E-13</v>
      </c>
      <c r="GB88" s="13">
        <f t="shared" si="103"/>
        <v>3.5662905043956649E-12</v>
      </c>
      <c r="GC88" s="20">
        <f t="shared" si="79"/>
        <v>6.6746200022902298E-12</v>
      </c>
      <c r="GD88" s="59">
        <f t="shared" si="80"/>
        <v>287.53428900392549</v>
      </c>
      <c r="GE88" s="59">
        <f ca="1">AVERAGE(OFFSET($GD$3,0,0,'Données projet'!$E$17+1,1))-AVERAGE(OFFSET($H$3,0,0,'Données projet'!$E$17+1,1))</f>
        <v>300.95722646933314</v>
      </c>
      <c r="GF88" s="59">
        <f t="shared" si="104"/>
        <v>269.52365224623759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>
        <f>EXP(-LN(2)/35)*GL87+(1-EXP(-LN(2)/35))/(LN(2)/35)*GH88*GI88*VLOOKUP('Données projet'!$B$17,Paramètres!$A$1:$I$89,3,0)*0.475*44/12</f>
        <v>0.29941549682053759</v>
      </c>
      <c r="GM88" s="21">
        <f>EXP(-LN(2)/25)*GM87+(1-EXP(-LN(2)/25))/(LN(2)/25)*Calculateur!GH88*Calculateur!GJ88*VLOOKUP('Données projet'!$B$17,Paramètres!$A$1:$I$89,3,0)*0.475*44/12</f>
        <v>1.3578742579024805</v>
      </c>
      <c r="GN88" s="21">
        <f>EXP(-LN(2)/2)*GN87+(1-EXP(-LN(2)/2))/(LN(2)/2)*GH88*GK88*VLOOKUP('Données projet'!$B$17,Paramètres!$A$1:$I$89,3,0)*0.475*44/12</f>
        <v>4.6672174708121164E-8</v>
      </c>
      <c r="GO88" s="21">
        <f t="shared" si="81"/>
        <v>1.6572898013951929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68.418442455614226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1.4000000000000001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5.1333333333333337</v>
      </c>
      <c r="H89" s="67">
        <f t="shared" si="56"/>
        <v>236.13333333333335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68.445878943176353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6.6</v>
      </c>
      <c r="N89" s="13">
        <f>IF('Données projet'!$A$36&gt;35,N88+M89-V88,IF(A89&lt;'Données projet'!$A$36,$K$205^A89,IF(A89='Données projet'!$A$36,'Données projet'!$B$36,N88+M89-V88)))</f>
        <v>331.59999999999991</v>
      </c>
      <c r="O89" s="13">
        <f>N89*VLOOKUP('Données projet'!$B$9,Paramètres!$A$1:$I$89,3,0)*VLOOKUP('Données projet'!$B$9,Paramètres!$A$1:$I$89,5,0)</f>
        <v>300.03167999999994</v>
      </c>
      <c r="P89" s="13">
        <f t="shared" si="87"/>
        <v>71.183104779714938</v>
      </c>
      <c r="Q89" s="20">
        <f t="shared" si="54"/>
        <v>646.53241682467001</v>
      </c>
      <c r="R89" s="59">
        <f t="shared" si="55"/>
        <v>934.1673062829833</v>
      </c>
      <c r="S89" s="59">
        <f ca="1">AVERAGE(OFFSET($R$3,0,0,'Données projet'!$E$9+1,1))-AVERAGE(OFFSET($H$3,0,0,'Données projet'!$E$9+1,1))</f>
        <v>479.46542424895119</v>
      </c>
      <c r="T89" s="59">
        <f t="shared" si="88"/>
        <v>337.96395820277337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0.7945261431376176</v>
      </c>
      <c r="AA89" s="21">
        <f>EXP(-LN(2)/25)*AA88+(1-EXP(-LN(2)/25))/(LN(2)/25)*Calculateur!V89*Calculateur!X89*VLOOKUP('Données projet'!$B$9,Paramètres!$A$1:$I$89,3,0)*0.475*44/12</f>
        <v>2.3884183977173254</v>
      </c>
      <c r="AB89" s="21">
        <f>EXP(-LN(2)/2)*AB88+(1-EXP(-LN(2)/2))/(LN(2)/2)*V89*Y89*VLOOKUP('Données projet'!$B$9,Paramètres!$A$1:$I$89,3,0)*0.475*44/12</f>
        <v>8.0292436384061992E-8</v>
      </c>
      <c r="AC89" s="22">
        <f t="shared" si="57"/>
        <v>3.1829446211473793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68.445878943176353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6.6</v>
      </c>
      <c r="AI89" s="13">
        <f>IF('Données projet'!$A$62&gt;35,AI88+AH89-AQ88,IF(A89&lt;'Données projet'!$A$62,$AF$205^A89,IF(A89='Données projet'!$A$62,'Données projet'!$B$62,AI88+AH89-AQ88)))</f>
        <v>331.59999999999991</v>
      </c>
      <c r="AJ89" s="13">
        <f>AI89*VLOOKUP('Données projet'!$B$10,Paramètres!$A$1:$I$89,3,0)*VLOOKUP('Données projet'!$B$10,Paramètres!$A$1:$I$89,5,0)</f>
        <v>320.72351999999995</v>
      </c>
      <c r="AK89" s="13">
        <f t="shared" si="89"/>
        <v>75.503876276445041</v>
      </c>
      <c r="AL89" s="20">
        <f t="shared" si="58"/>
        <v>690.09604851480833</v>
      </c>
      <c r="AM89" s="59">
        <f t="shared" si="59"/>
        <v>977.73093797312163</v>
      </c>
      <c r="AN89" s="59">
        <f ca="1">AVERAGE(OFFSET($AM$3,0,0,'Données projet'!$E$10+1,1))-AVERAGE(OFFSET($H$3,0,0,'Données projet'!$E$10+1,1))</f>
        <v>508.94560627895089</v>
      </c>
      <c r="AO89" s="59">
        <f t="shared" si="90"/>
        <v>357.86868650263034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0.84932104956090226</v>
      </c>
      <c r="AV89" s="21">
        <f>EXP(-LN(2)/25)*AV88+(1-EXP(-LN(2)/25))/(LN(2)/25)*Calculateur!AQ89*Calculateur!AS89*VLOOKUP('Données projet'!$B$10,Paramètres!$A$1:$I$89,3,0)*0.475*44/12</f>
        <v>2.5531369079047277</v>
      </c>
      <c r="AW89" s="21">
        <f>EXP(-LN(2)/2)*AW88+(1-EXP(-LN(2)/2))/(LN(2)/2)*AQ89*AT89*VLOOKUP('Données projet'!$B$10,Paramètres!$A$1:$I$89,3,0)*0.475*44/12</f>
        <v>8.5829845789859019E-8</v>
      </c>
      <c r="AX89" s="21">
        <f t="shared" si="60"/>
        <v>3.4024580432954759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68.445878943176353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1.7053025658242404E-13</v>
      </c>
      <c r="BE89" s="13">
        <f>BD89*VLOOKUP('Données projet'!$B$11,Paramètres!$A$1:$I$89,3,0)*VLOOKUP('Données projet'!$B$11,Paramètres!$A$1:$I$89,5,0)</f>
        <v>1.3301360013429075E-13</v>
      </c>
      <c r="BF89" s="13">
        <f t="shared" si="91"/>
        <v>1.9329766731057041E-12</v>
      </c>
      <c r="BG89" s="20">
        <f t="shared" si="61"/>
        <v>3.5982663925596575E-12</v>
      </c>
      <c r="BH89" s="59">
        <f t="shared" si="62"/>
        <v>287.63488945831688</v>
      </c>
      <c r="BI89" s="59">
        <f ca="1">AVERAGE(OFFSET($BH$3,0,0,'Données projet'!$E$11+1,1))-AVERAGE(OFFSET($H$3,0,0,'Données projet'!$E$11+1,1))</f>
        <v>383.03154033422328</v>
      </c>
      <c r="BJ89" s="59">
        <f t="shared" si="92"/>
        <v>373.27897156169877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0.4770092300241241</v>
      </c>
      <c r="BQ89" s="21">
        <f>EXP(-LN(2)/25)*BQ88+(1-EXP(-LN(2)/25))/(LN(2)/25)*Calculateur!BL89*Calculateur!BN89*VLOOKUP('Données projet'!$B$11,Paramètres!$A$1:$I$89,3,0)*0.475*44/12</f>
        <v>1.7719675159965986</v>
      </c>
      <c r="BR89" s="21">
        <f>EXP(-LN(2)/2)*BR88+(1-EXP(-LN(2)/2))/(LN(2)/2)*BL89*BO89*VLOOKUP('Données projet'!$B$11,Paramètres!$A$1:$I$89,3,0)*0.475*44/12</f>
        <v>4.8693938541046662E-8</v>
      </c>
      <c r="BS89" s="22">
        <f t="shared" si="63"/>
        <v>2.2489767947146615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68.445878943176353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6.6</v>
      </c>
      <c r="BY89" s="12">
        <f>IF('Données projet'!$A$114&gt;35,BY88+BX89-CG88,IF(A89&lt;'Données projet'!$A$114,$BV$205^A89,IF(A89='Données projet'!$A$114,'Données projet'!$B$114,BY88+BX89-CG88)))</f>
        <v>331.59999999999991</v>
      </c>
      <c r="BZ89" s="13">
        <f>BY89*VLOOKUP('Données projet'!$B$12,Paramètres!$A$1:$I$89,3,0)*VLOOKUP('Données projet'!$B$12,Paramètres!$A$1:$I$89,5,0)</f>
        <v>279.33983999999998</v>
      </c>
      <c r="CA89" s="13">
        <f t="shared" si="93"/>
        <v>66.827478935410426</v>
      </c>
      <c r="CB89" s="20">
        <f t="shared" si="64"/>
        <v>602.90808047917312</v>
      </c>
      <c r="CC89" s="59">
        <f t="shared" si="65"/>
        <v>890.54296993748642</v>
      </c>
      <c r="CD89" s="59">
        <f ca="1">AVERAGE(OFFSET($CC$3,0,0,'Données projet'!$E$12+1,1))-AVERAGE(OFFSET($H$3,0,0,'Données projet'!$E$12+1,1))</f>
        <v>449.94334483948603</v>
      </c>
      <c r="CE89" s="59">
        <f t="shared" si="94"/>
        <v>318.02929110264176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0.73973123671433372</v>
      </c>
      <c r="CL89" s="21">
        <f>EXP(-LN(2)/25)*CL88+(1-EXP(-LN(2)/25))/(LN(2)/25)*Calculateur!CG89*Calculateur!CI89*VLOOKUP('Données projet'!$B$12,Paramètres!$A$1:$I$89,3,0)*0.475*44/12</f>
        <v>2.2236998875299241</v>
      </c>
      <c r="CM89" s="21">
        <f>EXP(-LN(2)/2)*CM88+(1-EXP(-LN(2)/2))/(LN(2)/2)*CG89*CJ89*VLOOKUP('Données projet'!$B$12,Paramètres!$A$1:$I$89,3,0)*0.475*44/12</f>
        <v>7.4755026978264382E-8</v>
      </c>
      <c r="CN89" s="22">
        <f t="shared" si="66"/>
        <v>2.963431198999285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68.445878943176353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8.1</v>
      </c>
      <c r="CT89" s="12">
        <f>IF('Données projet'!$A$140&gt;35,CT88+CS89-DB88,IF(A89&lt;'Données projet'!$A$140,$CQ$205^A89,IF(A89='Données projet'!$A$140,'Données projet'!$B$140,CT88+CS89-DB88)))</f>
        <v>371.60000000000025</v>
      </c>
      <c r="CU89" s="17">
        <f>CT89*VLOOKUP('Données projet'!$B$13,Paramètres!$A$1:$I$89,3,0)*VLOOKUP('Données projet'!$B$13,Paramètres!$A$1:$I$89,5,0)</f>
        <v>318.83280000000025</v>
      </c>
      <c r="CV89" s="13">
        <f t="shared" si="95"/>
        <v>75.110443378112123</v>
      </c>
      <c r="CW89" s="20">
        <f t="shared" si="67"/>
        <v>686.11781555021219</v>
      </c>
      <c r="CX89" s="59">
        <f t="shared" si="68"/>
        <v>973.75270500852548</v>
      </c>
      <c r="CY89" s="59">
        <f ca="1">AVERAGE(OFFSET($CX$3,0,0,'Données projet'!$E$13+1,1))-AVERAGE(OFFSET($H$3,0,0,'Données projet'!$E$13+1,1))</f>
        <v>565.32667500225568</v>
      </c>
      <c r="CZ89" s="59">
        <f t="shared" si="96"/>
        <v>275.06957234480944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0</v>
      </c>
      <c r="DG89" s="21">
        <f>EXP(-LN(2)/25)*DG88+(1-EXP(-LN(2)/25))/(LN(2)/25)*Calculateur!DB89*Calculateur!DD89*VLOOKUP('Données projet'!$B$13,Paramètres!$A$1:$I$89,3,0)*0.475*44/12</f>
        <v>0.92746551878008876</v>
      </c>
      <c r="DH89" s="21">
        <f>EXP(-LN(2)/2)*DH88+(1-EXP(-LN(2)/2))/(LN(2)/2)*DB89*DE89*VLOOKUP('Données projet'!$B$13,Paramètres!$A$1:$I$89,3,0)*0.475*44/12</f>
        <v>2.6388199297338556E-8</v>
      </c>
      <c r="DI89" s="22">
        <f t="shared" si="69"/>
        <v>0.92746554516828805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68.445878943176353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-1.2505552149377763E-12</v>
      </c>
      <c r="DP89" s="17">
        <f>DO89*VLOOKUP('Données projet'!$B$14,Paramètres!$A$1:$I$89,3,0)*VLOOKUP('Données projet'!$B$14,Paramètres!$A$1:$I$89,5,0)</f>
        <v>-6.9906036515021697E-13</v>
      </c>
      <c r="DQ89" s="13" t="e">
        <f t="shared" si="97"/>
        <v>#NUM!</v>
      </c>
      <c r="DR89" s="20" t="e">
        <f t="shared" si="70"/>
        <v>#NUM!</v>
      </c>
      <c r="DS89" s="59" t="e">
        <f t="shared" si="71"/>
        <v>#NUM!</v>
      </c>
      <c r="DT89" s="59">
        <f ca="1">AVERAGE(OFFSET($DS$3,0,0,'Données projet'!$E$14+1,1))-AVERAGE(OFFSET($H$3,0,0,'Données projet'!$E$14+1,1))</f>
        <v>532.64469322244281</v>
      </c>
      <c r="DU89" s="59">
        <f t="shared" si="98"/>
        <v>525.88014011096413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3.767149816600778</v>
      </c>
      <c r="EB89" s="21">
        <f>EXP(-LN(2)/25)*EB88+(1-EXP(-LN(2)/25))/(LN(2)/25)*Calculateur!DW89*Calculateur!DY89*VLOOKUP('Données projet'!$B$14,Paramètres!$A$1:$I$89,3,0)*0.475*44/12</f>
        <v>8.2048372041036881</v>
      </c>
      <c r="EC89" s="21">
        <f>EXP(-LN(2)/2)*EC88+(1-EXP(-LN(2)/2))/(LN(2)/2)*DW89*DZ89*VLOOKUP('Données projet'!$B$14,Paramètres!$A$1:$I$89,3,0)*0.475*44/12</f>
        <v>1.3586838303146547E-7</v>
      </c>
      <c r="ED89" s="22">
        <f t="shared" si="72"/>
        <v>11.971987156572849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68.445878943176353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5.6</v>
      </c>
      <c r="EJ89" s="12">
        <f>IF('Données projet'!$A$192&gt;35,EJ88+EI89-ER88,IF(A89&lt;'Données projet'!$A$192,$EG$205^A89,IF(A89='Données projet'!$A$192,'Données projet'!$B$192,EJ88+EI89-ER88)))</f>
        <v>273.60000000000036</v>
      </c>
      <c r="EK89" s="17">
        <f>EJ89*VLOOKUP('Données projet'!$B$15,Paramètres!$A$1:$I$89,3,0)*VLOOKUP('Données projet'!$B$15,Paramètres!$A$1:$I$89,5,0)</f>
        <v>247.55328000000031</v>
      </c>
      <c r="EL89" s="13">
        <f t="shared" si="99"/>
        <v>60.061713068870304</v>
      </c>
      <c r="EM89" s="20">
        <f t="shared" si="73"/>
        <v>535.76277959494962</v>
      </c>
      <c r="EN89" s="59">
        <f t="shared" si="74"/>
        <v>823.39766905326292</v>
      </c>
      <c r="EO89" s="59">
        <f ca="1">AVERAGE(OFFSET($EN$3,0,0,'Données projet'!$E$15+1,1))-AVERAGE(OFFSET($H$3,0,0,'Données projet'!$E$15+1,1))</f>
        <v>398.27843768730202</v>
      </c>
      <c r="EP89" s="59">
        <f t="shared" si="100"/>
        <v>252.3617347568813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0</v>
      </c>
      <c r="EW89" s="21">
        <f>EXP(-LN(2)/25)*EW88+(1-EXP(-LN(2)/25))/(LN(2)/25)*Calculateur!ER89*Calculateur!ET89*VLOOKUP('Données projet'!$B$15,Paramètres!$A$1:$I$89,3,0)*0.475*44/12</f>
        <v>0.65748464701091669</v>
      </c>
      <c r="EX89" s="21">
        <f>EXP(-LN(2)/2)*EX88+(1-EXP(-LN(2)/2))/(LN(2)/2)*ER89*EU89*VLOOKUP('Données projet'!$B$15,Paramètres!$A$1:$I$89,3,0)*0.475*44/12</f>
        <v>2.3057117515908283E-8</v>
      </c>
      <c r="EY89" s="22">
        <f t="shared" si="75"/>
        <v>0.65748467006803424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68.445878943176353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5.6</v>
      </c>
      <c r="FE89" s="12">
        <f>IF('Données projet'!$A$218&gt;35,FE88+FD89-FM88,IF(A89&lt;'Données projet'!$A$218,$FB$205^A89,IF(A89='Données projet'!$A$218,'Données projet'!$B$218,FE88+FD89-FM88)))</f>
        <v>273.60000000000036</v>
      </c>
      <c r="FF89" s="17">
        <f>FE89*VLOOKUP('Données projet'!$B$16,Paramètres!$A$1:$I$89,3,0)*VLOOKUP('Données projet'!$B$16,Paramètres!$A$1:$I$89,5,0)</f>
        <v>264.62592000000035</v>
      </c>
      <c r="FG89" s="13">
        <f t="shared" si="101"/>
        <v>63.707422801198717</v>
      </c>
      <c r="FH89" s="20">
        <f t="shared" si="76"/>
        <v>571.84723871208837</v>
      </c>
      <c r="FI89" s="59">
        <f t="shared" si="77"/>
        <v>859.48212817040167</v>
      </c>
      <c r="FJ89" s="59">
        <f ca="1">AVERAGE(OFFSET($FI$3,0,0,'Données projet'!$E$16+1,1))-AVERAGE(OFFSET($H$3,0,0,'Données projet'!$E$16+1,1))</f>
        <v>422.28024471365825</v>
      </c>
      <c r="FK89" s="59">
        <f t="shared" si="102"/>
        <v>266.49730479813206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0</v>
      </c>
      <c r="FR89" s="21">
        <f>EXP(-LN(2)/25)*FR88+(1-EXP(-LN(2)/25))/(LN(2)/25)*Calculateur!FM89*Calculateur!FO89*VLOOKUP('Données projet'!$B$16,Paramètres!$A$1:$I$89,3,0)*0.475*44/12</f>
        <v>0.70282841577029032</v>
      </c>
      <c r="FS89" s="21">
        <f>EXP(-LN(2)/2)*FS88+(1-EXP(-LN(2)/2))/(LN(2)/2)*FM89*FP89*VLOOKUP('Données projet'!$B$16,Paramètres!$A$1:$I$89,3,0)*0.475*44/12</f>
        <v>2.464726355148816E-8</v>
      </c>
      <c r="FT89" s="22">
        <f t="shared" si="78"/>
        <v>0.70282844041755388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68.445878943176353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3.4106051316484809E-13</v>
      </c>
      <c r="GA89" s="17">
        <f>FZ89*VLOOKUP('Données projet'!$B$17,Paramètres!$A$1:$I$89,3,0)*VLOOKUP('Données projet'!$B$17,Paramètres!$A$1:$I$89,5,0)</f>
        <v>2.6602720026858149E-13</v>
      </c>
      <c r="GB89" s="13">
        <f t="shared" si="103"/>
        <v>3.5662905043956649E-12</v>
      </c>
      <c r="GC89" s="20">
        <f t="shared" si="79"/>
        <v>6.6746200022902298E-12</v>
      </c>
      <c r="GD89" s="59">
        <f t="shared" si="80"/>
        <v>287.63488945831995</v>
      </c>
      <c r="GE89" s="59">
        <f ca="1">AVERAGE(OFFSET($GD$3,0,0,'Données projet'!$E$17+1,1))-AVERAGE(OFFSET($H$3,0,0,'Données projet'!$E$17+1,1))</f>
        <v>300.95722646933314</v>
      </c>
      <c r="GF89" s="59">
        <f t="shared" si="104"/>
        <v>269.52365224623759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>
        <f>EXP(-LN(2)/35)*GL88+(1-EXP(-LN(2)/35))/(LN(2)/35)*GH89*GI89*VLOOKUP('Données projet'!$B$17,Paramètres!$A$1:$I$89,3,0)*0.475*44/12</f>
        <v>0.29354414155330716</v>
      </c>
      <c r="GM89" s="21">
        <f>EXP(-LN(2)/25)*GM88+(1-EXP(-LN(2)/25))/(LN(2)/25)*Calculateur!GH89*Calculateur!GJ89*VLOOKUP('Données projet'!$B$17,Paramètres!$A$1:$I$89,3,0)*0.475*44/12</f>
        <v>1.3207431149126334</v>
      </c>
      <c r="GN89" s="21">
        <f>EXP(-LN(2)/2)*GN88+(1-EXP(-LN(2)/2))/(LN(2)/2)*GH89*GK89*VLOOKUP('Données projet'!$B$17,Paramètres!$A$1:$I$89,3,0)*0.475*44/12</f>
        <v>3.3002211228835749E-8</v>
      </c>
      <c r="GO89" s="21">
        <f t="shared" si="81"/>
        <v>1.6142872894681517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68.445878943176353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1.4000000000000001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5.1333333333333337</v>
      </c>
      <c r="H90" s="67">
        <f t="shared" si="56"/>
        <v>236.13333333333335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68.472839469018083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6.6</v>
      </c>
      <c r="N90" s="13">
        <f>IF('Données projet'!$A$36&gt;35,N89+M90-V89,IF(A90&lt;'Données projet'!$A$36,$K$205^A90,IF(A90='Données projet'!$A$36,'Données projet'!$B$36,N89+M90-V89)))</f>
        <v>338.19999999999993</v>
      </c>
      <c r="O90" s="13">
        <f>N90*VLOOKUP('Données projet'!$B$9,Paramètres!$A$1:$I$89,3,0)*VLOOKUP('Données projet'!$B$9,Paramètres!$A$1:$I$89,5,0)</f>
        <v>306.00335999999993</v>
      </c>
      <c r="P90" s="13">
        <f t="shared" si="87"/>
        <v>72.433543369450447</v>
      </c>
      <c r="Q90" s="20">
        <f t="shared" si="54"/>
        <v>659.11094003512596</v>
      </c>
      <c r="R90" s="59">
        <f t="shared" si="55"/>
        <v>946.84468475485892</v>
      </c>
      <c r="S90" s="59">
        <f ca="1">AVERAGE(OFFSET($R$3,0,0,'Données projet'!$E$9+1,1))-AVERAGE(OFFSET($H$3,0,0,'Données projet'!$E$9+1,1))</f>
        <v>479.46542424895119</v>
      </c>
      <c r="T90" s="59">
        <f t="shared" si="88"/>
        <v>337.96395820277337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0.77894597008378463</v>
      </c>
      <c r="AA90" s="21">
        <f>EXP(-LN(2)/25)*AA89+(1-EXP(-LN(2)/25))/(LN(2)/25)*Calculateur!V90*Calculateur!X90*VLOOKUP('Données projet'!$B$9,Paramètres!$A$1:$I$89,3,0)*0.475*44/12</f>
        <v>2.3231069710302803</v>
      </c>
      <c r="AB90" s="21">
        <f>EXP(-LN(2)/2)*AB89+(1-EXP(-LN(2)/2))/(LN(2)/2)*V90*Y90*VLOOKUP('Données projet'!$B$9,Paramètres!$A$1:$I$89,3,0)*0.475*44/12</f>
        <v>5.6775326245159712E-8</v>
      </c>
      <c r="AC90" s="22">
        <f t="shared" si="57"/>
        <v>3.1020529978893912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68.472839469018083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6.6</v>
      </c>
      <c r="AI90" s="13">
        <f>IF('Données projet'!$A$62&gt;35,AI89+AH90-AQ89,IF(A90&lt;'Données projet'!$A$62,$AF$205^A90,IF(A90='Données projet'!$A$62,'Données projet'!$B$62,AI89+AH90-AQ89)))</f>
        <v>338.19999999999993</v>
      </c>
      <c r="AJ90" s="13">
        <f>AI90*VLOOKUP('Données projet'!$B$10,Paramètres!$A$1:$I$89,3,0)*VLOOKUP('Données projet'!$B$10,Paramètres!$A$1:$I$89,5,0)</f>
        <v>327.10703999999998</v>
      </c>
      <c r="AK90" s="13">
        <f t="shared" si="89"/>
        <v>76.830215733860527</v>
      </c>
      <c r="AL90" s="20">
        <f t="shared" si="58"/>
        <v>703.52405373647377</v>
      </c>
      <c r="AM90" s="59">
        <f t="shared" si="59"/>
        <v>991.25779845620673</v>
      </c>
      <c r="AN90" s="59">
        <f ca="1">AVERAGE(OFFSET($AM$3,0,0,'Données projet'!$E$10+1,1))-AVERAGE(OFFSET($H$3,0,0,'Données projet'!$E$10+1,1))</f>
        <v>508.94560627895089</v>
      </c>
      <c r="AO90" s="59">
        <f t="shared" si="90"/>
        <v>357.86868650263034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0.83266638181370156</v>
      </c>
      <c r="AV90" s="21">
        <f>EXP(-LN(2)/25)*AV89+(1-EXP(-LN(2)/25))/(LN(2)/25)*Calculateur!AQ90*Calculateur!AS90*VLOOKUP('Données projet'!$B$10,Paramètres!$A$1:$I$89,3,0)*0.475*44/12</f>
        <v>2.4833212448944382</v>
      </c>
      <c r="AW90" s="21">
        <f>EXP(-LN(2)/2)*AW89+(1-EXP(-LN(2)/2))/(LN(2)/2)*AQ90*AT90*VLOOKUP('Données projet'!$B$10,Paramètres!$A$1:$I$89,3,0)*0.475*44/12</f>
        <v>6.0690865986204958E-8</v>
      </c>
      <c r="AX90" s="21">
        <f t="shared" si="60"/>
        <v>3.315987687399006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68.472839469018083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1.7053025658242404E-13</v>
      </c>
      <c r="BE90" s="13">
        <f>BD90*VLOOKUP('Données projet'!$B$11,Paramètres!$A$1:$I$89,3,0)*VLOOKUP('Données projet'!$B$11,Paramètres!$A$1:$I$89,5,0)</f>
        <v>1.3301360013429075E-13</v>
      </c>
      <c r="BF90" s="13">
        <f t="shared" si="91"/>
        <v>1.9329766731057041E-12</v>
      </c>
      <c r="BG90" s="20">
        <f t="shared" si="61"/>
        <v>3.5982663925596575E-12</v>
      </c>
      <c r="BH90" s="59">
        <f t="shared" si="62"/>
        <v>287.73374471973659</v>
      </c>
      <c r="BI90" s="59">
        <f ca="1">AVERAGE(OFFSET($BH$3,0,0,'Données projet'!$E$11+1,1))-AVERAGE(OFFSET($H$3,0,0,'Données projet'!$E$11+1,1))</f>
        <v>383.03154033422328</v>
      </c>
      <c r="BJ90" s="59">
        <f t="shared" si="92"/>
        <v>373.27897156169877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0.4676553699702527</v>
      </c>
      <c r="BQ90" s="21">
        <f>EXP(-LN(2)/25)*BQ89+(1-EXP(-LN(2)/25))/(LN(2)/25)*Calculateur!BL90*Calculateur!BN90*VLOOKUP('Données projet'!$B$11,Paramètres!$A$1:$I$89,3,0)*0.475*44/12</f>
        <v>1.7235129710879498</v>
      </c>
      <c r="BR90" s="21">
        <f>EXP(-LN(2)/2)*BR89+(1-EXP(-LN(2)/2))/(LN(2)/2)*BL90*BO90*VLOOKUP('Données projet'!$B$11,Paramètres!$A$1:$I$89,3,0)*0.475*44/12</f>
        <v>3.4431814145055074E-8</v>
      </c>
      <c r="BS90" s="22">
        <f t="shared" si="63"/>
        <v>2.1911683754900166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68.472839469018083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6.6</v>
      </c>
      <c r="BY90" s="12">
        <f>IF('Données projet'!$A$114&gt;35,BY89+BX90-CG89,IF(A90&lt;'Données projet'!$A$114,$BV$205^A90,IF(A90='Données projet'!$A$114,'Données projet'!$B$114,BY89+BX90-CG89)))</f>
        <v>338.19999999999993</v>
      </c>
      <c r="BZ90" s="13">
        <f>BY90*VLOOKUP('Données projet'!$B$12,Paramètres!$A$1:$I$89,3,0)*VLOOKUP('Données projet'!$B$12,Paramètres!$A$1:$I$89,5,0)</f>
        <v>284.89967999999999</v>
      </c>
      <c r="CA90" s="13">
        <f t="shared" si="93"/>
        <v>68.001404388285337</v>
      </c>
      <c r="CB90" s="20">
        <f t="shared" si="64"/>
        <v>614.63605530959683</v>
      </c>
      <c r="CC90" s="59">
        <f t="shared" si="65"/>
        <v>902.36980002932978</v>
      </c>
      <c r="CD90" s="59">
        <f ca="1">AVERAGE(OFFSET($CC$3,0,0,'Données projet'!$E$12+1,1))-AVERAGE(OFFSET($H$3,0,0,'Données projet'!$E$12+1,1))</f>
        <v>449.94334483948603</v>
      </c>
      <c r="CE90" s="59">
        <f t="shared" si="94"/>
        <v>318.02929110264176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0.72522555835386859</v>
      </c>
      <c r="CL90" s="21">
        <f>EXP(-LN(2)/25)*CL89+(1-EXP(-LN(2)/25))/(LN(2)/25)*Calculateur!CG90*Calculateur!CI90*VLOOKUP('Données projet'!$B$12,Paramètres!$A$1:$I$89,3,0)*0.475*44/12</f>
        <v>2.1628926971661238</v>
      </c>
      <c r="CM90" s="21">
        <f>EXP(-LN(2)/2)*CM89+(1-EXP(-LN(2)/2))/(LN(2)/2)*CG90*CJ90*VLOOKUP('Données projet'!$B$12,Paramètres!$A$1:$I$89,3,0)*0.475*44/12</f>
        <v>5.285978650411405E-8</v>
      </c>
      <c r="CN90" s="22">
        <f t="shared" si="66"/>
        <v>2.8881183083797786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68.472839469018083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8.1</v>
      </c>
      <c r="CT90" s="12">
        <f>IF('Données projet'!$A$140&gt;35,CT89+CS90-DB89,IF(A90&lt;'Données projet'!$A$140,$CQ$205^A90,IF(A90='Données projet'!$A$140,'Données projet'!$B$140,CT89+CS90-DB89)))</f>
        <v>379.70000000000027</v>
      </c>
      <c r="CU90" s="17">
        <f>CT90*VLOOKUP('Données projet'!$B$13,Paramètres!$A$1:$I$89,3,0)*VLOOKUP('Données projet'!$B$13,Paramètres!$A$1:$I$89,5,0)</f>
        <v>325.78260000000029</v>
      </c>
      <c r="CV90" s="13">
        <f t="shared" si="95"/>
        <v>76.555279081238425</v>
      </c>
      <c r="CW90" s="20">
        <f t="shared" si="67"/>
        <v>700.73847273315744</v>
      </c>
      <c r="CX90" s="59">
        <f t="shared" si="68"/>
        <v>988.47221745289039</v>
      </c>
      <c r="CY90" s="59">
        <f ca="1">AVERAGE(OFFSET($CX$3,0,0,'Données projet'!$E$13+1,1))-AVERAGE(OFFSET($H$3,0,0,'Données projet'!$E$13+1,1))</f>
        <v>565.32667500225568</v>
      </c>
      <c r="CZ90" s="59">
        <f t="shared" si="96"/>
        <v>275.06957234480944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0</v>
      </c>
      <c r="DG90" s="21">
        <f>EXP(-LN(2)/25)*DG89+(1-EXP(-LN(2)/25))/(LN(2)/25)*Calculateur!DB90*Calculateur!DD90*VLOOKUP('Données projet'!$B$13,Paramètres!$A$1:$I$89,3,0)*0.475*44/12</f>
        <v>0.90210392539575535</v>
      </c>
      <c r="DH90" s="21">
        <f>EXP(-LN(2)/2)*DH89+(1-EXP(-LN(2)/2))/(LN(2)/2)*DB90*DE90*VLOOKUP('Données projet'!$B$13,Paramètres!$A$1:$I$89,3,0)*0.475*44/12</f>
        <v>1.8659274666450181E-8</v>
      </c>
      <c r="DI90" s="22">
        <f t="shared" si="69"/>
        <v>0.90210394405503003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68.472839469018083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-1.2505552149377763E-12</v>
      </c>
      <c r="DP90" s="17">
        <f>DO90*VLOOKUP('Données projet'!$B$14,Paramètres!$A$1:$I$89,3,0)*VLOOKUP('Données projet'!$B$14,Paramètres!$A$1:$I$89,5,0)</f>
        <v>-6.9906036515021697E-13</v>
      </c>
      <c r="DQ90" s="13" t="e">
        <f t="shared" si="97"/>
        <v>#NUM!</v>
      </c>
      <c r="DR90" s="20" t="e">
        <f t="shared" si="70"/>
        <v>#NUM!</v>
      </c>
      <c r="DS90" s="59" t="e">
        <f t="shared" si="71"/>
        <v>#NUM!</v>
      </c>
      <c r="DT90" s="59">
        <f ca="1">AVERAGE(OFFSET($DS$3,0,0,'Données projet'!$E$14+1,1))-AVERAGE(OFFSET($H$3,0,0,'Données projet'!$E$14+1,1))</f>
        <v>532.64469322244281</v>
      </c>
      <c r="DU90" s="59">
        <f t="shared" si="98"/>
        <v>525.88014011096413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3.6932783064317425</v>
      </c>
      <c r="EB90" s="21">
        <f>EXP(-LN(2)/25)*EB89+(1-EXP(-LN(2)/25))/(LN(2)/25)*Calculateur!DW90*Calculateur!DY90*VLOOKUP('Données projet'!$B$14,Paramètres!$A$1:$I$89,3,0)*0.475*44/12</f>
        <v>7.9804754992838367</v>
      </c>
      <c r="EC90" s="21">
        <f>EXP(-LN(2)/2)*EC89+(1-EXP(-LN(2)/2))/(LN(2)/2)*DW90*DZ90*VLOOKUP('Données projet'!$B$14,Paramètres!$A$1:$I$89,3,0)*0.475*44/12</f>
        <v>9.6073454990400482E-8</v>
      </c>
      <c r="ED90" s="22">
        <f t="shared" si="72"/>
        <v>11.673753901789034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68.472839469018083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5.6</v>
      </c>
      <c r="EJ90" s="12">
        <f>IF('Données projet'!$A$192&gt;35,EJ89+EI90-ER89,IF(A90&lt;'Données projet'!$A$192,$EG$205^A90,IF(A90='Données projet'!$A$192,'Données projet'!$B$192,EJ89+EI90-ER89)))</f>
        <v>279.20000000000039</v>
      </c>
      <c r="EK90" s="17">
        <f>EJ90*VLOOKUP('Données projet'!$B$15,Paramètres!$A$1:$I$89,3,0)*VLOOKUP('Données projet'!$B$15,Paramètres!$A$1:$I$89,5,0)</f>
        <v>252.62016000000034</v>
      </c>
      <c r="EL90" s="13">
        <f t="shared" si="99"/>
        <v>61.146667772298876</v>
      </c>
      <c r="EM90" s="20">
        <f t="shared" si="73"/>
        <v>546.47722503675448</v>
      </c>
      <c r="EN90" s="59">
        <f t="shared" si="74"/>
        <v>834.21096975648743</v>
      </c>
      <c r="EO90" s="59">
        <f ca="1">AVERAGE(OFFSET($EN$3,0,0,'Données projet'!$E$15+1,1))-AVERAGE(OFFSET($H$3,0,0,'Données projet'!$E$15+1,1))</f>
        <v>398.27843768730202</v>
      </c>
      <c r="EP90" s="59">
        <f t="shared" si="100"/>
        <v>252.3617347568813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0</v>
      </c>
      <c r="EW90" s="21">
        <f>EXP(-LN(2)/25)*EW89+(1-EXP(-LN(2)/25))/(LN(2)/25)*Calculateur!ER90*Calculateur!ET90*VLOOKUP('Données projet'!$B$15,Paramètres!$A$1:$I$89,3,0)*0.475*44/12</f>
        <v>0.63950569476278829</v>
      </c>
      <c r="EX90" s="21">
        <f>EXP(-LN(2)/2)*EX89+(1-EXP(-LN(2)/2))/(LN(2)/2)*ER90*EU90*VLOOKUP('Données projet'!$B$15,Paramètres!$A$1:$I$89,3,0)*0.475*44/12</f>
        <v>1.630384415011387E-8</v>
      </c>
      <c r="EY90" s="22">
        <f t="shared" si="75"/>
        <v>0.63950571106663245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68.472839469018083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5.6</v>
      </c>
      <c r="FE90" s="12">
        <f>IF('Données projet'!$A$218&gt;35,FE89+FD90-FM89,IF(A90&lt;'Données projet'!$A$218,$FB$205^A90,IF(A90='Données projet'!$A$218,'Données projet'!$B$218,FE89+FD90-FM89)))</f>
        <v>279.20000000000039</v>
      </c>
      <c r="FF90" s="17">
        <f>FE90*VLOOKUP('Données projet'!$B$16,Paramètres!$A$1:$I$89,3,0)*VLOOKUP('Données projet'!$B$16,Paramètres!$A$1:$I$89,5,0)</f>
        <v>270.04224000000039</v>
      </c>
      <c r="FG90" s="13">
        <f t="shared" si="101"/>
        <v>64.858233600288202</v>
      </c>
      <c r="FH90" s="20">
        <f t="shared" si="76"/>
        <v>583.28499152050256</v>
      </c>
      <c r="FI90" s="59">
        <f t="shared" si="77"/>
        <v>871.01873624023551</v>
      </c>
      <c r="FJ90" s="59">
        <f ca="1">AVERAGE(OFFSET($FI$3,0,0,'Données projet'!$E$16+1,1))-AVERAGE(OFFSET($H$3,0,0,'Données projet'!$E$16+1,1))</f>
        <v>422.28024471365825</v>
      </c>
      <c r="FK90" s="59">
        <f t="shared" si="102"/>
        <v>266.49730479813206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0</v>
      </c>
      <c r="FR90" s="21">
        <f>EXP(-LN(2)/25)*FR89+(1-EXP(-LN(2)/25))/(LN(2)/25)*Calculateur!FM90*Calculateur!FO90*VLOOKUP('Données projet'!$B$16,Paramètres!$A$1:$I$89,3,0)*0.475*44/12</f>
        <v>0.68360953578091166</v>
      </c>
      <c r="FS90" s="21">
        <f>EXP(-LN(2)/2)*FS89+(1-EXP(-LN(2)/2))/(LN(2)/2)*FM90*FP90*VLOOKUP('Données projet'!$B$16,Paramètres!$A$1:$I$89,3,0)*0.475*44/12</f>
        <v>1.7428247194949306E-8</v>
      </c>
      <c r="FT90" s="22">
        <f t="shared" si="78"/>
        <v>0.68360955320915884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68.472839469018083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3.4106051316484809E-13</v>
      </c>
      <c r="GA90" s="17">
        <f>FZ90*VLOOKUP('Données projet'!$B$17,Paramètres!$A$1:$I$89,3,0)*VLOOKUP('Données projet'!$B$17,Paramètres!$A$1:$I$89,5,0)</f>
        <v>2.6602720026858149E-13</v>
      </c>
      <c r="GB90" s="13">
        <f t="shared" si="103"/>
        <v>3.5662905043956649E-12</v>
      </c>
      <c r="GC90" s="20">
        <f t="shared" si="79"/>
        <v>6.6746200022902298E-12</v>
      </c>
      <c r="GD90" s="59">
        <f t="shared" si="80"/>
        <v>287.73374471973966</v>
      </c>
      <c r="GE90" s="59">
        <f ca="1">AVERAGE(OFFSET($GD$3,0,0,'Données projet'!$E$17+1,1))-AVERAGE(OFFSET($H$3,0,0,'Données projet'!$E$17+1,1))</f>
        <v>300.95722646933314</v>
      </c>
      <c r="GF90" s="59">
        <f t="shared" si="104"/>
        <v>269.52365224623759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>
        <f>EXP(-LN(2)/35)*GL89+(1-EXP(-LN(2)/35))/(LN(2)/35)*GH90*GI90*VLOOKUP('Données projet'!$B$17,Paramètres!$A$1:$I$89,3,0)*0.475*44/12</f>
        <v>0.28778791998169401</v>
      </c>
      <c r="GM90" s="21">
        <f>EXP(-LN(2)/25)*GM89+(1-EXP(-LN(2)/25))/(LN(2)/25)*Calculateur!GH90*Calculateur!GJ90*VLOOKUP('Données projet'!$B$17,Paramètres!$A$1:$I$89,3,0)*0.475*44/12</f>
        <v>1.2846273249804856</v>
      </c>
      <c r="GN90" s="21">
        <f>EXP(-LN(2)/2)*GN89+(1-EXP(-LN(2)/2))/(LN(2)/2)*GH90*GK90*VLOOKUP('Données projet'!$B$17,Paramètres!$A$1:$I$89,3,0)*0.475*44/12</f>
        <v>2.3336087354060582E-8</v>
      </c>
      <c r="GO90" s="21">
        <f t="shared" si="81"/>
        <v>1.5724152682982668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68.472839469018083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1.4000000000000001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5.1333333333333337</v>
      </c>
      <c r="H91" s="67">
        <f t="shared" si="56"/>
        <v>236.13333333333335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68.499332290011154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6.6</v>
      </c>
      <c r="N91" s="13">
        <f>IF('Données projet'!$A$36&gt;35,N90+M91-V90,IF(A91&lt;'Données projet'!$A$36,$K$205^A91,IF(A91='Données projet'!$A$36,'Données projet'!$B$36,N90+M91-V90)))</f>
        <v>344.79999999999995</v>
      </c>
      <c r="O91" s="13">
        <f>N91*VLOOKUP('Données projet'!$B$9,Paramètres!$A$1:$I$89,3,0)*VLOOKUP('Données projet'!$B$9,Paramètres!$A$1:$I$89,5,0)</f>
        <v>311.97503999999992</v>
      </c>
      <c r="P91" s="13">
        <f t="shared" si="87"/>
        <v>73.681144552074599</v>
      </c>
      <c r="Q91" s="20">
        <f t="shared" si="54"/>
        <v>671.68452142819649</v>
      </c>
      <c r="R91" s="59">
        <f t="shared" si="55"/>
        <v>959.51540649157073</v>
      </c>
      <c r="S91" s="59">
        <f ca="1">AVERAGE(OFFSET($R$3,0,0,'Données projet'!$E$9+1,1))-AVERAGE(OFFSET($H$3,0,0,'Données projet'!$E$9+1,1))</f>
        <v>479.46542424895119</v>
      </c>
      <c r="T91" s="59">
        <f t="shared" si="88"/>
        <v>337.96395820277337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0.76367131472057015</v>
      </c>
      <c r="AA91" s="21">
        <f>EXP(-LN(2)/25)*AA90+(1-EXP(-LN(2)/25))/(LN(2)/25)*Calculateur!V91*Calculateur!X91*VLOOKUP('Données projet'!$B$9,Paramètres!$A$1:$I$89,3,0)*0.475*44/12</f>
        <v>2.2595814887405714</v>
      </c>
      <c r="AB91" s="21">
        <f>EXP(-LN(2)/2)*AB90+(1-EXP(-LN(2)/2))/(LN(2)/2)*V91*Y91*VLOOKUP('Données projet'!$B$9,Paramètres!$A$1:$I$89,3,0)*0.475*44/12</f>
        <v>4.0146218192031003E-8</v>
      </c>
      <c r="AC91" s="22">
        <f t="shared" si="57"/>
        <v>3.0232528436073598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68.499332290011154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6.6</v>
      </c>
      <c r="AI91" s="13">
        <f>IF('Données projet'!$A$62&gt;35,AI90+AH91-AQ90,IF(A91&lt;'Données projet'!$A$62,$AF$205^A91,IF(A91='Données projet'!$A$62,'Données projet'!$B$62,AI90+AH91-AQ90)))</f>
        <v>344.79999999999995</v>
      </c>
      <c r="AJ91" s="13">
        <f>AI91*VLOOKUP('Données projet'!$B$10,Paramètres!$A$1:$I$89,3,0)*VLOOKUP('Données projet'!$B$10,Paramètres!$A$1:$I$89,5,0)</f>
        <v>333.49055999999996</v>
      </c>
      <c r="AK91" s="13">
        <f t="shared" si="89"/>
        <v>78.153545555265694</v>
      </c>
      <c r="AL91" s="20">
        <f t="shared" si="58"/>
        <v>716.94681717542096</v>
      </c>
      <c r="AM91" s="59">
        <f t="shared" si="59"/>
        <v>1004.7777022387952</v>
      </c>
      <c r="AN91" s="59">
        <f ca="1">AVERAGE(OFFSET($AM$3,0,0,'Données projet'!$E$10+1,1))-AVERAGE(OFFSET($H$3,0,0,'Données projet'!$E$10+1,1))</f>
        <v>508.94560627895089</v>
      </c>
      <c r="AO91" s="59">
        <f t="shared" si="90"/>
        <v>357.86868650263034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0.8163383019426792</v>
      </c>
      <c r="AV91" s="21">
        <f>EXP(-LN(2)/25)*AV90+(1-EXP(-LN(2)/25))/(LN(2)/25)*Calculateur!AQ91*Calculateur!AS91*VLOOKUP('Données projet'!$B$10,Paramètres!$A$1:$I$89,3,0)*0.475*44/12</f>
        <v>2.415414694860611</v>
      </c>
      <c r="AW91" s="21">
        <f>EXP(-LN(2)/2)*AW90+(1-EXP(-LN(2)/2))/(LN(2)/2)*AQ91*AT91*VLOOKUP('Données projet'!$B$10,Paramètres!$A$1:$I$89,3,0)*0.475*44/12</f>
        <v>4.291492289492951E-8</v>
      </c>
      <c r="AX91" s="21">
        <f t="shared" si="60"/>
        <v>3.231753039718213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68.499332290011154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1.7053025658242404E-13</v>
      </c>
      <c r="BE91" s="13">
        <f>BD91*VLOOKUP('Données projet'!$B$11,Paramètres!$A$1:$I$89,3,0)*VLOOKUP('Données projet'!$B$11,Paramètres!$A$1:$I$89,5,0)</f>
        <v>1.3301360013429075E-13</v>
      </c>
      <c r="BF91" s="13">
        <f t="shared" si="91"/>
        <v>1.9329766731057041E-12</v>
      </c>
      <c r="BG91" s="20">
        <f t="shared" si="61"/>
        <v>3.5982663925596575E-12</v>
      </c>
      <c r="BH91" s="59">
        <f t="shared" si="62"/>
        <v>287.83088506337782</v>
      </c>
      <c r="BI91" s="59">
        <f ca="1">AVERAGE(OFFSET($BH$3,0,0,'Données projet'!$E$11+1,1))-AVERAGE(OFFSET($H$3,0,0,'Données projet'!$E$11+1,1))</f>
        <v>383.03154033422328</v>
      </c>
      <c r="BJ91" s="59">
        <f t="shared" si="92"/>
        <v>373.27897156169877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0.45848493340674645</v>
      </c>
      <c r="BQ91" s="21">
        <f>EXP(-LN(2)/25)*BQ90+(1-EXP(-LN(2)/25))/(LN(2)/25)*Calculateur!BL91*Calculateur!BN91*VLOOKUP('Données projet'!$B$11,Paramètres!$A$1:$I$89,3,0)*0.475*44/12</f>
        <v>1.6763834182579418</v>
      </c>
      <c r="BR91" s="21">
        <f>EXP(-LN(2)/2)*BR90+(1-EXP(-LN(2)/2))/(LN(2)/2)*BL91*BO91*VLOOKUP('Données projet'!$B$11,Paramètres!$A$1:$I$89,3,0)*0.475*44/12</f>
        <v>2.4346969270523331E-8</v>
      </c>
      <c r="BS91" s="22">
        <f t="shared" si="63"/>
        <v>2.1348683760116578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68.499332290011154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6.6</v>
      </c>
      <c r="BY91" s="12">
        <f>IF('Données projet'!$A$114&gt;35,BY90+BX91-CG90,IF(A91&lt;'Données projet'!$A$114,$BV$205^A91,IF(A91='Données projet'!$A$114,'Données projet'!$B$114,BY90+BX91-CG90)))</f>
        <v>344.79999999999995</v>
      </c>
      <c r="BZ91" s="13">
        <f>BY91*VLOOKUP('Données projet'!$B$12,Paramètres!$A$1:$I$89,3,0)*VLOOKUP('Données projet'!$B$12,Paramètres!$A$1:$I$89,5,0)</f>
        <v>290.45952</v>
      </c>
      <c r="CA91" s="13">
        <f t="shared" si="93"/>
        <v>69.172666052266209</v>
      </c>
      <c r="CB91" s="20">
        <f t="shared" si="64"/>
        <v>626.35939070769689</v>
      </c>
      <c r="CC91" s="59">
        <f t="shared" si="65"/>
        <v>914.19027577107113</v>
      </c>
      <c r="CD91" s="59">
        <f ca="1">AVERAGE(OFFSET($CC$3,0,0,'Données projet'!$E$12+1,1))-AVERAGE(OFFSET($H$3,0,0,'Données projet'!$E$12+1,1))</f>
        <v>449.94334483948603</v>
      </c>
      <c r="CE91" s="59">
        <f t="shared" si="94"/>
        <v>318.02929110264176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0.71100432749846199</v>
      </c>
      <c r="CL91" s="21">
        <f>EXP(-LN(2)/25)*CL90+(1-EXP(-LN(2)/25))/(LN(2)/25)*Calculateur!CG91*Calculateur!CI91*VLOOKUP('Données projet'!$B$12,Paramètres!$A$1:$I$89,3,0)*0.475*44/12</f>
        <v>2.1037482826205327</v>
      </c>
      <c r="CM91" s="21">
        <f>EXP(-LN(2)/2)*CM90+(1-EXP(-LN(2)/2))/(LN(2)/2)*CG91*CJ91*VLOOKUP('Données projet'!$B$12,Paramètres!$A$1:$I$89,3,0)*0.475*44/12</f>
        <v>3.7377513489132191E-8</v>
      </c>
      <c r="CN91" s="22">
        <f t="shared" si="66"/>
        <v>2.8147526474965083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68.499332290011154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8.1</v>
      </c>
      <c r="CT91" s="12">
        <f>IF('Données projet'!$A$140&gt;35,CT90+CS91-DB90,IF(A91&lt;'Données projet'!$A$140,$CQ$205^A91,IF(A91='Données projet'!$A$140,'Données projet'!$B$140,CT90+CS91-DB90)))</f>
        <v>387.8000000000003</v>
      </c>
      <c r="CU91" s="17">
        <f>CT91*VLOOKUP('Données projet'!$B$13,Paramètres!$A$1:$I$89,3,0)*VLOOKUP('Données projet'!$B$13,Paramètres!$A$1:$I$89,5,0)</f>
        <v>332.73240000000033</v>
      </c>
      <c r="CV91" s="13">
        <f t="shared" si="95"/>
        <v>77.996531249821373</v>
      </c>
      <c r="CW91" s="20">
        <f t="shared" si="67"/>
        <v>715.35288859343939</v>
      </c>
      <c r="CX91" s="59">
        <f t="shared" si="68"/>
        <v>1003.1837736568136</v>
      </c>
      <c r="CY91" s="59">
        <f ca="1">AVERAGE(OFFSET($CX$3,0,0,'Données projet'!$E$13+1,1))-AVERAGE(OFFSET($H$3,0,0,'Données projet'!$E$13+1,1))</f>
        <v>565.32667500225568</v>
      </c>
      <c r="CZ91" s="59">
        <f t="shared" si="96"/>
        <v>275.06957234480944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0</v>
      </c>
      <c r="DG91" s="21">
        <f>EXP(-LN(2)/25)*DG90+(1-EXP(-LN(2)/25))/(LN(2)/25)*Calculateur!DB91*Calculateur!DD91*VLOOKUP('Données projet'!$B$13,Paramètres!$A$1:$I$89,3,0)*0.475*44/12</f>
        <v>0.87743584611622472</v>
      </c>
      <c r="DH91" s="21">
        <f>EXP(-LN(2)/2)*DH90+(1-EXP(-LN(2)/2))/(LN(2)/2)*DB91*DE91*VLOOKUP('Données projet'!$B$13,Paramètres!$A$1:$I$89,3,0)*0.475*44/12</f>
        <v>1.3194099648669278E-8</v>
      </c>
      <c r="DI91" s="22">
        <f t="shared" si="69"/>
        <v>0.87743585931032442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68.499332290011154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-1.2505552149377763E-12</v>
      </c>
      <c r="DP91" s="17">
        <f>DO91*VLOOKUP('Données projet'!$B$14,Paramètres!$A$1:$I$89,3,0)*VLOOKUP('Données projet'!$B$14,Paramètres!$A$1:$I$89,5,0)</f>
        <v>-6.9906036515021697E-13</v>
      </c>
      <c r="DQ91" s="13" t="e">
        <f t="shared" si="97"/>
        <v>#NUM!</v>
      </c>
      <c r="DR91" s="20" t="e">
        <f t="shared" si="70"/>
        <v>#NUM!</v>
      </c>
      <c r="DS91" s="59" t="e">
        <f t="shared" si="71"/>
        <v>#NUM!</v>
      </c>
      <c r="DT91" s="59">
        <f ca="1">AVERAGE(OFFSET($DS$3,0,0,'Données projet'!$E$14+1,1))-AVERAGE(OFFSET($H$3,0,0,'Données projet'!$E$14+1,1))</f>
        <v>532.64469322244281</v>
      </c>
      <c r="DU91" s="59">
        <f t="shared" si="98"/>
        <v>525.88014011096413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3.6208553715199496</v>
      </c>
      <c r="EB91" s="21">
        <f>EXP(-LN(2)/25)*EB90+(1-EXP(-LN(2)/25))/(LN(2)/25)*Calculateur!DW91*Calculateur!DY91*VLOOKUP('Données projet'!$B$14,Paramètres!$A$1:$I$89,3,0)*0.475*44/12</f>
        <v>7.7622489770809535</v>
      </c>
      <c r="EC91" s="21">
        <f>EXP(-LN(2)/2)*EC90+(1-EXP(-LN(2)/2))/(LN(2)/2)*DW91*DZ91*VLOOKUP('Données projet'!$B$14,Paramètres!$A$1:$I$89,3,0)*0.475*44/12</f>
        <v>6.7934191515732735E-8</v>
      </c>
      <c r="ED91" s="22">
        <f t="shared" si="72"/>
        <v>11.383104416535094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68.499332290011154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5.6</v>
      </c>
      <c r="EJ91" s="12">
        <f>IF('Données projet'!$A$192&gt;35,EJ90+EI91-ER90,IF(A91&lt;'Données projet'!$A$192,$EG$205^A91,IF(A91='Données projet'!$A$192,'Données projet'!$B$192,EJ90+EI91-ER90)))</f>
        <v>284.80000000000041</v>
      </c>
      <c r="EK91" s="17">
        <f>EJ91*VLOOKUP('Données projet'!$B$15,Paramètres!$A$1:$I$89,3,0)*VLOOKUP('Données projet'!$B$15,Paramètres!$A$1:$I$89,5,0)</f>
        <v>257.68704000000037</v>
      </c>
      <c r="EL91" s="13">
        <f t="shared" si="99"/>
        <v>62.229092239243457</v>
      </c>
      <c r="EM91" s="20">
        <f t="shared" si="73"/>
        <v>557.18726365001623</v>
      </c>
      <c r="EN91" s="59">
        <f t="shared" si="74"/>
        <v>845.01814871339047</v>
      </c>
      <c r="EO91" s="59">
        <f ca="1">AVERAGE(OFFSET($EN$3,0,0,'Données projet'!$E$15+1,1))-AVERAGE(OFFSET($H$3,0,0,'Données projet'!$E$15+1,1))</f>
        <v>398.27843768730202</v>
      </c>
      <c r="EP91" s="59">
        <f t="shared" si="100"/>
        <v>252.3617347568813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0</v>
      </c>
      <c r="EW91" s="21">
        <f>EXP(-LN(2)/25)*EW90+(1-EXP(-LN(2)/25))/(LN(2)/25)*Calculateur!ER91*Calculateur!ET91*VLOOKUP('Données projet'!$B$15,Paramètres!$A$1:$I$89,3,0)*0.475*44/12</f>
        <v>0.62201837790935699</v>
      </c>
      <c r="EX91" s="21">
        <f>EXP(-LN(2)/2)*EX90+(1-EXP(-LN(2)/2))/(LN(2)/2)*ER91*EU91*VLOOKUP('Données projet'!$B$15,Paramètres!$A$1:$I$89,3,0)*0.475*44/12</f>
        <v>1.1528558757954142E-8</v>
      </c>
      <c r="EY91" s="22">
        <f t="shared" si="75"/>
        <v>0.62201838943791576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68.499332290011154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5.6</v>
      </c>
      <c r="FE91" s="12">
        <f>IF('Données projet'!$A$218&gt;35,FE90+FD91-FM90,IF(A91&lt;'Données projet'!$A$218,$FB$205^A91,IF(A91='Données projet'!$A$218,'Données projet'!$B$218,FE90+FD91-FM90)))</f>
        <v>284.80000000000041</v>
      </c>
      <c r="FF91" s="17">
        <f>FE91*VLOOKUP('Données projet'!$B$16,Paramètres!$A$1:$I$89,3,0)*VLOOKUP('Données projet'!$B$16,Paramètres!$A$1:$I$89,5,0)</f>
        <v>275.45856000000038</v>
      </c>
      <c r="FG91" s="13">
        <f t="shared" si="101"/>
        <v>66.006360579066268</v>
      </c>
      <c r="FH91" s="20">
        <f t="shared" si="76"/>
        <v>594.71807000854108</v>
      </c>
      <c r="FI91" s="59">
        <f t="shared" si="77"/>
        <v>882.54895507191532</v>
      </c>
      <c r="FJ91" s="59">
        <f ca="1">AVERAGE(OFFSET($FI$3,0,0,'Données projet'!$E$16+1,1))-AVERAGE(OFFSET($H$3,0,0,'Données projet'!$E$16+1,1))</f>
        <v>422.28024471365825</v>
      </c>
      <c r="FK91" s="59">
        <f t="shared" si="102"/>
        <v>266.49730479813206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0</v>
      </c>
      <c r="FR91" s="21">
        <f>EXP(-LN(2)/25)*FR90+(1-EXP(-LN(2)/25))/(LN(2)/25)*Calculateur!FM91*Calculateur!FO91*VLOOKUP('Données projet'!$B$16,Paramètres!$A$1:$I$89,3,0)*0.475*44/12</f>
        <v>0.66491619707551952</v>
      </c>
      <c r="FS91" s="21">
        <f>EXP(-LN(2)/2)*FS90+(1-EXP(-LN(2)/2))/(LN(2)/2)*FM91*FP91*VLOOKUP('Données projet'!$B$16,Paramètres!$A$1:$I$89,3,0)*0.475*44/12</f>
        <v>1.232363177574408E-8</v>
      </c>
      <c r="FT91" s="22">
        <f t="shared" si="78"/>
        <v>0.6649162093991513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68.499332290011154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3.4106051316484809E-13</v>
      </c>
      <c r="GA91" s="17">
        <f>FZ91*VLOOKUP('Données projet'!$B$17,Paramètres!$A$1:$I$89,3,0)*VLOOKUP('Données projet'!$B$17,Paramètres!$A$1:$I$89,5,0)</f>
        <v>2.6602720026858149E-13</v>
      </c>
      <c r="GB91" s="13">
        <f t="shared" si="103"/>
        <v>3.5662905043956649E-12</v>
      </c>
      <c r="GC91" s="20">
        <f t="shared" si="79"/>
        <v>6.6746200022902298E-12</v>
      </c>
      <c r="GD91" s="59">
        <f t="shared" si="80"/>
        <v>287.83088506338089</v>
      </c>
      <c r="GE91" s="59">
        <f ca="1">AVERAGE(OFFSET($GD$3,0,0,'Données projet'!$E$17+1,1))-AVERAGE(OFFSET($H$3,0,0,'Données projet'!$E$17+1,1))</f>
        <v>300.95722646933314</v>
      </c>
      <c r="GF91" s="59">
        <f t="shared" si="104"/>
        <v>269.52365224623759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>
        <f>EXP(-LN(2)/35)*GL90+(1-EXP(-LN(2)/35))/(LN(2)/35)*GH91*GI91*VLOOKUP('Données projet'!$B$17,Paramètres!$A$1:$I$89,3,0)*0.475*44/12</f>
        <v>0.28214457440415169</v>
      </c>
      <c r="GM91" s="21">
        <f>EXP(-LN(2)/25)*GM90+(1-EXP(-LN(2)/25))/(LN(2)/25)*Calculateur!GH91*Calculateur!GJ91*VLOOKUP('Données projet'!$B$17,Paramètres!$A$1:$I$89,3,0)*0.475*44/12</f>
        <v>1.2494991232232793</v>
      </c>
      <c r="GN91" s="21">
        <f>EXP(-LN(2)/2)*GN90+(1-EXP(-LN(2)/2))/(LN(2)/2)*GH91*GK91*VLOOKUP('Données projet'!$B$17,Paramètres!$A$1:$I$89,3,0)*0.475*44/12</f>
        <v>1.6501105614417874E-8</v>
      </c>
      <c r="GO91" s="21">
        <f t="shared" si="81"/>
        <v>1.5316437141285366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68.499332290011154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1.4000000000000001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5.1333333333333337</v>
      </c>
      <c r="H92" s="67">
        <f t="shared" si="56"/>
        <v>236.13333333333335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68.525365519789077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6.6</v>
      </c>
      <c r="N92" s="13">
        <f>IF('Données projet'!$A$36&gt;35,N91+M92-V91,IF(A92&lt;'Données projet'!$A$36,$K$205^A92,IF(A92='Données projet'!$A$36,'Données projet'!$B$36,N91+M92-V91)))</f>
        <v>351.4</v>
      </c>
      <c r="O92" s="13">
        <f>N92*VLOOKUP('Données projet'!$B$9,Paramètres!$A$1:$I$89,3,0)*VLOOKUP('Données projet'!$B$9,Paramètres!$A$1:$I$89,5,0)</f>
        <v>317.94671999999997</v>
      </c>
      <c r="P92" s="13">
        <f t="shared" si="87"/>
        <v>74.925968901822259</v>
      </c>
      <c r="Q92" s="20">
        <f t="shared" si="54"/>
        <v>684.253266504007</v>
      </c>
      <c r="R92" s="59">
        <f t="shared" si="55"/>
        <v>972.17960674323353</v>
      </c>
      <c r="S92" s="59">
        <f ca="1">AVERAGE(OFFSET($R$3,0,0,'Données projet'!$E$9+1,1))-AVERAGE(OFFSET($H$3,0,0,'Données projet'!$E$9+1,1))</f>
        <v>479.46542424895119</v>
      </c>
      <c r="T92" s="59">
        <f t="shared" si="88"/>
        <v>337.96395820277337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0.74869618603240851</v>
      </c>
      <c r="AA92" s="21">
        <f>EXP(-LN(2)/25)*AA91+(1-EXP(-LN(2)/25))/(LN(2)/25)*Calculateur!V92*Calculateur!X92*VLOOKUP('Données projet'!$B$9,Paramètres!$A$1:$I$89,3,0)*0.475*44/12</f>
        <v>2.1977931141047344</v>
      </c>
      <c r="AB92" s="21">
        <f>EXP(-LN(2)/2)*AB91+(1-EXP(-LN(2)/2))/(LN(2)/2)*V92*Y92*VLOOKUP('Données projet'!$B$9,Paramètres!$A$1:$I$89,3,0)*0.475*44/12</f>
        <v>2.8387663122579863E-8</v>
      </c>
      <c r="AC92" s="22">
        <f t="shared" si="57"/>
        <v>2.9464893285248062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68.525365519789077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6.6</v>
      </c>
      <c r="AI92" s="13">
        <f>IF('Données projet'!$A$62&gt;35,AI91+AH92-AQ91,IF(A92&lt;'Données projet'!$A$62,$AF$205^A92,IF(A92='Données projet'!$A$62,'Données projet'!$B$62,AI91+AH92-AQ91)))</f>
        <v>351.4</v>
      </c>
      <c r="AJ92" s="13">
        <f>AI92*VLOOKUP('Données projet'!$B$10,Paramètres!$A$1:$I$89,3,0)*VLOOKUP('Données projet'!$B$10,Paramètres!$A$1:$I$89,5,0)</f>
        <v>339.87407999999999</v>
      </c>
      <c r="AK92" s="13">
        <f t="shared" si="89"/>
        <v>79.473929991714684</v>
      </c>
      <c r="AL92" s="20">
        <f t="shared" si="58"/>
        <v>730.36445073556968</v>
      </c>
      <c r="AM92" s="59">
        <f t="shared" si="59"/>
        <v>1018.2907909747962</v>
      </c>
      <c r="AN92" s="59">
        <f ca="1">AVERAGE(OFFSET($AM$3,0,0,'Données projet'!$E$10+1,1))-AVERAGE(OFFSET($H$3,0,0,'Données projet'!$E$10+1,1))</f>
        <v>508.94560627895089</v>
      </c>
      <c r="AO92" s="59">
        <f t="shared" si="90"/>
        <v>357.86868650263034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0.80033040575878223</v>
      </c>
      <c r="AV92" s="21">
        <f>EXP(-LN(2)/25)*AV91+(1-EXP(-LN(2)/25))/(LN(2)/25)*Calculateur!AQ92*Calculateur!AS92*VLOOKUP('Données projet'!$B$10,Paramètres!$A$1:$I$89,3,0)*0.475*44/12</f>
        <v>2.3493650530085093</v>
      </c>
      <c r="AW92" s="21">
        <f>EXP(-LN(2)/2)*AW91+(1-EXP(-LN(2)/2))/(LN(2)/2)*AQ92*AT92*VLOOKUP('Données projet'!$B$10,Paramètres!$A$1:$I$89,3,0)*0.475*44/12</f>
        <v>3.0345432993102479E-8</v>
      </c>
      <c r="AX92" s="21">
        <f t="shared" si="60"/>
        <v>3.1496954891127245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68.525365519789077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1.7053025658242404E-13</v>
      </c>
      <c r="BE92" s="13">
        <f>BD92*VLOOKUP('Données projet'!$B$11,Paramètres!$A$1:$I$89,3,0)*VLOOKUP('Données projet'!$B$11,Paramètres!$A$1:$I$89,5,0)</f>
        <v>1.3301360013429075E-13</v>
      </c>
      <c r="BF92" s="13">
        <f t="shared" si="91"/>
        <v>1.9329766731057041E-12</v>
      </c>
      <c r="BG92" s="20">
        <f t="shared" si="61"/>
        <v>3.5982663925596575E-12</v>
      </c>
      <c r="BH92" s="59">
        <f t="shared" si="62"/>
        <v>287.92634023923017</v>
      </c>
      <c r="BI92" s="59">
        <f ca="1">AVERAGE(OFFSET($BH$3,0,0,'Données projet'!$E$11+1,1))-AVERAGE(OFFSET($H$3,0,0,'Données projet'!$E$11+1,1))</f>
        <v>383.03154033422328</v>
      </c>
      <c r="BJ92" s="59">
        <f t="shared" si="92"/>
        <v>373.27897156169877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0.44949432351083657</v>
      </c>
      <c r="BQ92" s="21">
        <f>EXP(-LN(2)/25)*BQ91+(1-EXP(-LN(2)/25))/(LN(2)/25)*Calculateur!BL92*Calculateur!BN92*VLOOKUP('Données projet'!$B$11,Paramètres!$A$1:$I$89,3,0)*0.475*44/12</f>
        <v>1.6305426255285058</v>
      </c>
      <c r="BR92" s="21">
        <f>EXP(-LN(2)/2)*BR91+(1-EXP(-LN(2)/2))/(LN(2)/2)*BL92*BO92*VLOOKUP('Données projet'!$B$11,Paramètres!$A$1:$I$89,3,0)*0.475*44/12</f>
        <v>1.7215907072527537E-8</v>
      </c>
      <c r="BS92" s="22">
        <f t="shared" si="63"/>
        <v>2.0800369662552494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68.525365519789077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6.6</v>
      </c>
      <c r="BY92" s="12">
        <f>IF('Données projet'!$A$114&gt;35,BY91+BX92-CG91,IF(A92&lt;'Données projet'!$A$114,$BV$205^A92,IF(A92='Données projet'!$A$114,'Données projet'!$B$114,BY91+BX92-CG91)))</f>
        <v>351.4</v>
      </c>
      <c r="BZ92" s="13">
        <f>BY92*VLOOKUP('Données projet'!$B$12,Paramètres!$A$1:$I$89,3,0)*VLOOKUP('Données projet'!$B$12,Paramètres!$A$1:$I$89,5,0)</f>
        <v>296.01936000000001</v>
      </c>
      <c r="CA92" s="13">
        <f t="shared" si="93"/>
        <v>70.341320795108345</v>
      </c>
      <c r="CB92" s="20">
        <f t="shared" si="64"/>
        <v>638.07818571814698</v>
      </c>
      <c r="CC92" s="59">
        <f t="shared" si="65"/>
        <v>926.00452595737352</v>
      </c>
      <c r="CD92" s="59">
        <f ca="1">AVERAGE(OFFSET($CC$3,0,0,'Données projet'!$E$12+1,1))-AVERAGE(OFFSET($H$3,0,0,'Données projet'!$E$12+1,1))</f>
        <v>449.94334483948603</v>
      </c>
      <c r="CE92" s="59">
        <f t="shared" si="94"/>
        <v>318.02929110264176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0.69706196630603556</v>
      </c>
      <c r="CL92" s="21">
        <f>EXP(-LN(2)/25)*CL91+(1-EXP(-LN(2)/25))/(LN(2)/25)*Calculateur!CG92*Calculateur!CI92*VLOOKUP('Données projet'!$B$12,Paramètres!$A$1:$I$89,3,0)*0.475*44/12</f>
        <v>2.04622117520096</v>
      </c>
      <c r="CM92" s="21">
        <f>EXP(-LN(2)/2)*CM91+(1-EXP(-LN(2)/2))/(LN(2)/2)*CG92*CJ92*VLOOKUP('Données projet'!$B$12,Paramètres!$A$1:$I$89,3,0)*0.475*44/12</f>
        <v>2.6429893252057025E-8</v>
      </c>
      <c r="CN92" s="22">
        <f t="shared" si="66"/>
        <v>2.7432831679368888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68.525365519789077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8.1</v>
      </c>
      <c r="CT92" s="12">
        <f>IF('Données projet'!$A$140&gt;35,CT91+CS92-DB91,IF(A92&lt;'Données projet'!$A$140,$CQ$205^A92,IF(A92='Données projet'!$A$140,'Données projet'!$B$140,CT91+CS92-DB91)))</f>
        <v>395.90000000000032</v>
      </c>
      <c r="CU92" s="17">
        <f>CT92*VLOOKUP('Données projet'!$B$13,Paramètres!$A$1:$I$89,3,0)*VLOOKUP('Données projet'!$B$13,Paramètres!$A$1:$I$89,5,0)</f>
        <v>339.68220000000031</v>
      </c>
      <c r="CV92" s="13">
        <f t="shared" si="95"/>
        <v>79.434283356581474</v>
      </c>
      <c r="CW92" s="20">
        <f t="shared" si="67"/>
        <v>729.96120851271326</v>
      </c>
      <c r="CX92" s="59">
        <f t="shared" si="68"/>
        <v>1017.8875487519399</v>
      </c>
      <c r="CY92" s="59">
        <f ca="1">AVERAGE(OFFSET($CX$3,0,0,'Données projet'!$E$13+1,1))-AVERAGE(OFFSET($H$3,0,0,'Données projet'!$E$13+1,1))</f>
        <v>565.32667500225568</v>
      </c>
      <c r="CZ92" s="59">
        <f t="shared" si="96"/>
        <v>275.06957234480944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0</v>
      </c>
      <c r="DG92" s="21">
        <f>EXP(-LN(2)/25)*DG91+(1-EXP(-LN(2)/25))/(LN(2)/25)*Calculateur!DB92*Calculateur!DD92*VLOOKUP('Données projet'!$B$13,Paramètres!$A$1:$I$89,3,0)*0.475*44/12</f>
        <v>0.8534423167618308</v>
      </c>
      <c r="DH92" s="21">
        <f>EXP(-LN(2)/2)*DH91+(1-EXP(-LN(2)/2))/(LN(2)/2)*DB92*DE92*VLOOKUP('Données projet'!$B$13,Paramètres!$A$1:$I$89,3,0)*0.475*44/12</f>
        <v>9.3296373332250907E-9</v>
      </c>
      <c r="DI92" s="22">
        <f t="shared" si="69"/>
        <v>0.85344232609146808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68.525365519789077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-1.2505552149377763E-12</v>
      </c>
      <c r="DP92" s="17">
        <f>DO92*VLOOKUP('Données projet'!$B$14,Paramètres!$A$1:$I$89,3,0)*VLOOKUP('Données projet'!$B$14,Paramètres!$A$1:$I$89,5,0)</f>
        <v>-6.9906036515021697E-13</v>
      </c>
      <c r="DQ92" s="13" t="e">
        <f t="shared" si="97"/>
        <v>#NUM!</v>
      </c>
      <c r="DR92" s="20" t="e">
        <f t="shared" si="70"/>
        <v>#NUM!</v>
      </c>
      <c r="DS92" s="59" t="e">
        <f t="shared" si="71"/>
        <v>#NUM!</v>
      </c>
      <c r="DT92" s="59">
        <f ca="1">AVERAGE(OFFSET($DS$3,0,0,'Données projet'!$E$14+1,1))-AVERAGE(OFFSET($H$3,0,0,'Données projet'!$E$14+1,1))</f>
        <v>532.64469322244281</v>
      </c>
      <c r="DU92" s="59">
        <f t="shared" si="98"/>
        <v>525.88014011096413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3.5498526061881486</v>
      </c>
      <c r="EB92" s="21">
        <f>EXP(-LN(2)/25)*EB91+(1-EXP(-LN(2)/25))/(LN(2)/25)*Calculateur!DW92*Calculateur!DY92*VLOOKUP('Données projet'!$B$14,Paramètres!$A$1:$I$89,3,0)*0.475*44/12</f>
        <v>7.549989870603742</v>
      </c>
      <c r="EC92" s="21">
        <f>EXP(-LN(2)/2)*EC91+(1-EXP(-LN(2)/2))/(LN(2)/2)*DW92*DZ92*VLOOKUP('Données projet'!$B$14,Paramètres!$A$1:$I$89,3,0)*0.475*44/12</f>
        <v>4.8036727495200241E-8</v>
      </c>
      <c r="ED92" s="22">
        <f t="shared" si="72"/>
        <v>11.099842524828619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68.525365519789077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5.6</v>
      </c>
      <c r="EJ92" s="12">
        <f>IF('Données projet'!$A$192&gt;35,EJ91+EI92-ER91,IF(A92&lt;'Données projet'!$A$192,$EG$205^A92,IF(A92='Données projet'!$A$192,'Données projet'!$B$192,EJ91+EI92-ER91)))</f>
        <v>290.40000000000043</v>
      </c>
      <c r="EK92" s="17">
        <f>EJ92*VLOOKUP('Données projet'!$B$15,Paramètres!$A$1:$I$89,3,0)*VLOOKUP('Données projet'!$B$15,Paramètres!$A$1:$I$89,5,0)</f>
        <v>262.75392000000039</v>
      </c>
      <c r="EL92" s="13">
        <f t="shared" si="99"/>
        <v>63.309041956360382</v>
      </c>
      <c r="EM92" s="20">
        <f t="shared" si="73"/>
        <v>567.89299207399495</v>
      </c>
      <c r="EN92" s="59">
        <f t="shared" si="74"/>
        <v>855.81933231322159</v>
      </c>
      <c r="EO92" s="59">
        <f ca="1">AVERAGE(OFFSET($EN$3,0,0,'Données projet'!$E$15+1,1))-AVERAGE(OFFSET($H$3,0,0,'Données projet'!$E$15+1,1))</f>
        <v>398.27843768730202</v>
      </c>
      <c r="EP92" s="59">
        <f t="shared" si="100"/>
        <v>252.3617347568813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0</v>
      </c>
      <c r="EW92" s="21">
        <f>EXP(-LN(2)/25)*EW91+(1-EXP(-LN(2)/25))/(LN(2)/25)*Calculateur!ER92*Calculateur!ET92*VLOOKUP('Données projet'!$B$15,Paramètres!$A$1:$I$89,3,0)*0.475*44/12</f>
        <v>0.6050092526549008</v>
      </c>
      <c r="EX92" s="21">
        <f>EXP(-LN(2)/2)*EX91+(1-EXP(-LN(2)/2))/(LN(2)/2)*ER92*EU92*VLOOKUP('Données projet'!$B$15,Paramètres!$A$1:$I$89,3,0)*0.475*44/12</f>
        <v>8.1519220750569352E-9</v>
      </c>
      <c r="EY92" s="22">
        <f t="shared" si="75"/>
        <v>0.60500926080682282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68.525365519789077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5.6</v>
      </c>
      <c r="FE92" s="12">
        <f>IF('Données projet'!$A$218&gt;35,FE91+FD92-FM91,IF(A92&lt;'Données projet'!$A$218,$FB$205^A92,IF(A92='Données projet'!$A$218,'Données projet'!$B$218,FE91+FD92-FM91)))</f>
        <v>290.40000000000043</v>
      </c>
      <c r="FF92" s="17">
        <f>FE92*VLOOKUP('Données projet'!$B$16,Paramètres!$A$1:$I$89,3,0)*VLOOKUP('Données projet'!$B$16,Paramètres!$A$1:$I$89,5,0)</f>
        <v>280.87488000000042</v>
      </c>
      <c r="FG92" s="13">
        <f t="shared" si="101"/>
        <v>67.151862592195968</v>
      </c>
      <c r="FH92" s="20">
        <f t="shared" si="76"/>
        <v>606.14657668140865</v>
      </c>
      <c r="FI92" s="59">
        <f t="shared" si="77"/>
        <v>894.07291692063518</v>
      </c>
      <c r="FJ92" s="59">
        <f ca="1">AVERAGE(OFFSET($FI$3,0,0,'Données projet'!$E$16+1,1))-AVERAGE(OFFSET($H$3,0,0,'Données projet'!$E$16+1,1))</f>
        <v>422.28024471365825</v>
      </c>
      <c r="FK92" s="59">
        <f t="shared" si="102"/>
        <v>266.49730479813206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0</v>
      </c>
      <c r="FR92" s="21">
        <f>EXP(-LN(2)/25)*FR91+(1-EXP(-LN(2)/25))/(LN(2)/25)*Calculateur!FM92*Calculateur!FO92*VLOOKUP('Données projet'!$B$16,Paramètres!$A$1:$I$89,3,0)*0.475*44/12</f>
        <v>0.64673402870006635</v>
      </c>
      <c r="FS92" s="21">
        <f>EXP(-LN(2)/2)*FS91+(1-EXP(-LN(2)/2))/(LN(2)/2)*FM92*FP92*VLOOKUP('Données projet'!$B$16,Paramètres!$A$1:$I$89,3,0)*0.475*44/12</f>
        <v>8.7141235974746532E-9</v>
      </c>
      <c r="FT92" s="22">
        <f t="shared" si="78"/>
        <v>0.64673403741419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68.525365519789077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3.4106051316484809E-13</v>
      </c>
      <c r="GA92" s="17">
        <f>FZ92*VLOOKUP('Données projet'!$B$17,Paramètres!$A$1:$I$89,3,0)*VLOOKUP('Données projet'!$B$17,Paramètres!$A$1:$I$89,5,0)</f>
        <v>2.6602720026858149E-13</v>
      </c>
      <c r="GB92" s="13">
        <f t="shared" si="103"/>
        <v>3.5662905043956649E-12</v>
      </c>
      <c r="GC92" s="20">
        <f t="shared" si="79"/>
        <v>6.6746200022902298E-12</v>
      </c>
      <c r="GD92" s="59">
        <f t="shared" si="80"/>
        <v>287.92634023923324</v>
      </c>
      <c r="GE92" s="59">
        <f ca="1">AVERAGE(OFFSET($GD$3,0,0,'Données projet'!$E$17+1,1))-AVERAGE(OFFSET($H$3,0,0,'Données projet'!$E$17+1,1))</f>
        <v>300.95722646933314</v>
      </c>
      <c r="GF92" s="59">
        <f t="shared" si="104"/>
        <v>269.52365224623759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>
        <f>EXP(-LN(2)/35)*GL91+(1-EXP(-LN(2)/35))/(LN(2)/35)*GH92*GI92*VLOOKUP('Données projet'!$B$17,Paramètres!$A$1:$I$89,3,0)*0.475*44/12</f>
        <v>0.27661189139128406</v>
      </c>
      <c r="GM92" s="21">
        <f>EXP(-LN(2)/25)*GM91+(1-EXP(-LN(2)/25))/(LN(2)/25)*Calculateur!GH92*Calculateur!GJ92*VLOOKUP('Données projet'!$B$17,Paramètres!$A$1:$I$89,3,0)*0.475*44/12</f>
        <v>1.2153315039904355</v>
      </c>
      <c r="GN92" s="21">
        <f>EXP(-LN(2)/2)*GN91+(1-EXP(-LN(2)/2))/(LN(2)/2)*GH92*GK92*VLOOKUP('Données projet'!$B$17,Paramètres!$A$1:$I$89,3,0)*0.475*44/12</f>
        <v>1.1668043677030291E-8</v>
      </c>
      <c r="GO92" s="21">
        <f t="shared" si="81"/>
        <v>1.4919434070497632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68.525365519789077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1.4000000000000001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5.1333333333333337</v>
      </c>
      <c r="H93" s="67">
        <f t="shared" si="56"/>
        <v>236.13333333333335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68.550947131231936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358</v>
      </c>
      <c r="L93" s="12">
        <f>VLOOKUP(A93,'Données projet'!$A$35:$I$55,9,0)</f>
        <v>6.6</v>
      </c>
      <c r="M93" s="12">
        <f t="array" ref="M93">INDEX(L:L,MIN(IF(ISNUMBER(L93:L289),ROW(L93:L289),"")))</f>
        <v>6.6</v>
      </c>
      <c r="N93" s="13">
        <f>IF('Données projet'!$A$36&gt;35,N92+M93-V92,IF(A93&lt;'Données projet'!$A$36,$K$205^A93,IF(A93='Données projet'!$A$36,'Données projet'!$B$36,N92+M93-V92)))</f>
        <v>358</v>
      </c>
      <c r="O93" s="13">
        <f>N93*VLOOKUP('Données projet'!$B$9,Paramètres!$A$1:$I$89,3,0)*VLOOKUP('Données projet'!$B$9,Paramètres!$A$1:$I$89,5,0)</f>
        <v>323.91839999999996</v>
      </c>
      <c r="P93" s="13">
        <f t="shared" si="87"/>
        <v>76.168074587293091</v>
      </c>
      <c r="Q93" s="20">
        <f t="shared" si="54"/>
        <v>696.81727657286876</v>
      </c>
      <c r="R93" s="59">
        <f t="shared" si="55"/>
        <v>984.83741605405248</v>
      </c>
      <c r="S93" s="59">
        <f ca="1">AVERAGE(OFFSET($R$3,0,0,'Données projet'!$E$9+1,1))-AVERAGE(OFFSET($H$3,0,0,'Données projet'!$E$9+1,1))</f>
        <v>479.46542424895119</v>
      </c>
      <c r="T93" s="59">
        <f t="shared" si="88"/>
        <v>337.96395820277337</v>
      </c>
      <c r="U93" s="15">
        <f>IF(ISNA(VLOOKUP(A93,'Données projet'!$A$35:$I$55,3,0)),0,VLOOKUP(A93,'Données projet'!$A$35:$I$55,3,0))</f>
        <v>8</v>
      </c>
      <c r="V93" s="15">
        <f>IF(ISNA(VLOOKUP(A93,'Données projet'!$A$35:$I$55,4,0)),0,VLOOKUP(A93,'Données projet'!$A$35:$I$55,4,0))</f>
        <v>56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0.73401471048389511</v>
      </c>
      <c r="AA93" s="21">
        <f>EXP(-LN(2)/25)*AA92+(1-EXP(-LN(2)/25))/(LN(2)/25)*Calculateur!V93*Calculateur!X93*VLOOKUP('Données projet'!$B$9,Paramètres!$A$1:$I$89,3,0)*0.475*44/12</f>
        <v>2.1376943458226236</v>
      </c>
      <c r="AB93" s="21">
        <f>EXP(-LN(2)/2)*AB92+(1-EXP(-LN(2)/2))/(LN(2)/2)*V93*Y93*VLOOKUP('Données projet'!$B$9,Paramètres!$A$1:$I$89,3,0)*0.475*44/12</f>
        <v>2.0073109096015505E-8</v>
      </c>
      <c r="AC93" s="22">
        <f t="shared" si="57"/>
        <v>2.8717090763796276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68.550947131231936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358</v>
      </c>
      <c r="AG93" s="12">
        <f>VLOOKUP(A93,'Données projet'!$A$61:$I$81,9,0)</f>
        <v>6.6</v>
      </c>
      <c r="AH93" s="12">
        <f t="array" ref="AH93">INDEX(AG:AG,MIN(IF(ISNUMBER(AG93:AG289),ROW(AG93:AG289),"")))</f>
        <v>6.6</v>
      </c>
      <c r="AI93" s="13">
        <f>IF('Données projet'!$A$62&gt;35,AI92+AH93-AQ92,IF(A93&lt;'Données projet'!$A$62,$AF$205^A93,IF(A93='Données projet'!$A$62,'Données projet'!$B$62,AI92+AH93-AQ92)))</f>
        <v>358</v>
      </c>
      <c r="AJ93" s="13">
        <f>AI93*VLOOKUP('Données projet'!$B$10,Paramètres!$A$1:$I$89,3,0)*VLOOKUP('Données projet'!$B$10,Paramètres!$A$1:$I$89,5,0)</f>
        <v>346.25760000000002</v>
      </c>
      <c r="AK93" s="13">
        <f t="shared" si="89"/>
        <v>80.791430742606195</v>
      </c>
      <c r="AL93" s="20">
        <f t="shared" si="58"/>
        <v>743.77706187670583</v>
      </c>
      <c r="AM93" s="59">
        <f t="shared" si="59"/>
        <v>1031.7972013578897</v>
      </c>
      <c r="AN93" s="59">
        <f ca="1">AVERAGE(OFFSET($AM$3,0,0,'Données projet'!$E$10+1,1))-AVERAGE(OFFSET($H$3,0,0,'Données projet'!$E$10+1,1))</f>
        <v>508.94560627895089</v>
      </c>
      <c r="AO93" s="59">
        <f t="shared" si="90"/>
        <v>357.86868650263034</v>
      </c>
      <c r="AP93" s="15">
        <f>IF(ISNA(VLOOKUP(A93,'Données projet'!$A$61:$I$81,3,0)),0,VLOOKUP(A93,'Données projet'!$A$61:$I$81,3,0))</f>
        <v>8</v>
      </c>
      <c r="AQ93" s="15">
        <f>IF(ISNA(VLOOKUP(A93,'Données projet'!$A$61:$I$81,4,0)),0,VLOOKUP(A93,'Données projet'!$A$61:$I$81,4,0))</f>
        <v>56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0.78463641465519884</v>
      </c>
      <c r="AV93" s="21">
        <f>EXP(-LN(2)/25)*AV92+(1-EXP(-LN(2)/25))/(LN(2)/25)*Calculateur!AQ93*Calculateur!AS93*VLOOKUP('Données projet'!$B$10,Paramètres!$A$1:$I$89,3,0)*0.475*44/12</f>
        <v>2.285121542086253</v>
      </c>
      <c r="AW93" s="21">
        <f>EXP(-LN(2)/2)*AW92+(1-EXP(-LN(2)/2))/(LN(2)/2)*AQ93*AT93*VLOOKUP('Données projet'!$B$10,Paramètres!$A$1:$I$89,3,0)*0.475*44/12</f>
        <v>2.1457461447464755E-8</v>
      </c>
      <c r="AX93" s="21">
        <f t="shared" si="60"/>
        <v>3.0697579781989135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68.550947131231936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1.7053025658242404E-13</v>
      </c>
      <c r="BE93" s="13">
        <f>BD93*VLOOKUP('Données projet'!$B$11,Paramètres!$A$1:$I$89,3,0)*VLOOKUP('Données projet'!$B$11,Paramètres!$A$1:$I$89,5,0)</f>
        <v>1.3301360013429075E-13</v>
      </c>
      <c r="BF93" s="13">
        <f t="shared" si="91"/>
        <v>1.9329766731057041E-12</v>
      </c>
      <c r="BG93" s="20">
        <f t="shared" si="61"/>
        <v>3.5982663925596575E-12</v>
      </c>
      <c r="BH93" s="59">
        <f t="shared" si="62"/>
        <v>288.02013948118736</v>
      </c>
      <c r="BI93" s="59">
        <f ca="1">AVERAGE(OFFSET($BH$3,0,0,'Données projet'!$E$11+1,1))-AVERAGE(OFFSET($H$3,0,0,'Données projet'!$E$11+1,1))</f>
        <v>383.03154033422328</v>
      </c>
      <c r="BJ93" s="59">
        <f t="shared" si="92"/>
        <v>373.27897156169877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0.44068001399125489</v>
      </c>
      <c r="BQ93" s="21">
        <f>EXP(-LN(2)/25)*BQ92+(1-EXP(-LN(2)/25))/(LN(2)/25)*Calculateur!BL93*Calculateur!BN93*VLOOKUP('Données projet'!$B$11,Paramètres!$A$1:$I$89,3,0)*0.475*44/12</f>
        <v>1.5859553516869187</v>
      </c>
      <c r="BR93" s="21">
        <f>EXP(-LN(2)/2)*BR92+(1-EXP(-LN(2)/2))/(LN(2)/2)*BL93*BO93*VLOOKUP('Données projet'!$B$11,Paramètres!$A$1:$I$89,3,0)*0.475*44/12</f>
        <v>1.2173484635261665E-8</v>
      </c>
      <c r="BS93" s="22">
        <f t="shared" si="63"/>
        <v>2.0266353778516581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68.550947131231936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358</v>
      </c>
      <c r="BW93" s="12">
        <f>VLOOKUP(A93,'Données projet'!$A$113:$I$133,9,0)</f>
        <v>6.6</v>
      </c>
      <c r="BX93" s="12">
        <f t="array" ref="BX93">INDEX(BW:BW,MIN(IF(ISNUMBER(BW93:BW289),ROW(BW93:BW289),"")))</f>
        <v>6.6</v>
      </c>
      <c r="BY93" s="12">
        <f>IF('Données projet'!$A$114&gt;35,BY92+BX93-CG92,IF(A93&lt;'Données projet'!$A$114,$BV$205^A93,IF(A93='Données projet'!$A$114,'Données projet'!$B$114,BY92+BX93-CG92)))</f>
        <v>358</v>
      </c>
      <c r="BZ93" s="13">
        <f>BY93*VLOOKUP('Données projet'!$B$12,Paramètres!$A$1:$I$89,3,0)*VLOOKUP('Données projet'!$B$12,Paramètres!$A$1:$I$89,5,0)</f>
        <v>301.57920000000007</v>
      </c>
      <c r="CA93" s="13">
        <f t="shared" si="93"/>
        <v>71.507423226130925</v>
      </c>
      <c r="CB93" s="20">
        <f t="shared" si="64"/>
        <v>649.79253545217807</v>
      </c>
      <c r="CC93" s="59">
        <f t="shared" si="65"/>
        <v>937.8126749333619</v>
      </c>
      <c r="CD93" s="59">
        <f ca="1">AVERAGE(OFFSET($CC$3,0,0,'Données projet'!$E$12+1,1))-AVERAGE(OFFSET($H$3,0,0,'Données projet'!$E$12+1,1))</f>
        <v>449.94334483948603</v>
      </c>
      <c r="CE93" s="59">
        <f t="shared" si="94"/>
        <v>318.02929110264176</v>
      </c>
      <c r="CF93" s="15">
        <f>IF(ISNA(VLOOKUP(A93,'Données projet'!$A$113:$I$133,3,0)),0,VLOOKUP(A93,'Données projet'!$A$113:$I$133,3,0))</f>
        <v>8</v>
      </c>
      <c r="CG93" s="15">
        <f>IF(ISNA(VLOOKUP(A93,'Données projet'!$A$113:$I$133,4,0)),0,VLOOKUP(A93,'Données projet'!$A$113:$I$133,4,0))</f>
        <v>56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0.68339300631259203</v>
      </c>
      <c r="CL93" s="21">
        <f>EXP(-LN(2)/25)*CL92+(1-EXP(-LN(2)/25))/(LN(2)/25)*Calculateur!CG93*Calculateur!CI93*VLOOKUP('Données projet'!$B$12,Paramètres!$A$1:$I$89,3,0)*0.475*44/12</f>
        <v>1.990267149558995</v>
      </c>
      <c r="CM93" s="21">
        <f>EXP(-LN(2)/2)*CM92+(1-EXP(-LN(2)/2))/(LN(2)/2)*CG93*CJ93*VLOOKUP('Données projet'!$B$12,Paramètres!$A$1:$I$89,3,0)*0.475*44/12</f>
        <v>1.8688756744566096E-8</v>
      </c>
      <c r="CN93" s="22">
        <f t="shared" si="66"/>
        <v>2.6736601745603439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68.550947131231936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>
        <f>VLOOKUP(A93,'Données projet'!$A$139:$I$159,2,0)</f>
        <v>404</v>
      </c>
      <c r="CR93" s="12">
        <f>VLOOKUP(A93,'Données projet'!$A$139:$I$159,9,0)</f>
        <v>8.1</v>
      </c>
      <c r="CS93" s="12">
        <f t="array" ref="CS93">INDEX(CR:CR,MIN(IF(ISNUMBER(CR93:CR289),ROW(CR93:CR289),"")))</f>
        <v>8.1</v>
      </c>
      <c r="CT93" s="12">
        <f>IF('Données projet'!$A$140&gt;35,CT92+CS93-DB92,IF(A93&lt;'Données projet'!$A$140,$CQ$205^A93,IF(A93='Données projet'!$A$140,'Données projet'!$B$140,CT92+CS93-DB92)))</f>
        <v>404.00000000000034</v>
      </c>
      <c r="CU93" s="17">
        <f>CT93*VLOOKUP('Données projet'!$B$13,Paramètres!$A$1:$I$89,3,0)*VLOOKUP('Données projet'!$B$13,Paramètres!$A$1:$I$89,5,0)</f>
        <v>346.63200000000035</v>
      </c>
      <c r="CV93" s="13">
        <f t="shared" si="95"/>
        <v>80.868615263336864</v>
      </c>
      <c r="CW93" s="20">
        <f t="shared" si="67"/>
        <v>744.56357158364563</v>
      </c>
      <c r="CX93" s="59">
        <f t="shared" si="68"/>
        <v>1032.5837110648295</v>
      </c>
      <c r="CY93" s="59">
        <f ca="1">AVERAGE(OFFSET($CX$3,0,0,'Données projet'!$E$13+1,1))-AVERAGE(OFFSET($H$3,0,0,'Données projet'!$E$13+1,1))</f>
        <v>565.32667500225568</v>
      </c>
      <c r="CZ93" s="59">
        <f t="shared" si="96"/>
        <v>275.06957234480944</v>
      </c>
      <c r="DA93" s="15">
        <f>IF(ISNA(VLOOKUP(A93,'Données projet'!$A$139:$I$159,3,0)),0,VLOOKUP(A93,'Données projet'!$A$139:$I$159,3,0))</f>
        <v>7</v>
      </c>
      <c r="DB93" s="15">
        <f>IF(ISNA(VLOOKUP(A93,'Données projet'!$A$139:$I$159,4,0)),0,VLOOKUP(A93,'Données projet'!$A$139:$I$159,4,0))</f>
        <v>53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0</v>
      </c>
      <c r="DG93" s="21">
        <f>EXP(-LN(2)/25)*DG92+(1-EXP(-LN(2)/25))/(LN(2)/25)*Calculateur!DB93*Calculateur!DD93*VLOOKUP('Données projet'!$B$13,Paramètres!$A$1:$I$89,3,0)*0.475*44/12</f>
        <v>0.83010489172939772</v>
      </c>
      <c r="DH93" s="21">
        <f>EXP(-LN(2)/2)*DH92+(1-EXP(-LN(2)/2))/(LN(2)/2)*DB93*DE93*VLOOKUP('Données projet'!$B$13,Paramètres!$A$1:$I$89,3,0)*0.475*44/12</f>
        <v>6.5970498243346391E-9</v>
      </c>
      <c r="DI93" s="22">
        <f t="shared" si="69"/>
        <v>0.83010489832644752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68.550947131231936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-1.2505552149377763E-12</v>
      </c>
      <c r="DP93" s="17">
        <f>DO93*VLOOKUP('Données projet'!$B$14,Paramètres!$A$1:$I$89,3,0)*VLOOKUP('Données projet'!$B$14,Paramètres!$A$1:$I$89,5,0)</f>
        <v>-6.9906036515021697E-13</v>
      </c>
      <c r="DQ93" s="13" t="e">
        <f t="shared" si="97"/>
        <v>#NUM!</v>
      </c>
      <c r="DR93" s="20" t="e">
        <f t="shared" si="70"/>
        <v>#NUM!</v>
      </c>
      <c r="DS93" s="59" t="e">
        <f t="shared" si="71"/>
        <v>#NUM!</v>
      </c>
      <c r="DT93" s="59">
        <f ca="1">AVERAGE(OFFSET($DS$3,0,0,'Données projet'!$E$14+1,1))-AVERAGE(OFFSET($H$3,0,0,'Données projet'!$E$14+1,1))</f>
        <v>532.64469322244281</v>
      </c>
      <c r="DU93" s="59">
        <f t="shared" si="98"/>
        <v>525.88014011096413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3.4802421617770936</v>
      </c>
      <c r="EB93" s="21">
        <f>EXP(-LN(2)/25)*EB92+(1-EXP(-LN(2)/25))/(LN(2)/25)*Calculateur!DW93*Calculateur!DY93*VLOOKUP('Données projet'!$B$14,Paramètres!$A$1:$I$89,3,0)*0.475*44/12</f>
        <v>7.343535000555371</v>
      </c>
      <c r="EC93" s="21">
        <f>EXP(-LN(2)/2)*EC92+(1-EXP(-LN(2)/2))/(LN(2)/2)*DW93*DZ93*VLOOKUP('Données projet'!$B$14,Paramètres!$A$1:$I$89,3,0)*0.475*44/12</f>
        <v>3.3967095757866367E-8</v>
      </c>
      <c r="ED93" s="22">
        <f t="shared" si="72"/>
        <v>10.823777196299561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68.550947131231936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>
        <f>VLOOKUP(A93,'Données projet'!$A$191:$I$211,2,0)</f>
        <v>296</v>
      </c>
      <c r="EH93" s="12">
        <f>VLOOKUP(A93,'Données projet'!$A$191:$I$211,9,0)</f>
        <v>5.6</v>
      </c>
      <c r="EI93" s="12">
        <f t="array" ref="EI93">INDEX(EH:EH,MIN(IF(ISNUMBER(EH93:EH289),ROW(EH93:EH289),"")))</f>
        <v>5.6</v>
      </c>
      <c r="EJ93" s="12">
        <f>IF('Données projet'!$A$192&gt;35,EJ92+EI93-ER92,IF(A93&lt;'Données projet'!$A$192,$EG$205^A93,IF(A93='Données projet'!$A$192,'Données projet'!$B$192,EJ92+EI93-ER92)))</f>
        <v>296.00000000000045</v>
      </c>
      <c r="EK93" s="17">
        <f>EJ93*VLOOKUP('Données projet'!$B$15,Paramètres!$A$1:$I$89,3,0)*VLOOKUP('Données projet'!$B$15,Paramètres!$A$1:$I$89,5,0)</f>
        <v>267.82080000000042</v>
      </c>
      <c r="EL93" s="13">
        <f t="shared" si="99"/>
        <v>64.38657014789743</v>
      </c>
      <c r="EM93" s="20">
        <f t="shared" si="73"/>
        <v>578.59450300758874</v>
      </c>
      <c r="EN93" s="59">
        <f t="shared" si="74"/>
        <v>866.61464248877246</v>
      </c>
      <c r="EO93" s="59">
        <f ca="1">AVERAGE(OFFSET($EN$3,0,0,'Données projet'!$E$15+1,1))-AVERAGE(OFFSET($H$3,0,0,'Données projet'!$E$15+1,1))</f>
        <v>398.27843768730202</v>
      </c>
      <c r="EP93" s="59">
        <f t="shared" si="100"/>
        <v>252.3617347568813</v>
      </c>
      <c r="EQ93" s="15">
        <f>IF(ISNA(VLOOKUP(A93,'Données projet'!$A$191:$I$211,3,0)),0,VLOOKUP(A93,'Données projet'!$A$191:$I$211,3,0))</f>
        <v>7</v>
      </c>
      <c r="ER93" s="15">
        <f>IF(ISNA(VLOOKUP(A93,'Données projet'!$A$191:$I$211,4,0)),0,VLOOKUP(A93,'Données projet'!$A$191:$I$211,4,0))</f>
        <v>42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0</v>
      </c>
      <c r="EW93" s="21">
        <f>EXP(-LN(2)/25)*EW92+(1-EXP(-LN(2)/25))/(LN(2)/25)*Calculateur!ER93*Calculateur!ET93*VLOOKUP('Données projet'!$B$15,Paramètres!$A$1:$I$89,3,0)*0.475*44/12</f>
        <v>0.58846524282499868</v>
      </c>
      <c r="EX93" s="21">
        <f>EXP(-LN(2)/2)*EX92+(1-EXP(-LN(2)/2))/(LN(2)/2)*ER93*EU93*VLOOKUP('Données projet'!$B$15,Paramètres!$A$1:$I$89,3,0)*0.475*44/12</f>
        <v>5.7642793789770708E-9</v>
      </c>
      <c r="EY93" s="22">
        <f t="shared" si="75"/>
        <v>0.58846524858927807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68.550947131231936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>
        <f>VLOOKUP(A93,'Données projet'!$A$217:$I$237,2,0)</f>
        <v>296</v>
      </c>
      <c r="FC93" s="12">
        <f>VLOOKUP(A93,'Données projet'!$A$217:$I$237,9,0)</f>
        <v>5.6</v>
      </c>
      <c r="FD93" s="12">
        <f t="array" ref="FD93">INDEX(FC:FC,MIN(IF(ISNUMBER(FC93:FC289),ROW(FC93:FC289),"")))</f>
        <v>5.6</v>
      </c>
      <c r="FE93" s="12">
        <f>IF('Données projet'!$A$218&gt;35,FE92+FD93-FM92,IF(A93&lt;'Données projet'!$A$218,$FB$205^A93,IF(A93='Données projet'!$A$218,'Données projet'!$B$218,FE92+FD93-FM92)))</f>
        <v>296.00000000000045</v>
      </c>
      <c r="FF93" s="17">
        <f>FE93*VLOOKUP('Données projet'!$B$16,Paramètres!$A$1:$I$89,3,0)*VLOOKUP('Données projet'!$B$16,Paramètres!$A$1:$I$89,5,0)</f>
        <v>286.29120000000046</v>
      </c>
      <c r="FG93" s="13">
        <f t="shared" si="101"/>
        <v>68.294796094604521</v>
      </c>
      <c r="FH93" s="20">
        <f t="shared" si="76"/>
        <v>617.57060986477029</v>
      </c>
      <c r="FI93" s="59">
        <f t="shared" si="77"/>
        <v>905.59074934595401</v>
      </c>
      <c r="FJ93" s="59">
        <f ca="1">AVERAGE(OFFSET($FI$3,0,0,'Données projet'!$E$16+1,1))-AVERAGE(OFFSET($H$3,0,0,'Données projet'!$E$16+1,1))</f>
        <v>422.28024471365825</v>
      </c>
      <c r="FK93" s="59">
        <f t="shared" si="102"/>
        <v>266.49730479813206</v>
      </c>
      <c r="FL93" s="15">
        <f>IF(ISNA(VLOOKUP(A93,'Données projet'!$A$217:$I$237,3,0)),0,VLOOKUP(A93,'Données projet'!$A$217:$I$237,3,0))</f>
        <v>7</v>
      </c>
      <c r="FM93" s="15">
        <f>IF(ISNA(VLOOKUP(A93,'Données projet'!$A$217:$I$237,4,0)),0,VLOOKUP(A93,'Données projet'!$A$217:$I$237,4,0))</f>
        <v>42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0</v>
      </c>
      <c r="FR93" s="21">
        <f>EXP(-LN(2)/25)*FR92+(1-EXP(-LN(2)/25))/(LN(2)/25)*Calculateur!FM93*Calculateur!FO93*VLOOKUP('Données projet'!$B$16,Paramètres!$A$1:$I$89,3,0)*0.475*44/12</f>
        <v>0.62904905267499855</v>
      </c>
      <c r="FS93" s="21">
        <f>EXP(-LN(2)/2)*FS92+(1-EXP(-LN(2)/2))/(LN(2)/2)*FM93*FP93*VLOOKUP('Données projet'!$B$16,Paramètres!$A$1:$I$89,3,0)*0.475*44/12</f>
        <v>6.1618158878720401E-9</v>
      </c>
      <c r="FT93" s="22">
        <f t="shared" si="78"/>
        <v>0.62904905883681439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68.550947131231936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3.4106051316484809E-13</v>
      </c>
      <c r="GA93" s="17">
        <f>FZ93*VLOOKUP('Données projet'!$B$17,Paramètres!$A$1:$I$89,3,0)*VLOOKUP('Données projet'!$B$17,Paramètres!$A$1:$I$89,5,0)</f>
        <v>2.6602720026858149E-13</v>
      </c>
      <c r="GB93" s="13">
        <f t="shared" si="103"/>
        <v>3.5662905043956649E-12</v>
      </c>
      <c r="GC93" s="20">
        <f t="shared" si="79"/>
        <v>6.6746200022902298E-12</v>
      </c>
      <c r="GD93" s="59">
        <f t="shared" si="80"/>
        <v>288.02013948119043</v>
      </c>
      <c r="GE93" s="59">
        <f ca="1">AVERAGE(OFFSET($GD$3,0,0,'Données projet'!$E$17+1,1))-AVERAGE(OFFSET($H$3,0,0,'Données projet'!$E$17+1,1))</f>
        <v>300.95722646933314</v>
      </c>
      <c r="GF93" s="59">
        <f t="shared" si="104"/>
        <v>269.52365224623759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>
        <f>EXP(-LN(2)/35)*GL92+(1-EXP(-LN(2)/35))/(LN(2)/35)*GH93*GI93*VLOOKUP('Données projet'!$B$17,Paramètres!$A$1:$I$89,3,0)*0.475*44/12</f>
        <v>0.27118770091769534</v>
      </c>
      <c r="GM93" s="21">
        <f>EXP(-LN(2)/25)*GM92+(1-EXP(-LN(2)/25))/(LN(2)/25)*Calculateur!GH93*Calculateur!GJ93*VLOOKUP('Données projet'!$B$17,Paramètres!$A$1:$I$89,3,0)*0.475*44/12</f>
        <v>1.182098200102311</v>
      </c>
      <c r="GN93" s="21">
        <f>EXP(-LN(2)/2)*GN92+(1-EXP(-LN(2)/2))/(LN(2)/2)*GH93*GK93*VLOOKUP('Données projet'!$B$17,Paramètres!$A$1:$I$89,3,0)*0.475*44/12</f>
        <v>8.2505528072089372E-9</v>
      </c>
      <c r="GO93" s="21">
        <f t="shared" si="81"/>
        <v>1.4532859092705592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68.550947131231936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1.4000000000000001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5.1333333333333337</v>
      </c>
      <c r="H94" s="67">
        <f t="shared" si="56"/>
        <v>236.13333333333335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68.576084958908169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5.9</v>
      </c>
      <c r="N94" s="13">
        <f>IF('Données projet'!$A$36&gt;35,N93+M94-V93,IF(A94&lt;'Données projet'!$A$36,$K$205^A94,IF(A94='Données projet'!$A$36,'Données projet'!$B$36,N93+M94-V93)))</f>
        <v>307.89999999999998</v>
      </c>
      <c r="O94" s="13">
        <f>N94*VLOOKUP('Données projet'!$B$9,Paramètres!$A$1:$I$89,3,0)*VLOOKUP('Données projet'!$B$9,Paramètres!$A$1:$I$89,5,0)</f>
        <v>278.58791999999994</v>
      </c>
      <c r="P94" s="13">
        <f t="shared" si="87"/>
        <v>66.668508032294213</v>
      </c>
      <c r="Q94" s="20">
        <f t="shared" si="54"/>
        <v>601.32161215624558</v>
      </c>
      <c r="R94" s="59">
        <f t="shared" si="55"/>
        <v>889.43392367224214</v>
      </c>
      <c r="S94" s="59">
        <f ca="1">AVERAGE(OFFSET($R$3,0,0,'Données projet'!$E$9+1,1))-AVERAGE(OFFSET($H$3,0,0,'Données projet'!$E$9+1,1))</f>
        <v>479.46542424895119</v>
      </c>
      <c r="T94" s="59">
        <f t="shared" si="88"/>
        <v>337.96395820277337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0.71962112971607217</v>
      </c>
      <c r="AA94" s="21">
        <f>EXP(-LN(2)/25)*AA93+(1-EXP(-LN(2)/25))/(LN(2)/25)*Calculateur!V94*Calculateur!X94*VLOOKUP('Données projet'!$B$9,Paramètres!$A$1:$I$89,3,0)*0.475*44/12</f>
        <v>2.0792389815196439</v>
      </c>
      <c r="AB94" s="21">
        <f>EXP(-LN(2)/2)*AB93+(1-EXP(-LN(2)/2))/(LN(2)/2)*V94*Y94*VLOOKUP('Données projet'!$B$9,Paramètres!$A$1:$I$89,3,0)*0.475*44/12</f>
        <v>1.4193831561289933E-8</v>
      </c>
      <c r="AC94" s="22">
        <f t="shared" si="57"/>
        <v>2.7988601254295475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68.576084958908169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5.9</v>
      </c>
      <c r="AI94" s="13">
        <f>IF('Données projet'!$A$62&gt;35,AI93+AH94-AQ93,IF(A94&lt;'Données projet'!$A$62,$AF$205^A94,IF(A94='Données projet'!$A$62,'Données projet'!$B$62,AI93+AH94-AQ93)))</f>
        <v>307.89999999999998</v>
      </c>
      <c r="AJ94" s="13">
        <f>AI94*VLOOKUP('Données projet'!$B$10,Paramètres!$A$1:$I$89,3,0)*VLOOKUP('Données projet'!$B$10,Paramètres!$A$1:$I$89,5,0)</f>
        <v>297.80088000000001</v>
      </c>
      <c r="AK94" s="13">
        <f t="shared" si="89"/>
        <v>70.715246231293804</v>
      </c>
      <c r="AL94" s="20">
        <f t="shared" si="58"/>
        <v>641.83225318617008</v>
      </c>
      <c r="AM94" s="59">
        <f t="shared" si="59"/>
        <v>929.94456470216664</v>
      </c>
      <c r="AN94" s="59">
        <f ca="1">AVERAGE(OFFSET($AM$3,0,0,'Données projet'!$E$10+1,1))-AVERAGE(OFFSET($H$3,0,0,'Données projet'!$E$10+1,1))</f>
        <v>508.94560627895089</v>
      </c>
      <c r="AO94" s="59">
        <f t="shared" si="90"/>
        <v>357.86868650263034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0.7692501731447674</v>
      </c>
      <c r="AV94" s="21">
        <f>EXP(-LN(2)/25)*AV93+(1-EXP(-LN(2)/25))/(LN(2)/25)*Calculateur!AQ94*Calculateur!AS94*VLOOKUP('Données projet'!$B$10,Paramètres!$A$1:$I$89,3,0)*0.475*44/12</f>
        <v>2.2226347733485854</v>
      </c>
      <c r="AW94" s="21">
        <f>EXP(-LN(2)/2)*AW93+(1-EXP(-LN(2)/2))/(LN(2)/2)*AQ94*AT94*VLOOKUP('Données projet'!$B$10,Paramètres!$A$1:$I$89,3,0)*0.475*44/12</f>
        <v>1.5172716496551239E-8</v>
      </c>
      <c r="AX94" s="21">
        <f t="shared" si="60"/>
        <v>2.9918849616660692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68.576084958908169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1.7053025658242404E-13</v>
      </c>
      <c r="BE94" s="13">
        <f>BD94*VLOOKUP('Données projet'!$B$11,Paramètres!$A$1:$I$89,3,0)*VLOOKUP('Données projet'!$B$11,Paramètres!$A$1:$I$89,5,0)</f>
        <v>1.3301360013429075E-13</v>
      </c>
      <c r="BF94" s="13">
        <f t="shared" si="91"/>
        <v>1.9329766731057041E-12</v>
      </c>
      <c r="BG94" s="20">
        <f t="shared" si="61"/>
        <v>3.5982663925596575E-12</v>
      </c>
      <c r="BH94" s="59">
        <f t="shared" si="62"/>
        <v>288.1123115160002</v>
      </c>
      <c r="BI94" s="59">
        <f ca="1">AVERAGE(OFFSET($BH$3,0,0,'Données projet'!$E$11+1,1))-AVERAGE(OFFSET($H$3,0,0,'Données projet'!$E$11+1,1))</f>
        <v>383.03154033422328</v>
      </c>
      <c r="BJ94" s="59">
        <f t="shared" si="92"/>
        <v>373.27897156169877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0.43203854770515426</v>
      </c>
      <c r="BQ94" s="21">
        <f>EXP(-LN(2)/25)*BQ93+(1-EXP(-LN(2)/25))/(LN(2)/25)*Calculateur!BL94*Calculateur!BN94*VLOOKUP('Données projet'!$B$11,Paramètres!$A$1:$I$89,3,0)*0.475*44/12</f>
        <v>1.5425873191932726</v>
      </c>
      <c r="BR94" s="21">
        <f>EXP(-LN(2)/2)*BR93+(1-EXP(-LN(2)/2))/(LN(2)/2)*BL94*BO94*VLOOKUP('Données projet'!$B$11,Paramètres!$A$1:$I$89,3,0)*0.475*44/12</f>
        <v>8.6079535362637686E-9</v>
      </c>
      <c r="BS94" s="22">
        <f t="shared" si="63"/>
        <v>1.9746258755063804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68.576084958908169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5.9</v>
      </c>
      <c r="BY94" s="12">
        <f>IF('Données projet'!$A$114&gt;35,BY93+BX94-CG93,IF(A94&lt;'Données projet'!$A$114,$BV$205^A94,IF(A94='Données projet'!$A$114,'Données projet'!$B$114,BY93+BX94-CG93)))</f>
        <v>307.89999999999998</v>
      </c>
      <c r="BZ94" s="13">
        <f>BY94*VLOOKUP('Données projet'!$B$12,Paramètres!$A$1:$I$89,3,0)*VLOOKUP('Données projet'!$B$12,Paramètres!$A$1:$I$89,5,0)</f>
        <v>259.37495999999999</v>
      </c>
      <c r="CA94" s="13">
        <f t="shared" si="93"/>
        <v>62.589126028863561</v>
      </c>
      <c r="CB94" s="20">
        <f t="shared" si="64"/>
        <v>560.7541165002707</v>
      </c>
      <c r="CC94" s="59">
        <f t="shared" si="65"/>
        <v>848.86642801626726</v>
      </c>
      <c r="CD94" s="59">
        <f ca="1">AVERAGE(OFFSET($CC$3,0,0,'Données projet'!$E$12+1,1))-AVERAGE(OFFSET($H$3,0,0,'Données projet'!$E$12+1,1))</f>
        <v>449.94334483948603</v>
      </c>
      <c r="CE94" s="59">
        <f t="shared" si="94"/>
        <v>318.02929110264176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0.6699920862873775</v>
      </c>
      <c r="CL94" s="21">
        <f>EXP(-LN(2)/25)*CL93+(1-EXP(-LN(2)/25))/(LN(2)/25)*Calculateur!CG94*Calculateur!CI94*VLOOKUP('Données projet'!$B$12,Paramètres!$A$1:$I$89,3,0)*0.475*44/12</f>
        <v>1.9358431896907036</v>
      </c>
      <c r="CM94" s="21">
        <f>EXP(-LN(2)/2)*CM93+(1-EXP(-LN(2)/2))/(LN(2)/2)*CG94*CJ94*VLOOKUP('Données projet'!$B$12,Paramètres!$A$1:$I$89,3,0)*0.475*44/12</f>
        <v>1.3214946626028513E-8</v>
      </c>
      <c r="CN94" s="22">
        <f t="shared" si="66"/>
        <v>2.6058352891930276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68.576084958908169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7.4</v>
      </c>
      <c r="CT94" s="12">
        <f>IF('Données projet'!$A$140&gt;35,CT93+CS94-DB93,IF(A94&lt;'Données projet'!$A$140,$CQ$205^A94,IF(A94='Données projet'!$A$140,'Données projet'!$B$140,CT93+CS94-DB93)))</f>
        <v>358.40000000000032</v>
      </c>
      <c r="CU94" s="17">
        <f>CT94*VLOOKUP('Données projet'!$B$13,Paramètres!$A$1:$I$89,3,0)*VLOOKUP('Données projet'!$B$13,Paramètres!$A$1:$I$89,5,0)</f>
        <v>307.50720000000035</v>
      </c>
      <c r="CV94" s="13">
        <f t="shared" si="95"/>
        <v>72.74798994294045</v>
      </c>
      <c r="CW94" s="20">
        <f t="shared" si="67"/>
        <v>662.27778915062186</v>
      </c>
      <c r="CX94" s="59">
        <f t="shared" si="68"/>
        <v>950.39010066661854</v>
      </c>
      <c r="CY94" s="59">
        <f ca="1">AVERAGE(OFFSET($CX$3,0,0,'Données projet'!$E$13+1,1))-AVERAGE(OFFSET($H$3,0,0,'Données projet'!$E$13+1,1))</f>
        <v>565.32667500225568</v>
      </c>
      <c r="CZ94" s="59">
        <f t="shared" si="96"/>
        <v>275.06957234480944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0</v>
      </c>
      <c r="DG94" s="21">
        <f>EXP(-LN(2)/25)*DG93+(1-EXP(-LN(2)/25))/(LN(2)/25)*Calculateur!DB94*Calculateur!DD94*VLOOKUP('Données projet'!$B$13,Paramètres!$A$1:$I$89,3,0)*0.475*44/12</f>
        <v>0.80740562981173836</v>
      </c>
      <c r="DH94" s="21">
        <f>EXP(-LN(2)/2)*DH93+(1-EXP(-LN(2)/2))/(LN(2)/2)*DB94*DE94*VLOOKUP('Données projet'!$B$13,Paramètres!$A$1:$I$89,3,0)*0.475*44/12</f>
        <v>4.6648186666125454E-9</v>
      </c>
      <c r="DI94" s="22">
        <f t="shared" si="69"/>
        <v>0.807405634476557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68.576084958908169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-1.2505552149377763E-12</v>
      </c>
      <c r="DP94" s="17">
        <f>DO94*VLOOKUP('Données projet'!$B$14,Paramètres!$A$1:$I$89,3,0)*VLOOKUP('Données projet'!$B$14,Paramètres!$A$1:$I$89,5,0)</f>
        <v>-6.9906036515021697E-13</v>
      </c>
      <c r="DQ94" s="13" t="e">
        <f t="shared" si="97"/>
        <v>#NUM!</v>
      </c>
      <c r="DR94" s="20" t="e">
        <f t="shared" si="70"/>
        <v>#NUM!</v>
      </c>
      <c r="DS94" s="59" t="e">
        <f t="shared" si="71"/>
        <v>#NUM!</v>
      </c>
      <c r="DT94" s="59">
        <f ca="1">AVERAGE(OFFSET($DS$3,0,0,'Données projet'!$E$14+1,1))-AVERAGE(OFFSET($H$3,0,0,'Données projet'!$E$14+1,1))</f>
        <v>532.64469322244281</v>
      </c>
      <c r="DU94" s="59">
        <f t="shared" si="98"/>
        <v>525.88014011096413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3.4119967357227603</v>
      </c>
      <c r="EB94" s="21">
        <f>EXP(-LN(2)/25)*EB93+(1-EXP(-LN(2)/25))/(LN(2)/25)*Calculateur!DW94*Calculateur!DY94*VLOOKUP('Données projet'!$B$14,Paramètres!$A$1:$I$89,3,0)*0.475*44/12</f>
        <v>7.1427256497854623</v>
      </c>
      <c r="EC94" s="21">
        <f>EXP(-LN(2)/2)*EC93+(1-EXP(-LN(2)/2))/(LN(2)/2)*DW94*DZ94*VLOOKUP('Données projet'!$B$14,Paramètres!$A$1:$I$89,3,0)*0.475*44/12</f>
        <v>2.401836374760012E-8</v>
      </c>
      <c r="ED94" s="22">
        <f t="shared" si="72"/>
        <v>10.554722409526587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68.576084958908169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4.9000000000000004</v>
      </c>
      <c r="EJ94" s="12">
        <f>IF('Données projet'!$A$192&gt;35,EJ93+EI94-ER93,IF(A94&lt;'Données projet'!$A$192,$EG$205^A94,IF(A94='Données projet'!$A$192,'Données projet'!$B$192,EJ93+EI94-ER93)))</f>
        <v>258.90000000000043</v>
      </c>
      <c r="EK94" s="17">
        <f>EJ94*VLOOKUP('Données projet'!$B$15,Paramètres!$A$1:$I$89,3,0)*VLOOKUP('Données projet'!$B$15,Paramètres!$A$1:$I$89,5,0)</f>
        <v>234.25272000000038</v>
      </c>
      <c r="EL94" s="13">
        <f t="shared" si="99"/>
        <v>57.2012362311714</v>
      </c>
      <c r="EM94" s="20">
        <f t="shared" si="73"/>
        <v>507.61564043595746</v>
      </c>
      <c r="EN94" s="59">
        <f t="shared" si="74"/>
        <v>795.72795195195408</v>
      </c>
      <c r="EO94" s="59">
        <f ca="1">AVERAGE(OFFSET($EN$3,0,0,'Données projet'!$E$15+1,1))-AVERAGE(OFFSET($H$3,0,0,'Données projet'!$E$15+1,1))</f>
        <v>398.27843768730202</v>
      </c>
      <c r="EP94" s="59">
        <f t="shared" si="100"/>
        <v>252.3617347568813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0</v>
      </c>
      <c r="EW94" s="21">
        <f>EXP(-LN(2)/25)*EW93+(1-EXP(-LN(2)/25))/(LN(2)/25)*Calculateur!ER94*Calculateur!ET94*VLOOKUP('Données projet'!$B$15,Paramètres!$A$1:$I$89,3,0)*0.475*44/12</f>
        <v>0.57237362981390694</v>
      </c>
      <c r="EX94" s="21">
        <f>EXP(-LN(2)/2)*EX93+(1-EXP(-LN(2)/2))/(LN(2)/2)*ER94*EU94*VLOOKUP('Données projet'!$B$15,Paramètres!$A$1:$I$89,3,0)*0.475*44/12</f>
        <v>4.0759610375284676E-9</v>
      </c>
      <c r="EY94" s="22">
        <f t="shared" si="75"/>
        <v>0.57237363388986795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68.576084958908169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4.9000000000000004</v>
      </c>
      <c r="FE94" s="12">
        <f>IF('Données projet'!$A$218&gt;35,FE93+FD94-FM93,IF(A94&lt;'Données projet'!$A$218,$FB$205^A94,IF(A94='Données projet'!$A$218,'Données projet'!$B$218,FE93+FD94-FM93)))</f>
        <v>258.90000000000043</v>
      </c>
      <c r="FF94" s="17">
        <f>FE94*VLOOKUP('Données projet'!$B$16,Paramètres!$A$1:$I$89,3,0)*VLOOKUP('Données projet'!$B$16,Paramètres!$A$1:$I$89,5,0)</f>
        <v>250.40808000000041</v>
      </c>
      <c r="FG94" s="13">
        <f t="shared" si="101"/>
        <v>60.673316745925817</v>
      </c>
      <c r="FH94" s="20">
        <f t="shared" si="76"/>
        <v>541.80009933248812</v>
      </c>
      <c r="FI94" s="59">
        <f t="shared" si="77"/>
        <v>829.9124108484848</v>
      </c>
      <c r="FJ94" s="59">
        <f ca="1">AVERAGE(OFFSET($FI$3,0,0,'Données projet'!$E$16+1,1))-AVERAGE(OFFSET($H$3,0,0,'Données projet'!$E$16+1,1))</f>
        <v>422.28024471365825</v>
      </c>
      <c r="FK94" s="59">
        <f t="shared" si="102"/>
        <v>266.49730479813206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0</v>
      </c>
      <c r="FR94" s="21">
        <f>EXP(-LN(2)/25)*FR93+(1-EXP(-LN(2)/25))/(LN(2)/25)*Calculateur!FM94*Calculateur!FO94*VLOOKUP('Données projet'!$B$16,Paramètres!$A$1:$I$89,3,0)*0.475*44/12</f>
        <v>0.61184767324934874</v>
      </c>
      <c r="FS94" s="21">
        <f>EXP(-LN(2)/2)*FS93+(1-EXP(-LN(2)/2))/(LN(2)/2)*FM94*FP94*VLOOKUP('Données projet'!$B$16,Paramètres!$A$1:$I$89,3,0)*0.475*44/12</f>
        <v>4.3570617987373266E-9</v>
      </c>
      <c r="FT94" s="22">
        <f t="shared" si="78"/>
        <v>0.61184767760641057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68.576084958908169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3.4106051316484809E-13</v>
      </c>
      <c r="GA94" s="17">
        <f>FZ94*VLOOKUP('Données projet'!$B$17,Paramètres!$A$1:$I$89,3,0)*VLOOKUP('Données projet'!$B$17,Paramètres!$A$1:$I$89,5,0)</f>
        <v>2.6602720026858149E-13</v>
      </c>
      <c r="GB94" s="13">
        <f t="shared" si="103"/>
        <v>3.5662905043956649E-12</v>
      </c>
      <c r="GC94" s="20">
        <f t="shared" si="79"/>
        <v>6.6746200022902298E-12</v>
      </c>
      <c r="GD94" s="59">
        <f t="shared" si="80"/>
        <v>288.11231151600327</v>
      </c>
      <c r="GE94" s="59">
        <f ca="1">AVERAGE(OFFSET($GD$3,0,0,'Données projet'!$E$17+1,1))-AVERAGE(OFFSET($H$3,0,0,'Données projet'!$E$17+1,1))</f>
        <v>300.95722646933314</v>
      </c>
      <c r="GF94" s="59">
        <f t="shared" si="104"/>
        <v>269.52365224623759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>
        <f>EXP(-LN(2)/35)*GL93+(1-EXP(-LN(2)/35))/(LN(2)/35)*GH94*GI94*VLOOKUP('Données projet'!$B$17,Paramètres!$A$1:$I$89,3,0)*0.475*44/12</f>
        <v>0.26586987551086422</v>
      </c>
      <c r="GM94" s="21">
        <f>EXP(-LN(2)/25)*GM93+(1-EXP(-LN(2)/25))/(LN(2)/25)*Calculateur!GH94*Calculateur!GJ94*VLOOKUP('Données projet'!$B$17,Paramètres!$A$1:$I$89,3,0)*0.475*44/12</f>
        <v>1.1497736626566708</v>
      </c>
      <c r="GN94" s="21">
        <f>EXP(-LN(2)/2)*GN93+(1-EXP(-LN(2)/2))/(LN(2)/2)*GH94*GK94*VLOOKUP('Données projet'!$B$17,Paramètres!$A$1:$I$89,3,0)*0.475*44/12</f>
        <v>5.8340218385151455E-9</v>
      </c>
      <c r="GO94" s="21">
        <f t="shared" si="81"/>
        <v>1.4156435440015569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68.576084958908169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1.4000000000000001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5.1333333333333337</v>
      </c>
      <c r="H95" s="67">
        <f t="shared" si="56"/>
        <v>236.13333333333335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68.600786701473993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5.9</v>
      </c>
      <c r="N95" s="13">
        <f>IF('Données projet'!$A$36&gt;35,N94+M95-V94,IF(A95&lt;'Données projet'!$A$36,$K$205^A95,IF(A95='Données projet'!$A$36,'Données projet'!$B$36,N94+M95-V94)))</f>
        <v>313.79999999999995</v>
      </c>
      <c r="O95" s="13">
        <f>N95*VLOOKUP('Données projet'!$B$9,Paramètres!$A$1:$I$89,3,0)*VLOOKUP('Données projet'!$B$9,Paramètres!$A$1:$I$89,5,0)</f>
        <v>283.92623999999995</v>
      </c>
      <c r="P95" s="13">
        <f t="shared" si="87"/>
        <v>67.796062628528304</v>
      </c>
      <c r="Q95" s="20">
        <f t="shared" si="54"/>
        <v>612.58301041135337</v>
      </c>
      <c r="R95" s="59">
        <f t="shared" si="55"/>
        <v>900.78589498342467</v>
      </c>
      <c r="S95" s="59">
        <f ca="1">AVERAGE(OFFSET($R$3,0,0,'Données projet'!$E$9+1,1))-AVERAGE(OFFSET($H$3,0,0,'Données projet'!$E$9+1,1))</f>
        <v>479.46542424895119</v>
      </c>
      <c r="T95" s="59">
        <f t="shared" si="88"/>
        <v>337.96395820277337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0.70550979828788885</v>
      </c>
      <c r="AA95" s="21">
        <f>EXP(-LN(2)/25)*AA94+(1-EXP(-LN(2)/25))/(LN(2)/25)*Calculateur!V95*Calculateur!X95*VLOOKUP('Données projet'!$B$9,Paramètres!$A$1:$I$89,3,0)*0.475*44/12</f>
        <v>2.0223820822275633</v>
      </c>
      <c r="AB95" s="21">
        <f>EXP(-LN(2)/2)*AB94+(1-EXP(-LN(2)/2))/(LN(2)/2)*V95*Y95*VLOOKUP('Données projet'!$B$9,Paramètres!$A$1:$I$89,3,0)*0.475*44/12</f>
        <v>1.0036554548007754E-8</v>
      </c>
      <c r="AC95" s="22">
        <f t="shared" si="57"/>
        <v>2.7278918905520069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68.600786701473993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5.9</v>
      </c>
      <c r="AI95" s="13">
        <f>IF('Données projet'!$A$62&gt;35,AI94+AH95-AQ94,IF(A95&lt;'Données projet'!$A$62,$AF$205^A95,IF(A95='Données projet'!$A$62,'Données projet'!$B$62,AI94+AH95-AQ94)))</f>
        <v>313.79999999999995</v>
      </c>
      <c r="AJ95" s="13">
        <f>AI95*VLOOKUP('Données projet'!$B$10,Paramètres!$A$1:$I$89,3,0)*VLOOKUP('Données projet'!$B$10,Paramètres!$A$1:$I$89,5,0)</f>
        <v>303.50736000000001</v>
      </c>
      <c r="AK95" s="13">
        <f t="shared" si="89"/>
        <v>71.911242710970484</v>
      </c>
      <c r="AL95" s="20">
        <f t="shared" si="58"/>
        <v>653.85406638827351</v>
      </c>
      <c r="AM95" s="59">
        <f t="shared" si="59"/>
        <v>942.05695096034481</v>
      </c>
      <c r="AN95" s="59">
        <f ca="1">AVERAGE(OFFSET($AM$3,0,0,'Données projet'!$E$10+1,1))-AVERAGE(OFFSET($H$3,0,0,'Données projet'!$E$10+1,1))</f>
        <v>508.94560627895089</v>
      </c>
      <c r="AO95" s="59">
        <f t="shared" si="90"/>
        <v>357.86868650263034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0.75416564644567485</v>
      </c>
      <c r="AV95" s="21">
        <f>EXP(-LN(2)/25)*AV94+(1-EXP(-LN(2)/25))/(LN(2)/25)*Calculateur!AQ95*Calculateur!AS95*VLOOKUP('Données projet'!$B$10,Paramètres!$A$1:$I$89,3,0)*0.475*44/12</f>
        <v>2.1618567085880853</v>
      </c>
      <c r="AW95" s="21">
        <f>EXP(-LN(2)/2)*AW94+(1-EXP(-LN(2)/2))/(LN(2)/2)*AQ95*AT95*VLOOKUP('Données projet'!$B$10,Paramètres!$A$1:$I$89,3,0)*0.475*44/12</f>
        <v>1.0728730723732377E-8</v>
      </c>
      <c r="AX95" s="21">
        <f t="shared" si="60"/>
        <v>2.9160223657624909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68.600786701473993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1.7053025658242404E-13</v>
      </c>
      <c r="BE95" s="13">
        <f>BD95*VLOOKUP('Données projet'!$B$11,Paramètres!$A$1:$I$89,3,0)*VLOOKUP('Données projet'!$B$11,Paramètres!$A$1:$I$89,5,0)</f>
        <v>1.3301360013429075E-13</v>
      </c>
      <c r="BF95" s="13">
        <f t="shared" si="91"/>
        <v>1.9329766731057041E-12</v>
      </c>
      <c r="BG95" s="20">
        <f t="shared" si="61"/>
        <v>3.5982663925596575E-12</v>
      </c>
      <c r="BH95" s="59">
        <f t="shared" si="62"/>
        <v>288.20288457207488</v>
      </c>
      <c r="BI95" s="59">
        <f ca="1">AVERAGE(OFFSET($BH$3,0,0,'Données projet'!$E$11+1,1))-AVERAGE(OFFSET($H$3,0,0,'Données projet'!$E$11+1,1))</f>
        <v>383.03154033422328</v>
      </c>
      <c r="BJ95" s="59">
        <f t="shared" si="92"/>
        <v>373.27897156169877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0.4235665353021501</v>
      </c>
      <c r="BQ95" s="21">
        <f>EXP(-LN(2)/25)*BQ94+(1-EXP(-LN(2)/25))/(LN(2)/25)*Calculateur!BL95*Calculateur!BN95*VLOOKUP('Données projet'!$B$11,Paramètres!$A$1:$I$89,3,0)*0.475*44/12</f>
        <v>1.5004051878287912</v>
      </c>
      <c r="BR95" s="21">
        <f>EXP(-LN(2)/2)*BR94+(1-EXP(-LN(2)/2))/(LN(2)/2)*BL95*BO95*VLOOKUP('Données projet'!$B$11,Paramètres!$A$1:$I$89,3,0)*0.475*44/12</f>
        <v>6.0867423176308327E-9</v>
      </c>
      <c r="BS95" s="22">
        <f t="shared" si="63"/>
        <v>1.9239717292176834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68.600786701473993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5.9</v>
      </c>
      <c r="BY95" s="12">
        <f>IF('Données projet'!$A$114&gt;35,BY94+BX95-CG94,IF(A95&lt;'Données projet'!$A$114,$BV$205^A95,IF(A95='Données projet'!$A$114,'Données projet'!$B$114,BY94+BX95-CG94)))</f>
        <v>313.79999999999995</v>
      </c>
      <c r="BZ95" s="13">
        <f>BY95*VLOOKUP('Données projet'!$B$12,Paramètres!$A$1:$I$89,3,0)*VLOOKUP('Données projet'!$B$12,Paramètres!$A$1:$I$89,5,0)</f>
        <v>264.34512000000001</v>
      </c>
      <c r="CA95" s="13">
        <f t="shared" si="93"/>
        <v>63.647686641828493</v>
      </c>
      <c r="CB95" s="20">
        <f t="shared" si="64"/>
        <v>571.25413823451788</v>
      </c>
      <c r="CC95" s="59">
        <f t="shared" si="65"/>
        <v>859.45702280658918</v>
      </c>
      <c r="CD95" s="59">
        <f ca="1">AVERAGE(OFFSET($CC$3,0,0,'Données projet'!$E$12+1,1))-AVERAGE(OFFSET($H$3,0,0,'Données projet'!$E$12+1,1))</f>
        <v>449.94334483948603</v>
      </c>
      <c r="CE95" s="59">
        <f t="shared" si="94"/>
        <v>318.02929110264176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0.65685395013010339</v>
      </c>
      <c r="CL95" s="21">
        <f>EXP(-LN(2)/25)*CL94+(1-EXP(-LN(2)/25))/(LN(2)/25)*Calculateur!CG95*Calculateur!CI95*VLOOKUP('Données projet'!$B$12,Paramètres!$A$1:$I$89,3,0)*0.475*44/12</f>
        <v>1.8829074558670424</v>
      </c>
      <c r="CM95" s="21">
        <f>EXP(-LN(2)/2)*CM94+(1-EXP(-LN(2)/2))/(LN(2)/2)*CG95*CJ95*VLOOKUP('Données projet'!$B$12,Paramètres!$A$1:$I$89,3,0)*0.475*44/12</f>
        <v>9.3443783722830478E-9</v>
      </c>
      <c r="CN95" s="22">
        <f t="shared" si="66"/>
        <v>2.5397614153415238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68.600786701473993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7.4</v>
      </c>
      <c r="CT95" s="12">
        <f>IF('Données projet'!$A$140&gt;35,CT94+CS95-DB94,IF(A95&lt;'Données projet'!$A$140,$CQ$205^A95,IF(A95='Données projet'!$A$140,'Données projet'!$B$140,CT94+CS95-DB94)))</f>
        <v>365.8000000000003</v>
      </c>
      <c r="CU95" s="17">
        <f>CT95*VLOOKUP('Données projet'!$B$13,Paramètres!$A$1:$I$89,3,0)*VLOOKUP('Données projet'!$B$13,Paramètres!$A$1:$I$89,5,0)</f>
        <v>313.85640000000029</v>
      </c>
      <c r="CV95" s="13">
        <f t="shared" si="95"/>
        <v>74.073619568253108</v>
      </c>
      <c r="CW95" s="20">
        <f t="shared" si="67"/>
        <v>675.64478408137461</v>
      </c>
      <c r="CX95" s="59">
        <f t="shared" si="68"/>
        <v>963.84766865344591</v>
      </c>
      <c r="CY95" s="59">
        <f ca="1">AVERAGE(OFFSET($CX$3,0,0,'Données projet'!$E$13+1,1))-AVERAGE(OFFSET($H$3,0,0,'Données projet'!$E$13+1,1))</f>
        <v>565.32667500225568</v>
      </c>
      <c r="CZ95" s="59">
        <f t="shared" si="96"/>
        <v>275.06957234480944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0</v>
      </c>
      <c r="DG95" s="21">
        <f>EXP(-LN(2)/25)*DG94+(1-EXP(-LN(2)/25))/(LN(2)/25)*Calculateur!DB95*Calculateur!DD95*VLOOKUP('Données projet'!$B$13,Paramètres!$A$1:$I$89,3,0)*0.475*44/12</f>
        <v>0.78532708040491961</v>
      </c>
      <c r="DH95" s="21">
        <f>EXP(-LN(2)/2)*DH94+(1-EXP(-LN(2)/2))/(LN(2)/2)*DB95*DE95*VLOOKUP('Données projet'!$B$13,Paramètres!$A$1:$I$89,3,0)*0.475*44/12</f>
        <v>3.2985249121673196E-9</v>
      </c>
      <c r="DI95" s="22">
        <f t="shared" si="69"/>
        <v>0.78532708370344451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68.600786701473993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-1.2505552149377763E-12</v>
      </c>
      <c r="DP95" s="17">
        <f>DO95*VLOOKUP('Données projet'!$B$14,Paramètres!$A$1:$I$89,3,0)*VLOOKUP('Données projet'!$B$14,Paramètres!$A$1:$I$89,5,0)</f>
        <v>-6.9906036515021697E-13</v>
      </c>
      <c r="DQ95" s="13" t="e">
        <f t="shared" si="97"/>
        <v>#NUM!</v>
      </c>
      <c r="DR95" s="20" t="e">
        <f t="shared" si="70"/>
        <v>#NUM!</v>
      </c>
      <c r="DS95" s="59" t="e">
        <f t="shared" si="71"/>
        <v>#NUM!</v>
      </c>
      <c r="DT95" s="59">
        <f ca="1">AVERAGE(OFFSET($DS$3,0,0,'Données projet'!$E$14+1,1))-AVERAGE(OFFSET($H$3,0,0,'Données projet'!$E$14+1,1))</f>
        <v>532.64469322244281</v>
      </c>
      <c r="DU95" s="59">
        <f t="shared" si="98"/>
        <v>525.88014011096413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3.3450895608477529</v>
      </c>
      <c r="EB95" s="21">
        <f>EXP(-LN(2)/25)*EB94+(1-EXP(-LN(2)/25))/(LN(2)/25)*Calculateur!DW95*Calculateur!DY95*VLOOKUP('Données projet'!$B$14,Paramètres!$A$1:$I$89,3,0)*0.475*44/12</f>
        <v>6.9474074412724622</v>
      </c>
      <c r="EC95" s="21">
        <f>EXP(-LN(2)/2)*EC94+(1-EXP(-LN(2)/2))/(LN(2)/2)*DW95*DZ95*VLOOKUP('Données projet'!$B$14,Paramètres!$A$1:$I$89,3,0)*0.475*44/12</f>
        <v>1.6983547878933184E-8</v>
      </c>
      <c r="ED95" s="22">
        <f t="shared" si="72"/>
        <v>10.292497019103761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68.600786701473993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4.9000000000000004</v>
      </c>
      <c r="EJ95" s="12">
        <f>IF('Données projet'!$A$192&gt;35,EJ94+EI95-ER94,IF(A95&lt;'Données projet'!$A$192,$EG$205^A95,IF(A95='Données projet'!$A$192,'Données projet'!$B$192,EJ94+EI95-ER94)))</f>
        <v>263.80000000000041</v>
      </c>
      <c r="EK95" s="17">
        <f>EJ95*VLOOKUP('Données projet'!$B$15,Paramètres!$A$1:$I$89,3,0)*VLOOKUP('Données projet'!$B$15,Paramètres!$A$1:$I$89,5,0)</f>
        <v>238.68624000000034</v>
      </c>
      <c r="EL95" s="13">
        <f t="shared" si="99"/>
        <v>58.156778382060978</v>
      </c>
      <c r="EM95" s="20">
        <f t="shared" si="73"/>
        <v>517.00159034875685</v>
      </c>
      <c r="EN95" s="59">
        <f t="shared" si="74"/>
        <v>805.20447492082815</v>
      </c>
      <c r="EO95" s="59">
        <f ca="1">AVERAGE(OFFSET($EN$3,0,0,'Données projet'!$E$15+1,1))-AVERAGE(OFFSET($H$3,0,0,'Données projet'!$E$15+1,1))</f>
        <v>398.27843768730202</v>
      </c>
      <c r="EP95" s="59">
        <f t="shared" si="100"/>
        <v>252.3617347568813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0</v>
      </c>
      <c r="EW95" s="21">
        <f>EXP(-LN(2)/25)*EW94+(1-EXP(-LN(2)/25))/(LN(2)/25)*Calculateur!ER95*Calculateur!ET95*VLOOKUP('Données projet'!$B$15,Paramètres!$A$1:$I$89,3,0)*0.475*44/12</f>
        <v>0.55672204280682469</v>
      </c>
      <c r="EX95" s="21">
        <f>EXP(-LN(2)/2)*EX94+(1-EXP(-LN(2)/2))/(LN(2)/2)*ER95*EU95*VLOOKUP('Données projet'!$B$15,Paramètres!$A$1:$I$89,3,0)*0.475*44/12</f>
        <v>2.8821396894885354E-9</v>
      </c>
      <c r="EY95" s="22">
        <f t="shared" si="75"/>
        <v>0.55672204568896433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68.600786701473993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4.9000000000000004</v>
      </c>
      <c r="FE95" s="12">
        <f>IF('Données projet'!$A$218&gt;35,FE94+FD95-FM94,IF(A95&lt;'Données projet'!$A$218,$FB$205^A95,IF(A95='Données projet'!$A$218,'Données projet'!$B$218,FE94+FD95-FM94)))</f>
        <v>263.80000000000041</v>
      </c>
      <c r="FF95" s="17">
        <f>FE95*VLOOKUP('Données projet'!$B$16,Paramètres!$A$1:$I$89,3,0)*VLOOKUP('Données projet'!$B$16,Paramètres!$A$1:$I$89,5,0)</f>
        <v>255.14736000000039</v>
      </c>
      <c r="FG95" s="13">
        <f t="shared" si="101"/>
        <v>61.686859728645757</v>
      </c>
      <c r="FH95" s="20">
        <f t="shared" si="76"/>
        <v>551.81959936072542</v>
      </c>
      <c r="FI95" s="59">
        <f t="shared" si="77"/>
        <v>840.02248393279672</v>
      </c>
      <c r="FJ95" s="59">
        <f ca="1">AVERAGE(OFFSET($FI$3,0,0,'Données projet'!$E$16+1,1))-AVERAGE(OFFSET($H$3,0,0,'Données projet'!$E$16+1,1))</f>
        <v>422.28024471365825</v>
      </c>
      <c r="FK95" s="59">
        <f t="shared" si="102"/>
        <v>266.49730479813206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0</v>
      </c>
      <c r="FR95" s="21">
        <f>EXP(-LN(2)/25)*FR94+(1-EXP(-LN(2)/25))/(LN(2)/25)*Calculateur!FM95*Calculateur!FO95*VLOOKUP('Données projet'!$B$16,Paramètres!$A$1:$I$89,3,0)*0.475*44/12</f>
        <v>0.59511666644867456</v>
      </c>
      <c r="FS95" s="21">
        <f>EXP(-LN(2)/2)*FS94+(1-EXP(-LN(2)/2))/(LN(2)/2)*FM95*FP95*VLOOKUP('Données projet'!$B$16,Paramètres!$A$1:$I$89,3,0)*0.475*44/12</f>
        <v>3.08090794393602E-9</v>
      </c>
      <c r="FT95" s="22">
        <f t="shared" si="78"/>
        <v>0.59511666952958253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68.600786701473993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3.4106051316484809E-13</v>
      </c>
      <c r="GA95" s="17">
        <f>FZ95*VLOOKUP('Données projet'!$B$17,Paramètres!$A$1:$I$89,3,0)*VLOOKUP('Données projet'!$B$17,Paramètres!$A$1:$I$89,5,0)</f>
        <v>2.6602720026858149E-13</v>
      </c>
      <c r="GB95" s="13">
        <f t="shared" si="103"/>
        <v>3.5662905043956649E-12</v>
      </c>
      <c r="GC95" s="20">
        <f t="shared" si="79"/>
        <v>6.6746200022902298E-12</v>
      </c>
      <c r="GD95" s="59">
        <f t="shared" si="80"/>
        <v>288.20288457207795</v>
      </c>
      <c r="GE95" s="59">
        <f ca="1">AVERAGE(OFFSET($GD$3,0,0,'Données projet'!$E$17+1,1))-AVERAGE(OFFSET($H$3,0,0,'Données projet'!$E$17+1,1))</f>
        <v>300.95722646933314</v>
      </c>
      <c r="GF95" s="59">
        <f t="shared" si="104"/>
        <v>269.52365224623759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>
        <f>EXP(-LN(2)/35)*GL94+(1-EXP(-LN(2)/35))/(LN(2)/35)*GH95*GI95*VLOOKUP('Données projet'!$B$17,Paramètres!$A$1:$I$89,3,0)*0.475*44/12</f>
        <v>0.2606563294167078</v>
      </c>
      <c r="GM95" s="21">
        <f>EXP(-LN(2)/25)*GM94+(1-EXP(-LN(2)/25))/(LN(2)/25)*Calculateur!GH95*Calculateur!GJ95*VLOOKUP('Données projet'!$B$17,Paramètres!$A$1:$I$89,3,0)*0.475*44/12</f>
        <v>1.1183330413873551</v>
      </c>
      <c r="GN95" s="21">
        <f>EXP(-LN(2)/2)*GN94+(1-EXP(-LN(2)/2))/(LN(2)/2)*GH95*GK95*VLOOKUP('Données projet'!$B$17,Paramètres!$A$1:$I$89,3,0)*0.475*44/12</f>
        <v>4.1252764036044686E-9</v>
      </c>
      <c r="GO95" s="21">
        <f t="shared" si="81"/>
        <v>1.3789893749293392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68.600786701473993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1.4000000000000001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5.1333333333333337</v>
      </c>
      <c r="H96" s="67">
        <f t="shared" si="56"/>
        <v>236.13333333333335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68.62505992403112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5.9</v>
      </c>
      <c r="N96" s="13">
        <f>IF('Données projet'!$A$36&gt;35,N95+M96-V95,IF(A96&lt;'Données projet'!$A$36,$K$205^A96,IF(A96='Données projet'!$A$36,'Données projet'!$B$36,N95+M96-V95)))</f>
        <v>319.69999999999993</v>
      </c>
      <c r="O96" s="13">
        <f>N96*VLOOKUP('Données projet'!$B$9,Paramètres!$A$1:$I$89,3,0)*VLOOKUP('Données projet'!$B$9,Paramètres!$A$1:$I$89,5,0)</f>
        <v>289.26455999999996</v>
      </c>
      <c r="P96" s="13">
        <f t="shared" si="87"/>
        <v>68.921152085057912</v>
      </c>
      <c r="Q96" s="20">
        <f t="shared" si="54"/>
        <v>623.84011521480909</v>
      </c>
      <c r="R96" s="59">
        <f t="shared" si="55"/>
        <v>912.1320016029232</v>
      </c>
      <c r="S96" s="59">
        <f ca="1">AVERAGE(OFFSET($R$3,0,0,'Données projet'!$E$9+1,1))-AVERAGE(OFFSET($H$3,0,0,'Données projet'!$E$9+1,1))</f>
        <v>479.46542424895119</v>
      </c>
      <c r="T96" s="59">
        <f t="shared" si="88"/>
        <v>337.96395820277337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0.69167518146194984</v>
      </c>
      <c r="AA96" s="21">
        <f>EXP(-LN(2)/25)*AA95+(1-EXP(-LN(2)/25))/(LN(2)/25)*Calculateur!V96*Calculateur!X96*VLOOKUP('Données projet'!$B$9,Paramètres!$A$1:$I$89,3,0)*0.475*44/12</f>
        <v>1.9670799378365991</v>
      </c>
      <c r="AB96" s="21">
        <f>EXP(-LN(2)/2)*AB95+(1-EXP(-LN(2)/2))/(LN(2)/2)*V96*Y96*VLOOKUP('Données projet'!$B$9,Paramètres!$A$1:$I$89,3,0)*0.475*44/12</f>
        <v>7.0969157806449674E-9</v>
      </c>
      <c r="AC96" s="22">
        <f t="shared" si="57"/>
        <v>2.658755126395465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68.62505992403112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5.9</v>
      </c>
      <c r="AI96" s="13">
        <f>IF('Données projet'!$A$62&gt;35,AI95+AH96-AQ95,IF(A96&lt;'Données projet'!$A$62,$AF$205^A96,IF(A96='Données projet'!$A$62,'Données projet'!$B$62,AI95+AH96-AQ95)))</f>
        <v>319.69999999999993</v>
      </c>
      <c r="AJ96" s="13">
        <f>AI96*VLOOKUP('Données projet'!$B$10,Paramètres!$A$1:$I$89,3,0)*VLOOKUP('Données projet'!$B$10,Paramètres!$A$1:$I$89,5,0)</f>
        <v>309.21383999999995</v>
      </c>
      <c r="AK96" s="13">
        <f t="shared" si="89"/>
        <v>73.104624418450427</v>
      </c>
      <c r="AL96" s="20">
        <f t="shared" si="58"/>
        <v>665.87132552880109</v>
      </c>
      <c r="AM96" s="59">
        <f t="shared" si="59"/>
        <v>954.1632119169152</v>
      </c>
      <c r="AN96" s="59">
        <f ca="1">AVERAGE(OFFSET($AM$3,0,0,'Données projet'!$E$10+1,1))-AVERAGE(OFFSET($H$3,0,0,'Données projet'!$E$10+1,1))</f>
        <v>508.94560627895089</v>
      </c>
      <c r="AO96" s="59">
        <f t="shared" si="90"/>
        <v>357.86868650263034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0.73937691811449868</v>
      </c>
      <c r="AV96" s="21">
        <f>EXP(-LN(2)/25)*AV95+(1-EXP(-LN(2)/25))/(LN(2)/25)*Calculateur!AQ96*Calculateur!AS96*VLOOKUP('Données projet'!$B$10,Paramètres!$A$1:$I$89,3,0)*0.475*44/12</f>
        <v>2.1027406232046406</v>
      </c>
      <c r="AW96" s="21">
        <f>EXP(-LN(2)/2)*AW95+(1-EXP(-LN(2)/2))/(LN(2)/2)*AQ96*AT96*VLOOKUP('Données projet'!$B$10,Paramètres!$A$1:$I$89,3,0)*0.475*44/12</f>
        <v>7.5863582482756197E-9</v>
      </c>
      <c r="AX96" s="21">
        <f t="shared" si="60"/>
        <v>2.8421175489054975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68.62505992403112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1.7053025658242404E-13</v>
      </c>
      <c r="BE96" s="13">
        <f>BD96*VLOOKUP('Données projet'!$B$11,Paramètres!$A$1:$I$89,3,0)*VLOOKUP('Données projet'!$B$11,Paramètres!$A$1:$I$89,5,0)</f>
        <v>1.3301360013429075E-13</v>
      </c>
      <c r="BF96" s="13">
        <f t="shared" si="91"/>
        <v>1.9329766731057041E-12</v>
      </c>
      <c r="BG96" s="20">
        <f t="shared" si="61"/>
        <v>3.5982663925596575E-12</v>
      </c>
      <c r="BH96" s="59">
        <f t="shared" si="62"/>
        <v>288.29188638811769</v>
      </c>
      <c r="BI96" s="59">
        <f ca="1">AVERAGE(OFFSET($BH$3,0,0,'Données projet'!$E$11+1,1))-AVERAGE(OFFSET($H$3,0,0,'Données projet'!$E$11+1,1))</f>
        <v>383.03154033422328</v>
      </c>
      <c r="BJ96" s="59">
        <f t="shared" si="92"/>
        <v>373.27897156169877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0.41526065389495154</v>
      </c>
      <c r="BQ96" s="21">
        <f>EXP(-LN(2)/25)*BQ95+(1-EXP(-LN(2)/25))/(LN(2)/25)*Calculateur!BL96*Calculateur!BN96*VLOOKUP('Données projet'!$B$11,Paramètres!$A$1:$I$89,3,0)*0.475*44/12</f>
        <v>1.4593765290647334</v>
      </c>
      <c r="BR96" s="21">
        <f>EXP(-LN(2)/2)*BR95+(1-EXP(-LN(2)/2))/(LN(2)/2)*BL96*BO96*VLOOKUP('Données projet'!$B$11,Paramètres!$A$1:$I$89,3,0)*0.475*44/12</f>
        <v>4.3039767681318843E-9</v>
      </c>
      <c r="BS96" s="22">
        <f t="shared" si="63"/>
        <v>1.8746371872636616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68.62505992403112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5.9</v>
      </c>
      <c r="BY96" s="12">
        <f>IF('Données projet'!$A$114&gt;35,BY95+BX96-CG95,IF(A96&lt;'Données projet'!$A$114,$BV$205^A96,IF(A96='Données projet'!$A$114,'Données projet'!$B$114,BY95+BX96-CG95)))</f>
        <v>319.69999999999993</v>
      </c>
      <c r="BZ96" s="13">
        <f>BY96*VLOOKUP('Données projet'!$B$12,Paramètres!$A$1:$I$89,3,0)*VLOOKUP('Données projet'!$B$12,Paramètres!$A$1:$I$89,5,0)</f>
        <v>269.31527999999997</v>
      </c>
      <c r="CA96" s="13">
        <f t="shared" si="93"/>
        <v>64.703932954620839</v>
      </c>
      <c r="CB96" s="20">
        <f t="shared" si="64"/>
        <v>581.75012922929784</v>
      </c>
      <c r="CC96" s="59">
        <f t="shared" si="65"/>
        <v>870.04201561741195</v>
      </c>
      <c r="CD96" s="59">
        <f ca="1">AVERAGE(OFFSET($CC$3,0,0,'Données projet'!$E$12+1,1))-AVERAGE(OFFSET($H$3,0,0,'Données projet'!$E$12+1,1))</f>
        <v>449.94334483948603</v>
      </c>
      <c r="CE96" s="59">
        <f t="shared" si="94"/>
        <v>318.02929110264176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0.64397344480940155</v>
      </c>
      <c r="CL96" s="21">
        <f>EXP(-LN(2)/25)*CL95+(1-EXP(-LN(2)/25))/(LN(2)/25)*Calculateur!CG96*Calculateur!CI96*VLOOKUP('Données projet'!$B$12,Paramètres!$A$1:$I$89,3,0)*0.475*44/12</f>
        <v>1.8314192524685584</v>
      </c>
      <c r="CM96" s="21">
        <f>EXP(-LN(2)/2)*CM95+(1-EXP(-LN(2)/2))/(LN(2)/2)*CG96*CJ96*VLOOKUP('Données projet'!$B$12,Paramètres!$A$1:$I$89,3,0)*0.475*44/12</f>
        <v>6.6074733130142563E-9</v>
      </c>
      <c r="CN96" s="22">
        <f t="shared" si="66"/>
        <v>2.4753927038854333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68.62505992403112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7.4</v>
      </c>
      <c r="CT96" s="12">
        <f>IF('Données projet'!$A$140&gt;35,CT95+CS96-DB95,IF(A96&lt;'Données projet'!$A$140,$CQ$205^A96,IF(A96='Données projet'!$A$140,'Données projet'!$B$140,CT95+CS96-DB95)))</f>
        <v>373.20000000000027</v>
      </c>
      <c r="CU96" s="17">
        <f>CT96*VLOOKUP('Données projet'!$B$13,Paramètres!$A$1:$I$89,3,0)*VLOOKUP('Données projet'!$B$13,Paramètres!$A$1:$I$89,5,0)</f>
        <v>320.20560000000029</v>
      </c>
      <c r="CV96" s="13">
        <f t="shared" si="95"/>
        <v>75.396131142020067</v>
      </c>
      <c r="CW96" s="20">
        <f t="shared" si="67"/>
        <v>689.00634840568546</v>
      </c>
      <c r="CX96" s="59">
        <f t="shared" si="68"/>
        <v>977.29823479379957</v>
      </c>
      <c r="CY96" s="59">
        <f ca="1">AVERAGE(OFFSET($CX$3,0,0,'Données projet'!$E$13+1,1))-AVERAGE(OFFSET($H$3,0,0,'Données projet'!$E$13+1,1))</f>
        <v>565.32667500225568</v>
      </c>
      <c r="CZ96" s="59">
        <f t="shared" si="96"/>
        <v>275.06957234480944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0</v>
      </c>
      <c r="DG96" s="21">
        <f>EXP(-LN(2)/25)*DG95+(1-EXP(-LN(2)/25))/(LN(2)/25)*Calculateur!DB96*Calculateur!DD96*VLOOKUP('Données projet'!$B$13,Paramètres!$A$1:$I$89,3,0)*0.475*44/12</f>
        <v>0.76385227009269085</v>
      </c>
      <c r="DH96" s="21">
        <f>EXP(-LN(2)/2)*DH95+(1-EXP(-LN(2)/2))/(LN(2)/2)*DB96*DE96*VLOOKUP('Données projet'!$B$13,Paramètres!$A$1:$I$89,3,0)*0.475*44/12</f>
        <v>2.3324093333062727E-9</v>
      </c>
      <c r="DI96" s="22">
        <f t="shared" si="69"/>
        <v>0.76385227242510023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68.62505992403112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-1.2505552149377763E-12</v>
      </c>
      <c r="DP96" s="17">
        <f>DO96*VLOOKUP('Données projet'!$B$14,Paramètres!$A$1:$I$89,3,0)*VLOOKUP('Données projet'!$B$14,Paramètres!$A$1:$I$89,5,0)</f>
        <v>-6.9906036515021697E-13</v>
      </c>
      <c r="DQ96" s="13" t="e">
        <f t="shared" si="97"/>
        <v>#NUM!</v>
      </c>
      <c r="DR96" s="20" t="e">
        <f t="shared" si="70"/>
        <v>#NUM!</v>
      </c>
      <c r="DS96" s="59" t="e">
        <f t="shared" si="71"/>
        <v>#NUM!</v>
      </c>
      <c r="DT96" s="59">
        <f ca="1">AVERAGE(OFFSET($DS$3,0,0,'Données projet'!$E$14+1,1))-AVERAGE(OFFSET($H$3,0,0,'Données projet'!$E$14+1,1))</f>
        <v>532.64469322244281</v>
      </c>
      <c r="DU96" s="59">
        <f t="shared" si="98"/>
        <v>525.88014011096413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3.2794943948626973</v>
      </c>
      <c r="EB96" s="21">
        <f>EXP(-LN(2)/25)*EB95+(1-EXP(-LN(2)/25))/(LN(2)/25)*Calculateur!DW96*Calculateur!DY96*VLOOKUP('Données projet'!$B$14,Paramètres!$A$1:$I$89,3,0)*0.475*44/12</f>
        <v>6.7574302194425879</v>
      </c>
      <c r="EC96" s="21">
        <f>EXP(-LN(2)/2)*EC95+(1-EXP(-LN(2)/2))/(LN(2)/2)*DW96*DZ96*VLOOKUP('Données projet'!$B$14,Paramètres!$A$1:$I$89,3,0)*0.475*44/12</f>
        <v>1.200918187380006E-8</v>
      </c>
      <c r="ED96" s="22">
        <f t="shared" si="72"/>
        <v>10.036924626314466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68.62505992403112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4.9000000000000004</v>
      </c>
      <c r="EJ96" s="12">
        <f>IF('Données projet'!$A$192&gt;35,EJ95+EI96-ER95,IF(A96&lt;'Données projet'!$A$192,$EG$205^A96,IF(A96='Données projet'!$A$192,'Données projet'!$B$192,EJ95+EI96-ER95)))</f>
        <v>268.70000000000039</v>
      </c>
      <c r="EK96" s="17">
        <f>EJ96*VLOOKUP('Données projet'!$B$15,Paramètres!$A$1:$I$89,3,0)*VLOOKUP('Données projet'!$B$15,Paramètres!$A$1:$I$89,5,0)</f>
        <v>243.11976000000033</v>
      </c>
      <c r="EL96" s="13">
        <f t="shared" si="99"/>
        <v>59.110256668778582</v>
      </c>
      <c r="EM96" s="20">
        <f t="shared" si="73"/>
        <v>526.38394569812317</v>
      </c>
      <c r="EN96" s="59">
        <f t="shared" si="74"/>
        <v>814.67583208623728</v>
      </c>
      <c r="EO96" s="59">
        <f ca="1">AVERAGE(OFFSET($EN$3,0,0,'Données projet'!$E$15+1,1))-AVERAGE(OFFSET($H$3,0,0,'Données projet'!$E$15+1,1))</f>
        <v>398.27843768730202</v>
      </c>
      <c r="EP96" s="59">
        <f t="shared" si="100"/>
        <v>252.3617347568813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0</v>
      </c>
      <c r="EW96" s="21">
        <f>EXP(-LN(2)/25)*EW95+(1-EXP(-LN(2)/25))/(LN(2)/25)*Calculateur!ER96*Calculateur!ET96*VLOOKUP('Données projet'!$B$15,Paramètres!$A$1:$I$89,3,0)*0.475*44/12</f>
        <v>0.54149844926953228</v>
      </c>
      <c r="EX96" s="21">
        <f>EXP(-LN(2)/2)*EX95+(1-EXP(-LN(2)/2))/(LN(2)/2)*ER96*EU96*VLOOKUP('Données projet'!$B$15,Paramètres!$A$1:$I$89,3,0)*0.475*44/12</f>
        <v>2.0379805187642338E-9</v>
      </c>
      <c r="EY96" s="22">
        <f t="shared" si="75"/>
        <v>0.54149845130751284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68.62505992403112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4.9000000000000004</v>
      </c>
      <c r="FE96" s="12">
        <f>IF('Données projet'!$A$218&gt;35,FE95+FD96-FM95,IF(A96&lt;'Données projet'!$A$218,$FB$205^A96,IF(A96='Données projet'!$A$218,'Données projet'!$B$218,FE95+FD96-FM95)))</f>
        <v>268.70000000000039</v>
      </c>
      <c r="FF96" s="17">
        <f>FE96*VLOOKUP('Données projet'!$B$16,Paramètres!$A$1:$I$89,3,0)*VLOOKUP('Données projet'!$B$16,Paramètres!$A$1:$I$89,5,0)</f>
        <v>259.8866400000004</v>
      </c>
      <c r="FG96" s="13">
        <f t="shared" si="101"/>
        <v>62.698213571884054</v>
      </c>
      <c r="FH96" s="20">
        <f t="shared" si="76"/>
        <v>561.83528663769869</v>
      </c>
      <c r="FI96" s="59">
        <f t="shared" si="77"/>
        <v>850.12717302581279</v>
      </c>
      <c r="FJ96" s="59">
        <f ca="1">AVERAGE(OFFSET($FI$3,0,0,'Données projet'!$E$16+1,1))-AVERAGE(OFFSET($H$3,0,0,'Données projet'!$E$16+1,1))</f>
        <v>422.28024471365825</v>
      </c>
      <c r="FK96" s="59">
        <f t="shared" si="102"/>
        <v>266.49730479813206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0</v>
      </c>
      <c r="FR96" s="21">
        <f>EXP(-LN(2)/25)*FR95+(1-EXP(-LN(2)/25))/(LN(2)/25)*Calculateur!FM96*Calculateur!FO96*VLOOKUP('Données projet'!$B$16,Paramètres!$A$1:$I$89,3,0)*0.475*44/12</f>
        <v>0.57884316990881024</v>
      </c>
      <c r="FS96" s="21">
        <f>EXP(-LN(2)/2)*FS95+(1-EXP(-LN(2)/2))/(LN(2)/2)*FM96*FP96*VLOOKUP('Données projet'!$B$16,Paramètres!$A$1:$I$89,3,0)*0.475*44/12</f>
        <v>2.1785308993686633E-9</v>
      </c>
      <c r="FT96" s="22">
        <f t="shared" si="78"/>
        <v>0.57884317208734115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68.62505992403112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3.4106051316484809E-13</v>
      </c>
      <c r="GA96" s="17">
        <f>FZ96*VLOOKUP('Données projet'!$B$17,Paramètres!$A$1:$I$89,3,0)*VLOOKUP('Données projet'!$B$17,Paramètres!$A$1:$I$89,5,0)</f>
        <v>2.6602720026858149E-13</v>
      </c>
      <c r="GB96" s="13">
        <f t="shared" si="103"/>
        <v>3.5662905043956649E-12</v>
      </c>
      <c r="GC96" s="20">
        <f t="shared" si="79"/>
        <v>6.6746200022902298E-12</v>
      </c>
      <c r="GD96" s="59">
        <f t="shared" si="80"/>
        <v>288.29188638812076</v>
      </c>
      <c r="GE96" s="59">
        <f ca="1">AVERAGE(OFFSET($GD$3,0,0,'Données projet'!$E$17+1,1))-AVERAGE(OFFSET($H$3,0,0,'Données projet'!$E$17+1,1))</f>
        <v>300.95722646933314</v>
      </c>
      <c r="GF96" s="59">
        <f t="shared" si="104"/>
        <v>269.52365224623759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>
        <f>EXP(-LN(2)/35)*GL95+(1-EXP(-LN(2)/35))/(LN(2)/35)*GH96*GI96*VLOOKUP('Données projet'!$B$17,Paramètres!$A$1:$I$89,3,0)*0.475*44/12</f>
        <v>0.25554501778150868</v>
      </c>
      <c r="GM96" s="21">
        <f>EXP(-LN(2)/25)*GM95+(1-EXP(-LN(2)/25))/(LN(2)/25)*Calculateur!GH96*Calculateur!GJ96*VLOOKUP('Données projet'!$B$17,Paramètres!$A$1:$I$89,3,0)*0.475*44/12</f>
        <v>1.0877521655600393</v>
      </c>
      <c r="GN96" s="21">
        <f>EXP(-LN(2)/2)*GN95+(1-EXP(-LN(2)/2))/(LN(2)/2)*GH96*GK96*VLOOKUP('Données projet'!$B$17,Paramètres!$A$1:$I$89,3,0)*0.475*44/12</f>
        <v>2.9170109192575727E-9</v>
      </c>
      <c r="GO96" s="21">
        <f t="shared" si="81"/>
        <v>1.3432971862585588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68.62505992403112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1.4000000000000001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5.1333333333333337</v>
      </c>
      <c r="H97" s="67">
        <f t="shared" si="56"/>
        <v>236.13333333333335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68.648912060443678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5.9</v>
      </c>
      <c r="N97" s="13">
        <f>IF('Données projet'!$A$36&gt;35,N96+M97-V96,IF(A97&lt;'Données projet'!$A$36,$K$205^A97,IF(A97='Données projet'!$A$36,'Données projet'!$B$36,N96+M97-V96)))</f>
        <v>325.59999999999991</v>
      </c>
      <c r="O97" s="13">
        <f>N97*VLOOKUP('Données projet'!$B$9,Paramètres!$A$1:$I$89,3,0)*VLOOKUP('Données projet'!$B$9,Paramètres!$A$1:$I$89,5,0)</f>
        <v>294.60287999999991</v>
      </c>
      <c r="P97" s="13">
        <f t="shared" si="87"/>
        <v>70.043827142305673</v>
      </c>
      <c r="Q97" s="20">
        <f t="shared" si="54"/>
        <v>635.09301493951546</v>
      </c>
      <c r="R97" s="59">
        <f t="shared" si="55"/>
        <v>923.47235916114232</v>
      </c>
      <c r="S97" s="59">
        <f ca="1">AVERAGE(OFFSET($R$3,0,0,'Données projet'!$E$9+1,1))-AVERAGE(OFFSET($H$3,0,0,'Données projet'!$E$9+1,1))</f>
        <v>479.46542424895119</v>
      </c>
      <c r="T97" s="59">
        <f t="shared" si="88"/>
        <v>337.96395820277337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0.67811185303368449</v>
      </c>
      <c r="AA97" s="21">
        <f>EXP(-LN(2)/25)*AA96+(1-EXP(-LN(2)/25))/(LN(2)/25)*Calculateur!V97*Calculateur!X97*VLOOKUP('Données projet'!$B$9,Paramètres!$A$1:$I$89,3,0)*0.475*44/12</f>
        <v>1.9132900334922192</v>
      </c>
      <c r="AB97" s="21">
        <f>EXP(-LN(2)/2)*AB96+(1-EXP(-LN(2)/2))/(LN(2)/2)*V97*Y97*VLOOKUP('Données projet'!$B$9,Paramètres!$A$1:$I$89,3,0)*0.475*44/12</f>
        <v>5.018277274003877E-9</v>
      </c>
      <c r="AC97" s="22">
        <f t="shared" si="57"/>
        <v>2.591401891544181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68.648912060443678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5.9</v>
      </c>
      <c r="AI97" s="13">
        <f>IF('Données projet'!$A$62&gt;35,AI96+AH97-AQ96,IF(A97&lt;'Données projet'!$A$62,$AF$205^A97,IF(A97='Données projet'!$A$62,'Données projet'!$B$62,AI96+AH97-AQ96)))</f>
        <v>325.59999999999991</v>
      </c>
      <c r="AJ97" s="13">
        <f>AI97*VLOOKUP('Données projet'!$B$10,Paramètres!$A$1:$I$89,3,0)*VLOOKUP('Données projet'!$B$10,Paramètres!$A$1:$I$89,5,0)</f>
        <v>314.92031999999989</v>
      </c>
      <c r="AK97" s="13">
        <f t="shared" si="89"/>
        <v>74.295445174069485</v>
      </c>
      <c r="AL97" s="20">
        <f t="shared" si="58"/>
        <v>677.88412434483746</v>
      </c>
      <c r="AM97" s="59">
        <f t="shared" si="59"/>
        <v>966.26346856646433</v>
      </c>
      <c r="AN97" s="59">
        <f ca="1">AVERAGE(OFFSET($AM$3,0,0,'Données projet'!$E$10+1,1))-AVERAGE(OFFSET($H$3,0,0,'Données projet'!$E$10+1,1))</f>
        <v>508.94560627895089</v>
      </c>
      <c r="AO97" s="59">
        <f t="shared" si="90"/>
        <v>357.86868650263034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0.72487818772566326</v>
      </c>
      <c r="AV97" s="21">
        <f>EXP(-LN(2)/25)*AV96+(1-EXP(-LN(2)/25))/(LN(2)/25)*Calculateur!AQ97*Calculateur!AS97*VLOOKUP('Données projet'!$B$10,Paramètres!$A$1:$I$89,3,0)*0.475*44/12</f>
        <v>2.0452410702847863</v>
      </c>
      <c r="AW97" s="21">
        <f>EXP(-LN(2)/2)*AW96+(1-EXP(-LN(2)/2))/(LN(2)/2)*AQ97*AT97*VLOOKUP('Données projet'!$B$10,Paramètres!$A$1:$I$89,3,0)*0.475*44/12</f>
        <v>5.3643653618661887E-9</v>
      </c>
      <c r="AX97" s="21">
        <f t="shared" si="60"/>
        <v>2.7701192633748151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68.648912060443678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1.7053025658242404E-13</v>
      </c>
      <c r="BE97" s="13">
        <f>BD97*VLOOKUP('Données projet'!$B$11,Paramètres!$A$1:$I$89,3,0)*VLOOKUP('Données projet'!$B$11,Paramètres!$A$1:$I$89,5,0)</f>
        <v>1.3301360013429075E-13</v>
      </c>
      <c r="BF97" s="13">
        <f t="shared" si="91"/>
        <v>1.9329766731057041E-12</v>
      </c>
      <c r="BG97" s="20">
        <f t="shared" si="61"/>
        <v>3.5982663925596575E-12</v>
      </c>
      <c r="BH97" s="59">
        <f t="shared" si="62"/>
        <v>288.37934422163039</v>
      </c>
      <c r="BI97" s="59">
        <f ca="1">AVERAGE(OFFSET($BH$3,0,0,'Données projet'!$E$11+1,1))-AVERAGE(OFFSET($H$3,0,0,'Données projet'!$E$11+1,1))</f>
        <v>383.03154033422328</v>
      </c>
      <c r="BJ97" s="59">
        <f t="shared" si="92"/>
        <v>373.27897156169877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0.40711764575606069</v>
      </c>
      <c r="BQ97" s="21">
        <f>EXP(-LN(2)/25)*BQ96+(1-EXP(-LN(2)/25))/(LN(2)/25)*Calculateur!BL97*Calculateur!BN97*VLOOKUP('Données projet'!$B$11,Paramètres!$A$1:$I$89,3,0)*0.475*44/12</f>
        <v>1.419469801132182</v>
      </c>
      <c r="BR97" s="21">
        <f>EXP(-LN(2)/2)*BR96+(1-EXP(-LN(2)/2))/(LN(2)/2)*BL97*BO97*VLOOKUP('Données projet'!$B$11,Paramètres!$A$1:$I$89,3,0)*0.475*44/12</f>
        <v>3.0433711588154164E-9</v>
      </c>
      <c r="BS97" s="22">
        <f t="shared" si="63"/>
        <v>1.8265874499316139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68.648912060443678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5.9</v>
      </c>
      <c r="BY97" s="12">
        <f>IF('Données projet'!$A$114&gt;35,BY96+BX97-CG96,IF(A97&lt;'Données projet'!$A$114,$BV$205^A97,IF(A97='Données projet'!$A$114,'Données projet'!$B$114,BY96+BX97-CG96)))</f>
        <v>325.59999999999991</v>
      </c>
      <c r="BZ97" s="13">
        <f>BY97*VLOOKUP('Données projet'!$B$12,Paramètres!$A$1:$I$89,3,0)*VLOOKUP('Données projet'!$B$12,Paramètres!$A$1:$I$89,5,0)</f>
        <v>274.28543999999994</v>
      </c>
      <c r="CA97" s="13">
        <f t="shared" si="93"/>
        <v>65.75791260290552</v>
      </c>
      <c r="CB97" s="20">
        <f t="shared" si="64"/>
        <v>592.24217245006037</v>
      </c>
      <c r="CC97" s="59">
        <f t="shared" si="65"/>
        <v>880.62151667168723</v>
      </c>
      <c r="CD97" s="59">
        <f ca="1">AVERAGE(OFFSET($CC$3,0,0,'Données projet'!$E$12+1,1))-AVERAGE(OFFSET($H$3,0,0,'Données projet'!$E$12+1,1))</f>
        <v>449.94334483948603</v>
      </c>
      <c r="CE97" s="59">
        <f t="shared" si="94"/>
        <v>318.02929110264176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0.63134551834170627</v>
      </c>
      <c r="CL97" s="21">
        <f>EXP(-LN(2)/25)*CL96+(1-EXP(-LN(2)/25))/(LN(2)/25)*Calculateur!CG97*Calculateur!CI97*VLOOKUP('Données projet'!$B$12,Paramètres!$A$1:$I$89,3,0)*0.475*44/12</f>
        <v>1.7813389966996529</v>
      </c>
      <c r="CM97" s="21">
        <f>EXP(-LN(2)/2)*CM96+(1-EXP(-LN(2)/2))/(LN(2)/2)*CG97*CJ97*VLOOKUP('Données projet'!$B$12,Paramètres!$A$1:$I$89,3,0)*0.475*44/12</f>
        <v>4.6721891861415239E-9</v>
      </c>
      <c r="CN97" s="22">
        <f t="shared" si="66"/>
        <v>2.4126845197135487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68.648912060443678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7.4</v>
      </c>
      <c r="CT97" s="12">
        <f>IF('Données projet'!$A$140&gt;35,CT96+CS97-DB96,IF(A97&lt;'Données projet'!$A$140,$CQ$205^A97,IF(A97='Données projet'!$A$140,'Données projet'!$B$140,CT96+CS97-DB96)))</f>
        <v>380.60000000000025</v>
      </c>
      <c r="CU97" s="17">
        <f>CT97*VLOOKUP('Données projet'!$B$13,Paramètres!$A$1:$I$89,3,0)*VLOOKUP('Données projet'!$B$13,Paramètres!$A$1:$I$89,5,0)</f>
        <v>326.55480000000023</v>
      </c>
      <c r="CV97" s="13">
        <f t="shared" si="95"/>
        <v>76.715593616667263</v>
      </c>
      <c r="CW97" s="20">
        <f t="shared" si="67"/>
        <v>702.3626022156958</v>
      </c>
      <c r="CX97" s="59">
        <f t="shared" si="68"/>
        <v>990.74194643732267</v>
      </c>
      <c r="CY97" s="59">
        <f ca="1">AVERAGE(OFFSET($CX$3,0,0,'Données projet'!$E$13+1,1))-AVERAGE(OFFSET($H$3,0,0,'Données projet'!$E$13+1,1))</f>
        <v>565.32667500225568</v>
      </c>
      <c r="CZ97" s="59">
        <f t="shared" si="96"/>
        <v>275.06957234480944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0</v>
      </c>
      <c r="DG97" s="21">
        <f>EXP(-LN(2)/25)*DG96+(1-EXP(-LN(2)/25))/(LN(2)/25)*Calculateur!DB97*Calculateur!DD97*VLOOKUP('Données projet'!$B$13,Paramètres!$A$1:$I$89,3,0)*0.475*44/12</f>
        <v>0.74296468959776119</v>
      </c>
      <c r="DH97" s="21">
        <f>EXP(-LN(2)/2)*DH96+(1-EXP(-LN(2)/2))/(LN(2)/2)*DB97*DE97*VLOOKUP('Données projet'!$B$13,Paramètres!$A$1:$I$89,3,0)*0.475*44/12</f>
        <v>1.6492624560836598E-9</v>
      </c>
      <c r="DI97" s="22">
        <f t="shared" si="69"/>
        <v>0.74296469124702369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68.648912060443678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-1.2505552149377763E-12</v>
      </c>
      <c r="DP97" s="17">
        <f>DO97*VLOOKUP('Données projet'!$B$14,Paramètres!$A$1:$I$89,3,0)*VLOOKUP('Données projet'!$B$14,Paramètres!$A$1:$I$89,5,0)</f>
        <v>-6.9906036515021697E-13</v>
      </c>
      <c r="DQ97" s="13" t="e">
        <f t="shared" si="97"/>
        <v>#NUM!</v>
      </c>
      <c r="DR97" s="20" t="e">
        <f t="shared" si="70"/>
        <v>#NUM!</v>
      </c>
      <c r="DS97" s="59" t="e">
        <f t="shared" si="71"/>
        <v>#NUM!</v>
      </c>
      <c r="DT97" s="59">
        <f ca="1">AVERAGE(OFFSET($DS$3,0,0,'Données projet'!$E$14+1,1))-AVERAGE(OFFSET($H$3,0,0,'Données projet'!$E$14+1,1))</f>
        <v>532.64469322244281</v>
      </c>
      <c r="DU97" s="59">
        <f t="shared" si="98"/>
        <v>525.88014011096413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3.2151855100735083</v>
      </c>
      <c r="EB97" s="21">
        <f>EXP(-LN(2)/25)*EB96+(1-EXP(-LN(2)/25))/(LN(2)/25)*Calculateur!DW97*Calculateur!DY97*VLOOKUP('Données projet'!$B$14,Paramètres!$A$1:$I$89,3,0)*0.475*44/12</f>
        <v>6.5726479347341193</v>
      </c>
      <c r="EC97" s="21">
        <f>EXP(-LN(2)/2)*EC96+(1-EXP(-LN(2)/2))/(LN(2)/2)*DW97*DZ97*VLOOKUP('Données projet'!$B$14,Paramètres!$A$1:$I$89,3,0)*0.475*44/12</f>
        <v>8.4917739394665919E-9</v>
      </c>
      <c r="ED97" s="22">
        <f t="shared" si="72"/>
        <v>9.7878334532994025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68.648912060443678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4.9000000000000004</v>
      </c>
      <c r="EJ97" s="12">
        <f>IF('Données projet'!$A$192&gt;35,EJ96+EI97-ER96,IF(A97&lt;'Données projet'!$A$192,$EG$205^A97,IF(A97='Données projet'!$A$192,'Données projet'!$B$192,EJ96+EI97-ER96)))</f>
        <v>273.60000000000036</v>
      </c>
      <c r="EK97" s="17">
        <f>EJ97*VLOOKUP('Données projet'!$B$15,Paramètres!$A$1:$I$89,3,0)*VLOOKUP('Données projet'!$B$15,Paramètres!$A$1:$I$89,5,0)</f>
        <v>247.55328000000031</v>
      </c>
      <c r="EL97" s="13">
        <f t="shared" si="99"/>
        <v>60.061713068870304</v>
      </c>
      <c r="EM97" s="20">
        <f t="shared" si="73"/>
        <v>535.76277959494962</v>
      </c>
      <c r="EN97" s="59">
        <f t="shared" si="74"/>
        <v>824.14212381657649</v>
      </c>
      <c r="EO97" s="59">
        <f ca="1">AVERAGE(OFFSET($EN$3,0,0,'Données projet'!$E$15+1,1))-AVERAGE(OFFSET($H$3,0,0,'Données projet'!$E$15+1,1))</f>
        <v>398.27843768730202</v>
      </c>
      <c r="EP97" s="59">
        <f t="shared" si="100"/>
        <v>252.3617347568813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0</v>
      </c>
      <c r="EW97" s="21">
        <f>EXP(-LN(2)/25)*EW96+(1-EXP(-LN(2)/25))/(LN(2)/25)*Calculateur!ER97*Calculateur!ET97*VLOOKUP('Données projet'!$B$15,Paramètres!$A$1:$I$89,3,0)*0.475*44/12</f>
        <v>0.52669114569809106</v>
      </c>
      <c r="EX97" s="21">
        <f>EXP(-LN(2)/2)*EX96+(1-EXP(-LN(2)/2))/(LN(2)/2)*ER97*EU97*VLOOKUP('Données projet'!$B$15,Paramètres!$A$1:$I$89,3,0)*0.475*44/12</f>
        <v>1.4410698447442677E-9</v>
      </c>
      <c r="EY97" s="22">
        <f t="shared" si="75"/>
        <v>0.52669114713916088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68.648912060443678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4.9000000000000004</v>
      </c>
      <c r="FE97" s="12">
        <f>IF('Données projet'!$A$218&gt;35,FE96+FD97-FM96,IF(A97&lt;'Données projet'!$A$218,$FB$205^A97,IF(A97='Données projet'!$A$218,'Données projet'!$B$218,FE96+FD97-FM96)))</f>
        <v>273.60000000000036</v>
      </c>
      <c r="FF97" s="17">
        <f>FE97*VLOOKUP('Données projet'!$B$16,Paramètres!$A$1:$I$89,3,0)*VLOOKUP('Données projet'!$B$16,Paramètres!$A$1:$I$89,5,0)</f>
        <v>264.62592000000035</v>
      </c>
      <c r="FG97" s="13">
        <f t="shared" si="101"/>
        <v>63.707422801198717</v>
      </c>
      <c r="FH97" s="20">
        <f t="shared" si="76"/>
        <v>571.84723871208837</v>
      </c>
      <c r="FI97" s="59">
        <f t="shared" si="77"/>
        <v>860.22658293371524</v>
      </c>
      <c r="FJ97" s="59">
        <f ca="1">AVERAGE(OFFSET($FI$3,0,0,'Données projet'!$E$16+1,1))-AVERAGE(OFFSET($H$3,0,0,'Données projet'!$E$16+1,1))</f>
        <v>422.28024471365825</v>
      </c>
      <c r="FK97" s="59">
        <f t="shared" si="102"/>
        <v>266.49730479813206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0</v>
      </c>
      <c r="FR97" s="21">
        <f>EXP(-LN(2)/25)*FR96+(1-EXP(-LN(2)/25))/(LN(2)/25)*Calculateur!FM97*Calculateur!FO97*VLOOKUP('Données projet'!$B$16,Paramètres!$A$1:$I$89,3,0)*0.475*44/12</f>
        <v>0.56301467298761443</v>
      </c>
      <c r="FS97" s="21">
        <f>EXP(-LN(2)/2)*FS96+(1-EXP(-LN(2)/2))/(LN(2)/2)*FM97*FP97*VLOOKUP('Données projet'!$B$16,Paramètres!$A$1:$I$89,3,0)*0.475*44/12</f>
        <v>1.54045397196801E-9</v>
      </c>
      <c r="FT97" s="22">
        <f t="shared" si="78"/>
        <v>0.56301467452806842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68.648912060443678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3.4106051316484809E-13</v>
      </c>
      <c r="GA97" s="17">
        <f>FZ97*VLOOKUP('Données projet'!$B$17,Paramètres!$A$1:$I$89,3,0)*VLOOKUP('Données projet'!$B$17,Paramètres!$A$1:$I$89,5,0)</f>
        <v>2.6602720026858149E-13</v>
      </c>
      <c r="GB97" s="13">
        <f t="shared" si="103"/>
        <v>3.5662905043956649E-12</v>
      </c>
      <c r="GC97" s="20">
        <f t="shared" si="79"/>
        <v>6.6746200022902298E-12</v>
      </c>
      <c r="GD97" s="59">
        <f t="shared" si="80"/>
        <v>288.37934422163346</v>
      </c>
      <c r="GE97" s="59">
        <f ca="1">AVERAGE(OFFSET($GD$3,0,0,'Données projet'!$E$17+1,1))-AVERAGE(OFFSET($H$3,0,0,'Données projet'!$E$17+1,1))</f>
        <v>300.95722646933314</v>
      </c>
      <c r="GF97" s="59">
        <f t="shared" si="104"/>
        <v>269.52365224623759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>
        <f>EXP(-LN(2)/35)*GL96+(1-EXP(-LN(2)/35))/(LN(2)/35)*GH97*GI97*VLOOKUP('Données projet'!$B$17,Paramètres!$A$1:$I$89,3,0)*0.475*44/12</f>
        <v>0.25053393584988354</v>
      </c>
      <c r="GM97" s="21">
        <f>EXP(-LN(2)/25)*GM96+(1-EXP(-LN(2)/25))/(LN(2)/25)*Calculateur!GH97*Calculateur!GJ97*VLOOKUP('Données projet'!$B$17,Paramètres!$A$1:$I$89,3,0)*0.475*44/12</f>
        <v>1.0580075253903998</v>
      </c>
      <c r="GN97" s="21">
        <f>EXP(-LN(2)/2)*GN96+(1-EXP(-LN(2)/2))/(LN(2)/2)*GH97*GK97*VLOOKUP('Données projet'!$B$17,Paramètres!$A$1:$I$89,3,0)*0.475*44/12</f>
        <v>2.0626382018022343E-9</v>
      </c>
      <c r="GO97" s="21">
        <f t="shared" si="81"/>
        <v>1.3085414633029215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68.648912060443678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1.4000000000000001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5.1333333333333337</v>
      </c>
      <c r="H98" s="67">
        <f t="shared" si="56"/>
        <v>236.13333333333335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68.672350415614858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5.9</v>
      </c>
      <c r="N98" s="13">
        <f>IF('Données projet'!$A$36&gt;35,N97+M98-V97,IF(A98&lt;'Données projet'!$A$36,$K$205^A98,IF(A98='Données projet'!$A$36,'Données projet'!$B$36,N97+M98-V97)))</f>
        <v>331.49999999999989</v>
      </c>
      <c r="O98" s="13">
        <f>N98*VLOOKUP('Données projet'!$B$9,Paramètres!$A$1:$I$89,3,0)*VLOOKUP('Données projet'!$B$9,Paramètres!$A$1:$I$89,5,0)</f>
        <v>299.94119999999987</v>
      </c>
      <c r="P98" s="13">
        <f t="shared" si="87"/>
        <v>71.164136596531506</v>
      </c>
      <c r="Q98" s="20">
        <f t="shared" si="54"/>
        <v>646.3417945722922</v>
      </c>
      <c r="R98" s="59">
        <f t="shared" si="55"/>
        <v>934.80707942954677</v>
      </c>
      <c r="S98" s="59">
        <f ca="1">AVERAGE(OFFSET($R$3,0,0,'Données projet'!$E$9+1,1))-AVERAGE(OFFSET($H$3,0,0,'Données projet'!$E$9+1,1))</f>
        <v>479.46542424895119</v>
      </c>
      <c r="T98" s="59">
        <f t="shared" si="88"/>
        <v>337.96395820277337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0.66481449320308394</v>
      </c>
      <c r="AA98" s="21">
        <f>EXP(-LN(2)/25)*AA97+(1-EXP(-LN(2)/25))/(LN(2)/25)*Calculateur!V98*Calculateur!X98*VLOOKUP('Données projet'!$B$9,Paramètres!$A$1:$I$89,3,0)*0.475*44/12</f>
        <v>1.8609710169108244</v>
      </c>
      <c r="AB98" s="21">
        <f>EXP(-LN(2)/2)*AB97+(1-EXP(-LN(2)/2))/(LN(2)/2)*V98*Y98*VLOOKUP('Données projet'!$B$9,Paramètres!$A$1:$I$89,3,0)*0.475*44/12</f>
        <v>3.5484578903224837E-9</v>
      </c>
      <c r="AC98" s="22">
        <f t="shared" si="57"/>
        <v>2.5257855136623664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68.672350415614858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5.9</v>
      </c>
      <c r="AI98" s="13">
        <f>IF('Données projet'!$A$62&gt;35,AI97+AH98-AQ97,IF(A98&lt;'Données projet'!$A$62,$AF$205^A98,IF(A98='Données projet'!$A$62,'Données projet'!$B$62,AI97+AH98-AQ97)))</f>
        <v>331.49999999999989</v>
      </c>
      <c r="AJ98" s="13">
        <f>AI98*VLOOKUP('Données projet'!$B$10,Paramètres!$A$1:$I$89,3,0)*VLOOKUP('Données projet'!$B$10,Paramètres!$A$1:$I$89,5,0)</f>
        <v>320.62679999999989</v>
      </c>
      <c r="AK98" s="13">
        <f t="shared" si="89"/>
        <v>75.483756735990909</v>
      </c>
      <c r="AL98" s="20">
        <f t="shared" si="58"/>
        <v>689.89255298185071</v>
      </c>
      <c r="AM98" s="59">
        <f t="shared" si="59"/>
        <v>978.35783783910529</v>
      </c>
      <c r="AN98" s="59">
        <f ca="1">AVERAGE(OFFSET($AM$3,0,0,'Données projet'!$E$10+1,1))-AVERAGE(OFFSET($H$3,0,0,'Données projet'!$E$10+1,1))</f>
        <v>508.94560627895089</v>
      </c>
      <c r="AO98" s="59">
        <f t="shared" si="90"/>
        <v>357.86868650263034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0.71066376859640057</v>
      </c>
      <c r="AV98" s="21">
        <f>EXP(-LN(2)/25)*AV97+(1-EXP(-LN(2)/25))/(LN(2)/25)*Calculateur!AQ98*Calculateur!AS98*VLOOKUP('Données projet'!$B$10,Paramètres!$A$1:$I$89,3,0)*0.475*44/12</f>
        <v>1.9893138456632955</v>
      </c>
      <c r="AW98" s="21">
        <f>EXP(-LN(2)/2)*AW97+(1-EXP(-LN(2)/2))/(LN(2)/2)*AQ98*AT98*VLOOKUP('Données projet'!$B$10,Paramètres!$A$1:$I$89,3,0)*0.475*44/12</f>
        <v>3.7931791241378099E-9</v>
      </c>
      <c r="AX98" s="21">
        <f t="shared" si="60"/>
        <v>2.6999776180528752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68.672350415614858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1.7053025658242404E-13</v>
      </c>
      <c r="BE98" s="13">
        <f>BD98*VLOOKUP('Données projet'!$B$11,Paramètres!$A$1:$I$89,3,0)*VLOOKUP('Données projet'!$B$11,Paramètres!$A$1:$I$89,5,0)</f>
        <v>1.3301360013429075E-13</v>
      </c>
      <c r="BF98" s="13">
        <f t="shared" si="91"/>
        <v>1.9329766731057041E-12</v>
      </c>
      <c r="BG98" s="20">
        <f t="shared" si="61"/>
        <v>3.5982663925596575E-12</v>
      </c>
      <c r="BH98" s="59">
        <f t="shared" si="62"/>
        <v>288.4652848572581</v>
      </c>
      <c r="BI98" s="59">
        <f ca="1">AVERAGE(OFFSET($BH$3,0,0,'Données projet'!$E$11+1,1))-AVERAGE(OFFSET($H$3,0,0,'Données projet'!$E$11+1,1))</f>
        <v>383.03154033422328</v>
      </c>
      <c r="BJ98" s="59">
        <f t="shared" si="92"/>
        <v>373.27897156169877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0.39913431704002894</v>
      </c>
      <c r="BQ98" s="21">
        <f>EXP(-LN(2)/25)*BQ97+(1-EXP(-LN(2)/25))/(LN(2)/25)*Calculateur!BL98*Calculateur!BN98*VLOOKUP('Données projet'!$B$11,Paramètres!$A$1:$I$89,3,0)*0.475*44/12</f>
        <v>1.3806543247735499</v>
      </c>
      <c r="BR98" s="21">
        <f>EXP(-LN(2)/2)*BR97+(1-EXP(-LN(2)/2))/(LN(2)/2)*BL98*BO98*VLOOKUP('Données projet'!$B$11,Paramètres!$A$1:$I$89,3,0)*0.475*44/12</f>
        <v>2.1519883840659421E-9</v>
      </c>
      <c r="BS98" s="22">
        <f t="shared" si="63"/>
        <v>1.7797886439655672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68.672350415614858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5.9</v>
      </c>
      <c r="BY98" s="12">
        <f>IF('Données projet'!$A$114&gt;35,BY97+BX98-CG97,IF(A98&lt;'Données projet'!$A$114,$BV$205^A98,IF(A98='Données projet'!$A$114,'Données projet'!$B$114,BY97+BX98-CG97)))</f>
        <v>331.49999999999989</v>
      </c>
      <c r="BZ98" s="13">
        <f>BY98*VLOOKUP('Données projet'!$B$12,Paramètres!$A$1:$I$89,3,0)*VLOOKUP('Données projet'!$B$12,Paramètres!$A$1:$I$89,5,0)</f>
        <v>279.25559999999996</v>
      </c>
      <c r="CA98" s="13">
        <f t="shared" si="93"/>
        <v>66.809671397146161</v>
      </c>
      <c r="CB98" s="20">
        <f t="shared" si="64"/>
        <v>602.73034768336277</v>
      </c>
      <c r="CC98" s="59">
        <f t="shared" si="65"/>
        <v>891.19563254061723</v>
      </c>
      <c r="CD98" s="59">
        <f ca="1">AVERAGE(OFFSET($CC$3,0,0,'Données projet'!$E$12+1,1))-AVERAGE(OFFSET($H$3,0,0,'Données projet'!$E$12+1,1))</f>
        <v>449.94334483948603</v>
      </c>
      <c r="CE98" s="59">
        <f t="shared" si="94"/>
        <v>318.02929110264176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0.61896521780976788</v>
      </c>
      <c r="CL98" s="21">
        <f>EXP(-LN(2)/25)*CL97+(1-EXP(-LN(2)/25))/(LN(2)/25)*Calculateur!CG98*Calculateur!CI98*VLOOKUP('Données projet'!$B$12,Paramètres!$A$1:$I$89,3,0)*0.475*44/12</f>
        <v>1.7326281881583543</v>
      </c>
      <c r="CM98" s="21">
        <f>EXP(-LN(2)/2)*CM97+(1-EXP(-LN(2)/2))/(LN(2)/2)*CG98*CJ98*VLOOKUP('Données projet'!$B$12,Paramètres!$A$1:$I$89,3,0)*0.475*44/12</f>
        <v>3.3037366565071281E-9</v>
      </c>
      <c r="CN98" s="22">
        <f t="shared" si="66"/>
        <v>2.3515934092718589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68.672350415614858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7.4</v>
      </c>
      <c r="CT98" s="12">
        <f>IF('Données projet'!$A$140&gt;35,CT97+CS98-DB97,IF(A98&lt;'Données projet'!$A$140,$CQ$205^A98,IF(A98='Données projet'!$A$140,'Données projet'!$B$140,CT97+CS98-DB97)))</f>
        <v>388.00000000000023</v>
      </c>
      <c r="CU98" s="17">
        <f>CT98*VLOOKUP('Données projet'!$B$13,Paramètres!$A$1:$I$89,3,0)*VLOOKUP('Données projet'!$B$13,Paramètres!$A$1:$I$89,5,0)</f>
        <v>332.90400000000022</v>
      </c>
      <c r="CV98" s="13">
        <f t="shared" si="95"/>
        <v>78.032073109961033</v>
      </c>
      <c r="CW98" s="20">
        <f t="shared" si="67"/>
        <v>715.71366066651581</v>
      </c>
      <c r="CX98" s="59">
        <f t="shared" si="68"/>
        <v>1004.1789455237704</v>
      </c>
      <c r="CY98" s="59">
        <f ca="1">AVERAGE(OFFSET($CX$3,0,0,'Données projet'!$E$13+1,1))-AVERAGE(OFFSET($H$3,0,0,'Données projet'!$E$13+1,1))</f>
        <v>565.32667500225568</v>
      </c>
      <c r="CZ98" s="59">
        <f t="shared" si="96"/>
        <v>275.06957234480944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0</v>
      </c>
      <c r="DG98" s="21">
        <f>EXP(-LN(2)/25)*DG97+(1-EXP(-LN(2)/25))/(LN(2)/25)*Calculateur!DB98*Calculateur!DD98*VLOOKUP('Données projet'!$B$13,Paramètres!$A$1:$I$89,3,0)*0.475*44/12</f>
        <v>0.72264828108989543</v>
      </c>
      <c r="DH98" s="21">
        <f>EXP(-LN(2)/2)*DH97+(1-EXP(-LN(2)/2))/(LN(2)/2)*DB98*DE98*VLOOKUP('Données projet'!$B$13,Paramètres!$A$1:$I$89,3,0)*0.475*44/12</f>
        <v>1.1662046666531363E-9</v>
      </c>
      <c r="DI98" s="22">
        <f t="shared" si="69"/>
        <v>0.72264828225610012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68.672350415614858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-1.2505552149377763E-12</v>
      </c>
      <c r="DP98" s="17">
        <f>DO98*VLOOKUP('Données projet'!$B$14,Paramètres!$A$1:$I$89,3,0)*VLOOKUP('Données projet'!$B$14,Paramètres!$A$1:$I$89,5,0)</f>
        <v>-6.9906036515021697E-13</v>
      </c>
      <c r="DQ98" s="13" t="e">
        <f t="shared" si="97"/>
        <v>#NUM!</v>
      </c>
      <c r="DR98" s="20" t="e">
        <f t="shared" si="70"/>
        <v>#NUM!</v>
      </c>
      <c r="DS98" s="59" t="e">
        <f t="shared" si="71"/>
        <v>#NUM!</v>
      </c>
      <c r="DT98" s="59">
        <f ca="1">AVERAGE(OFFSET($DS$3,0,0,'Données projet'!$E$14+1,1))-AVERAGE(OFFSET($H$3,0,0,'Données projet'!$E$14+1,1))</f>
        <v>532.64469322244281</v>
      </c>
      <c r="DU98" s="59">
        <f t="shared" si="98"/>
        <v>525.88014011096413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3.1521376832904884</v>
      </c>
      <c r="EB98" s="21">
        <f>EXP(-LN(2)/25)*EB97+(1-EXP(-LN(2)/25))/(LN(2)/25)*Calculateur!DW98*Calculateur!DY98*VLOOKUP('Données projet'!$B$14,Paramètres!$A$1:$I$89,3,0)*0.475*44/12</f>
        <v>6.3929185313182817</v>
      </c>
      <c r="EC98" s="21">
        <f>EXP(-LN(2)/2)*EC97+(1-EXP(-LN(2)/2))/(LN(2)/2)*DW98*DZ98*VLOOKUP('Données projet'!$B$14,Paramètres!$A$1:$I$89,3,0)*0.475*44/12</f>
        <v>6.0045909369000301E-9</v>
      </c>
      <c r="ED98" s="22">
        <f t="shared" si="72"/>
        <v>9.5450562206133611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68.672350415614858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4.9000000000000004</v>
      </c>
      <c r="EJ98" s="12">
        <f>IF('Données projet'!$A$192&gt;35,EJ97+EI98-ER97,IF(A98&lt;'Données projet'!$A$192,$EG$205^A98,IF(A98='Données projet'!$A$192,'Données projet'!$B$192,EJ97+EI98-ER97)))</f>
        <v>278.50000000000034</v>
      </c>
      <c r="EK98" s="17">
        <f>EJ98*VLOOKUP('Données projet'!$B$15,Paramètres!$A$1:$I$89,3,0)*VLOOKUP('Données projet'!$B$15,Paramètres!$A$1:$I$89,5,0)</f>
        <v>251.98680000000033</v>
      </c>
      <c r="EL98" s="13">
        <f t="shared" si="99"/>
        <v>61.011187970195103</v>
      </c>
      <c r="EM98" s="20">
        <f t="shared" si="73"/>
        <v>545.13816238142374</v>
      </c>
      <c r="EN98" s="59">
        <f t="shared" si="74"/>
        <v>833.6034472386782</v>
      </c>
      <c r="EO98" s="59">
        <f ca="1">AVERAGE(OFFSET($EN$3,0,0,'Données projet'!$E$15+1,1))-AVERAGE(OFFSET($H$3,0,0,'Données projet'!$E$15+1,1))</f>
        <v>398.27843768730202</v>
      </c>
      <c r="EP98" s="59">
        <f t="shared" si="100"/>
        <v>252.3617347568813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0</v>
      </c>
      <c r="EW98" s="21">
        <f>EXP(-LN(2)/25)*EW97+(1-EXP(-LN(2)/25))/(LN(2)/25)*Calculateur!ER98*Calculateur!ET98*VLOOKUP('Données projet'!$B$15,Paramètres!$A$1:$I$89,3,0)*0.475*44/12</f>
        <v>0.51228874862149321</v>
      </c>
      <c r="EX98" s="21">
        <f>EXP(-LN(2)/2)*EX97+(1-EXP(-LN(2)/2))/(LN(2)/2)*ER98*EU98*VLOOKUP('Données projet'!$B$15,Paramètres!$A$1:$I$89,3,0)*0.475*44/12</f>
        <v>1.0189902593821169E-9</v>
      </c>
      <c r="EY98" s="22">
        <f t="shared" si="75"/>
        <v>0.51228874964048343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68.672350415614858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4.9000000000000004</v>
      </c>
      <c r="FE98" s="12">
        <f>IF('Données projet'!$A$218&gt;35,FE97+FD98-FM97,IF(A98&lt;'Données projet'!$A$218,$FB$205^A98,IF(A98='Données projet'!$A$218,'Données projet'!$B$218,FE97+FD98-FM97)))</f>
        <v>278.50000000000034</v>
      </c>
      <c r="FF98" s="17">
        <f>FE98*VLOOKUP('Données projet'!$B$16,Paramètres!$A$1:$I$89,3,0)*VLOOKUP('Données projet'!$B$16,Paramètres!$A$1:$I$89,5,0)</f>
        <v>269.36520000000036</v>
      </c>
      <c r="FG98" s="13">
        <f t="shared" si="101"/>
        <v>64.714530255967148</v>
      </c>
      <c r="FH98" s="20">
        <f t="shared" si="76"/>
        <v>581.85553019581005</v>
      </c>
      <c r="FI98" s="59">
        <f t="shared" si="77"/>
        <v>870.32081505306451</v>
      </c>
      <c r="FJ98" s="59">
        <f ca="1">AVERAGE(OFFSET($FI$3,0,0,'Données projet'!$E$16+1,1))-AVERAGE(OFFSET($H$3,0,0,'Données projet'!$E$16+1,1))</f>
        <v>422.28024471365825</v>
      </c>
      <c r="FK98" s="59">
        <f t="shared" si="102"/>
        <v>266.49730479813206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0</v>
      </c>
      <c r="FR98" s="21">
        <f>EXP(-LN(2)/25)*FR97+(1-EXP(-LN(2)/25))/(LN(2)/25)*Calculateur!FM98*Calculateur!FO98*VLOOKUP('Données projet'!$B$16,Paramètres!$A$1:$I$89,3,0)*0.475*44/12</f>
        <v>0.5476190071471132</v>
      </c>
      <c r="FS98" s="21">
        <f>EXP(-LN(2)/2)*FS97+(1-EXP(-LN(2)/2))/(LN(2)/2)*FM98*FP98*VLOOKUP('Données projet'!$B$16,Paramètres!$A$1:$I$89,3,0)*0.475*44/12</f>
        <v>1.0892654496843316E-9</v>
      </c>
      <c r="FT98" s="22">
        <f t="shared" si="78"/>
        <v>0.54761900823637866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68.672350415614858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3.4106051316484809E-13</v>
      </c>
      <c r="GA98" s="17">
        <f>FZ98*VLOOKUP('Données projet'!$B$17,Paramètres!$A$1:$I$89,3,0)*VLOOKUP('Données projet'!$B$17,Paramètres!$A$1:$I$89,5,0)</f>
        <v>2.6602720026858149E-13</v>
      </c>
      <c r="GB98" s="13">
        <f t="shared" si="103"/>
        <v>3.5662905043956649E-12</v>
      </c>
      <c r="GC98" s="20">
        <f t="shared" si="79"/>
        <v>6.6746200022902298E-12</v>
      </c>
      <c r="GD98" s="59">
        <f t="shared" si="80"/>
        <v>288.46528485726117</v>
      </c>
      <c r="GE98" s="59">
        <f ca="1">AVERAGE(OFFSET($GD$3,0,0,'Données projet'!$E$17+1,1))-AVERAGE(OFFSET($H$3,0,0,'Données projet'!$E$17+1,1))</f>
        <v>300.95722646933314</v>
      </c>
      <c r="GF98" s="59">
        <f t="shared" si="104"/>
        <v>269.52365224623759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>
        <f>EXP(-LN(2)/35)*GL97+(1-EXP(-LN(2)/35))/(LN(2)/35)*GH98*GI98*VLOOKUP('Données projet'!$B$17,Paramètres!$A$1:$I$89,3,0)*0.475*44/12</f>
        <v>0.2456211181784794</v>
      </c>
      <c r="GM98" s="21">
        <f>EXP(-LN(2)/25)*GM97+(1-EXP(-LN(2)/25))/(LN(2)/25)*Calculateur!GH98*Calculateur!GJ98*VLOOKUP('Données projet'!$B$17,Paramètres!$A$1:$I$89,3,0)*0.475*44/12</f>
        <v>1.0290762539704017</v>
      </c>
      <c r="GN98" s="21">
        <f>EXP(-LN(2)/2)*GN97+(1-EXP(-LN(2)/2))/(LN(2)/2)*GH98*GK98*VLOOKUP('Données projet'!$B$17,Paramètres!$A$1:$I$89,3,0)*0.475*44/12</f>
        <v>1.4585054596287864E-9</v>
      </c>
      <c r="GO98" s="21">
        <f t="shared" si="81"/>
        <v>1.2746973736073866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68.672350415614858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1.4000000000000001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5.1333333333333337</v>
      </c>
      <c r="H99" s="67">
        <f t="shared" si="56"/>
        <v>236.13333333333335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68.695382167724134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5.9</v>
      </c>
      <c r="N99" s="13">
        <f>IF('Données projet'!$A$36&gt;35,N98+M99-V98,IF(A99&lt;'Données projet'!$A$36,$K$205^A99,IF(A99='Données projet'!$A$36,'Données projet'!$B$36,N98+M99-V98)))</f>
        <v>337.39999999999986</v>
      </c>
      <c r="O99" s="13">
        <f>N99*VLOOKUP('Données projet'!$B$9,Paramètres!$A$1:$I$89,3,0)*VLOOKUP('Données projet'!$B$9,Paramètres!$A$1:$I$89,5,0)</f>
        <v>305.27951999999982</v>
      </c>
      <c r="P99" s="13">
        <f t="shared" si="87"/>
        <v>72.282127407576809</v>
      </c>
      <c r="Q99" s="20">
        <f t="shared" ref="Q99:Q130" si="107">(O99+P99)*0.475*44/12</f>
        <v>657.58653590152937</v>
      </c>
      <c r="R99" s="59">
        <f t="shared" si="55"/>
        <v>946.13627051651792</v>
      </c>
      <c r="S99" s="59">
        <f ca="1">AVERAGE(OFFSET($R$3,0,0,'Données projet'!$E$9+1,1))-AVERAGE(OFFSET($H$3,0,0,'Données projet'!$E$9+1,1))</f>
        <v>479.46542424895119</v>
      </c>
      <c r="T99" s="59">
        <f t="shared" si="88"/>
        <v>337.96395820277337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0.65177788648817281</v>
      </c>
      <c r="AA99" s="21">
        <f>EXP(-LN(2)/25)*AA98+(1-EXP(-LN(2)/25))/(LN(2)/25)*Calculateur!V99*Calculateur!X99*VLOOKUP('Données projet'!$B$9,Paramètres!$A$1:$I$89,3,0)*0.475*44/12</f>
        <v>1.8100826665891854</v>
      </c>
      <c r="AB99" s="21">
        <f>EXP(-LN(2)/2)*AB98+(1-EXP(-LN(2)/2))/(LN(2)/2)*V99*Y99*VLOOKUP('Données projet'!$B$9,Paramètres!$A$1:$I$89,3,0)*0.475*44/12</f>
        <v>2.5091386370019385E-9</v>
      </c>
      <c r="AC99" s="22">
        <f t="shared" si="57"/>
        <v>2.461860555586497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68.695382167724134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5.9</v>
      </c>
      <c r="AI99" s="13">
        <f>IF('Données projet'!$A$62&gt;35,AI98+AH99-AQ98,IF(A99&lt;'Données projet'!$A$62,$AF$205^A99,IF(A99='Données projet'!$A$62,'Données projet'!$B$62,AI98+AH99-AQ98)))</f>
        <v>337.39999999999986</v>
      </c>
      <c r="AJ99" s="13">
        <f>AI99*VLOOKUP('Données projet'!$B$10,Paramètres!$A$1:$I$89,3,0)*VLOOKUP('Données projet'!$B$10,Paramètres!$A$1:$I$89,5,0)</f>
        <v>326.33327999999983</v>
      </c>
      <c r="AK99" s="13">
        <f t="shared" si="89"/>
        <v>76.669608914490098</v>
      </c>
      <c r="AL99" s="20">
        <f t="shared" si="58"/>
        <v>701.89669819273661</v>
      </c>
      <c r="AM99" s="59">
        <f t="shared" si="59"/>
        <v>990.44643280772516</v>
      </c>
      <c r="AN99" s="59">
        <f ca="1">AVERAGE(OFFSET($AM$3,0,0,'Données projet'!$E$10+1,1))-AVERAGE(OFFSET($H$3,0,0,'Données projet'!$E$10+1,1))</f>
        <v>508.94560627895089</v>
      </c>
      <c r="AO99" s="59">
        <f t="shared" si="90"/>
        <v>357.86868650263034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0.69672808555632315</v>
      </c>
      <c r="AV99" s="21">
        <f>EXP(-LN(2)/25)*AV98+(1-EXP(-LN(2)/25))/(LN(2)/25)*Calculateur!AQ99*Calculateur!AS99*VLOOKUP('Données projet'!$B$10,Paramètres!$A$1:$I$89,3,0)*0.475*44/12</f>
        <v>1.9349159539401641</v>
      </c>
      <c r="AW99" s="21">
        <f>EXP(-LN(2)/2)*AW98+(1-EXP(-LN(2)/2))/(LN(2)/2)*AQ99*AT99*VLOOKUP('Données projet'!$B$10,Paramètres!$A$1:$I$89,3,0)*0.475*44/12</f>
        <v>2.6821826809330944E-9</v>
      </c>
      <c r="AX99" s="21">
        <f t="shared" si="60"/>
        <v>2.63164404217867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68.695382167724134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1.7053025658242404E-13</v>
      </c>
      <c r="BE99" s="13">
        <f>BD99*VLOOKUP('Données projet'!$B$11,Paramètres!$A$1:$I$89,3,0)*VLOOKUP('Données projet'!$B$11,Paramètres!$A$1:$I$89,5,0)</f>
        <v>1.3301360013429075E-13</v>
      </c>
      <c r="BF99" s="13">
        <f t="shared" si="91"/>
        <v>1.9329766731057041E-12</v>
      </c>
      <c r="BG99" s="20">
        <f t="shared" si="61"/>
        <v>3.5982663925596575E-12</v>
      </c>
      <c r="BH99" s="59">
        <f t="shared" si="62"/>
        <v>288.54973461499208</v>
      </c>
      <c r="BI99" s="59">
        <f ca="1">AVERAGE(OFFSET($BH$3,0,0,'Données projet'!$E$11+1,1))-AVERAGE(OFFSET($H$3,0,0,'Données projet'!$E$11+1,1))</f>
        <v>383.03154033422328</v>
      </c>
      <c r="BJ99" s="59">
        <f t="shared" si="92"/>
        <v>373.27897156169877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0.39130753653076888</v>
      </c>
      <c r="BQ99" s="21">
        <f>EXP(-LN(2)/25)*BQ98+(1-EXP(-LN(2)/25))/(LN(2)/25)*Calculateur!BL99*Calculateur!BN99*VLOOKUP('Données projet'!$B$11,Paramètres!$A$1:$I$89,3,0)*0.475*44/12</f>
        <v>1.3429002596571618</v>
      </c>
      <c r="BR99" s="21">
        <f>EXP(-LN(2)/2)*BR98+(1-EXP(-LN(2)/2))/(LN(2)/2)*BL99*BO99*VLOOKUP('Données projet'!$B$11,Paramètres!$A$1:$I$89,3,0)*0.475*44/12</f>
        <v>1.5216855794077082E-9</v>
      </c>
      <c r="BS99" s="22">
        <f t="shared" si="63"/>
        <v>1.7342077977096164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68.695382167724134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5.9</v>
      </c>
      <c r="BY99" s="12">
        <f>IF('Données projet'!$A$114&gt;35,BY98+BX99-CG98,IF(A99&lt;'Données projet'!$A$114,$BV$205^A99,IF(A99='Données projet'!$A$114,'Données projet'!$B$114,BY98+BX99-CG98)))</f>
        <v>337.39999999999986</v>
      </c>
      <c r="BZ99" s="13">
        <f>BY99*VLOOKUP('Données projet'!$B$12,Paramètres!$A$1:$I$89,3,0)*VLOOKUP('Données projet'!$B$12,Paramètres!$A$1:$I$89,5,0)</f>
        <v>284.22575999999992</v>
      </c>
      <c r="CA99" s="13">
        <f t="shared" si="93"/>
        <v>67.859253423756542</v>
      </c>
      <c r="CB99" s="20">
        <f t="shared" si="64"/>
        <v>613.2147317130424</v>
      </c>
      <c r="CC99" s="59">
        <f t="shared" si="65"/>
        <v>901.76446632803095</v>
      </c>
      <c r="CD99" s="59">
        <f ca="1">AVERAGE(OFFSET($CC$3,0,0,'Données projet'!$E$12+1,1))-AVERAGE(OFFSET($H$3,0,0,'Données projet'!$E$12+1,1))</f>
        <v>449.94334483948603</v>
      </c>
      <c r="CE99" s="59">
        <f t="shared" si="94"/>
        <v>318.02929110264176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0.60682768742002302</v>
      </c>
      <c r="CL99" s="21">
        <f>EXP(-LN(2)/25)*CL98+(1-EXP(-LN(2)/25))/(LN(2)/25)*Calculateur!CG99*Calculateur!CI99*VLOOKUP('Données projet'!$B$12,Paramètres!$A$1:$I$89,3,0)*0.475*44/12</f>
        <v>1.6852493792382077</v>
      </c>
      <c r="CM99" s="21">
        <f>EXP(-LN(2)/2)*CM98+(1-EXP(-LN(2)/2))/(LN(2)/2)*CG99*CJ99*VLOOKUP('Données projet'!$B$12,Paramètres!$A$1:$I$89,3,0)*0.475*44/12</f>
        <v>2.3360945930707619E-9</v>
      </c>
      <c r="CN99" s="22">
        <f t="shared" si="66"/>
        <v>2.2920770689943253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68.695382167724134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7.4</v>
      </c>
      <c r="CT99" s="12">
        <f>IF('Données projet'!$A$140&gt;35,CT98+CS99-DB98,IF(A99&lt;'Données projet'!$A$140,$CQ$205^A99,IF(A99='Données projet'!$A$140,'Données projet'!$B$140,CT98+CS99-DB98)))</f>
        <v>395.4000000000002</v>
      </c>
      <c r="CU99" s="17">
        <f>CT99*VLOOKUP('Données projet'!$B$13,Paramètres!$A$1:$I$89,3,0)*VLOOKUP('Données projet'!$B$13,Paramètres!$A$1:$I$89,5,0)</f>
        <v>339.25320000000022</v>
      </c>
      <c r="CV99" s="13">
        <f t="shared" si="95"/>
        <v>79.345633073344132</v>
      </c>
      <c r="CW99" s="20">
        <f t="shared" si="67"/>
        <v>729.05963426940798</v>
      </c>
      <c r="CX99" s="59">
        <f t="shared" si="68"/>
        <v>1017.6093688843964</v>
      </c>
      <c r="CY99" s="59">
        <f ca="1">AVERAGE(OFFSET($CX$3,0,0,'Données projet'!$E$13+1,1))-AVERAGE(OFFSET($H$3,0,0,'Données projet'!$E$13+1,1))</f>
        <v>565.32667500225568</v>
      </c>
      <c r="CZ99" s="59">
        <f t="shared" si="96"/>
        <v>275.06957234480944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0</v>
      </c>
      <c r="DG99" s="21">
        <f>EXP(-LN(2)/25)*DG98+(1-EXP(-LN(2)/25))/(LN(2)/25)*Calculateur!DB99*Calculateur!DD99*VLOOKUP('Données projet'!$B$13,Paramètres!$A$1:$I$89,3,0)*0.475*44/12</f>
        <v>0.70288742584107078</v>
      </c>
      <c r="DH99" s="21">
        <f>EXP(-LN(2)/2)*DH98+(1-EXP(-LN(2)/2))/(LN(2)/2)*DB99*DE99*VLOOKUP('Données projet'!$B$13,Paramètres!$A$1:$I$89,3,0)*0.475*44/12</f>
        <v>8.2463122804182989E-10</v>
      </c>
      <c r="DI99" s="22">
        <f t="shared" si="69"/>
        <v>0.70288742666570203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68.695382167724134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-1.2505552149377763E-12</v>
      </c>
      <c r="DP99" s="17">
        <f>DO99*VLOOKUP('Données projet'!$B$14,Paramètres!$A$1:$I$89,3,0)*VLOOKUP('Données projet'!$B$14,Paramètres!$A$1:$I$89,5,0)</f>
        <v>-6.9906036515021697E-13</v>
      </c>
      <c r="DQ99" s="13" t="e">
        <f t="shared" si="97"/>
        <v>#NUM!</v>
      </c>
      <c r="DR99" s="20" t="e">
        <f t="shared" si="70"/>
        <v>#NUM!</v>
      </c>
      <c r="DS99" s="59" t="e">
        <f t="shared" si="71"/>
        <v>#NUM!</v>
      </c>
      <c r="DT99" s="59">
        <f ca="1">AVERAGE(OFFSET($DS$3,0,0,'Données projet'!$E$14+1,1))-AVERAGE(OFFSET($H$3,0,0,'Données projet'!$E$14+1,1))</f>
        <v>532.64469322244281</v>
      </c>
      <c r="DU99" s="59">
        <f t="shared" si="98"/>
        <v>525.88014011096413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3.0903261859353064</v>
      </c>
      <c r="EB99" s="21">
        <f>EXP(-LN(2)/25)*EB98+(1-EXP(-LN(2)/25))/(LN(2)/25)*Calculateur!DW99*Calculateur!DY99*VLOOKUP('Données projet'!$B$14,Paramètres!$A$1:$I$89,3,0)*0.475*44/12</f>
        <v>6.2181038378904088</v>
      </c>
      <c r="EC99" s="21">
        <f>EXP(-LN(2)/2)*EC98+(1-EXP(-LN(2)/2))/(LN(2)/2)*DW99*DZ99*VLOOKUP('Données projet'!$B$14,Paramètres!$A$1:$I$89,3,0)*0.475*44/12</f>
        <v>4.2458869697332959E-9</v>
      </c>
      <c r="ED99" s="22">
        <f t="shared" si="72"/>
        <v>9.3084300280716015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68.695382167724134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4.9000000000000004</v>
      </c>
      <c r="EJ99" s="12">
        <f>IF('Données projet'!$A$192&gt;35,EJ98+EI99-ER98,IF(A99&lt;'Données projet'!$A$192,$EG$205^A99,IF(A99='Données projet'!$A$192,'Données projet'!$B$192,EJ98+EI99-ER98)))</f>
        <v>283.40000000000032</v>
      </c>
      <c r="EK99" s="17">
        <f>EJ99*VLOOKUP('Données projet'!$B$15,Paramètres!$A$1:$I$89,3,0)*VLOOKUP('Données projet'!$B$15,Paramètres!$A$1:$I$89,5,0)</f>
        <v>256.42032000000029</v>
      </c>
      <c r="EL99" s="13">
        <f t="shared" si="99"/>
        <v>61.958720258016967</v>
      </c>
      <c r="EM99" s="20">
        <f t="shared" si="73"/>
        <v>554.51016178271334</v>
      </c>
      <c r="EN99" s="59">
        <f t="shared" si="74"/>
        <v>843.05989639770178</v>
      </c>
      <c r="EO99" s="59">
        <f ca="1">AVERAGE(OFFSET($EN$3,0,0,'Données projet'!$E$15+1,1))-AVERAGE(OFFSET($H$3,0,0,'Données projet'!$E$15+1,1))</f>
        <v>398.27843768730202</v>
      </c>
      <c r="EP99" s="59">
        <f t="shared" si="100"/>
        <v>252.3617347568813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0</v>
      </c>
      <c r="EW99" s="21">
        <f>EXP(-LN(2)/25)*EW98+(1-EXP(-LN(2)/25))/(LN(2)/25)*Calculateur!ER99*Calculateur!ET99*VLOOKUP('Données projet'!$B$15,Paramètres!$A$1:$I$89,3,0)*0.475*44/12</f>
        <v>0.49828018585034406</v>
      </c>
      <c r="EX99" s="21">
        <f>EXP(-LN(2)/2)*EX98+(1-EXP(-LN(2)/2))/(LN(2)/2)*ER99*EU99*VLOOKUP('Données projet'!$B$15,Paramètres!$A$1:$I$89,3,0)*0.475*44/12</f>
        <v>7.2053492237213385E-10</v>
      </c>
      <c r="EY99" s="22">
        <f t="shared" si="75"/>
        <v>0.49828018657087897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68.695382167724134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4.9000000000000004</v>
      </c>
      <c r="FE99" s="12">
        <f>IF('Données projet'!$A$218&gt;35,FE98+FD99-FM98,IF(A99&lt;'Données projet'!$A$218,$FB$205^A99,IF(A99='Données projet'!$A$218,'Données projet'!$B$218,FE98+FD99-FM98)))</f>
        <v>283.40000000000032</v>
      </c>
      <c r="FF99" s="17">
        <f>FE99*VLOOKUP('Données projet'!$B$16,Paramètres!$A$1:$I$89,3,0)*VLOOKUP('Données projet'!$B$16,Paramètres!$A$1:$I$89,5,0)</f>
        <v>274.10448000000031</v>
      </c>
      <c r="FG99" s="13">
        <f t="shared" si="101"/>
        <v>65.719577181765573</v>
      </c>
      <c r="FH99" s="20">
        <f t="shared" si="76"/>
        <v>591.86023292490881</v>
      </c>
      <c r="FI99" s="59">
        <f t="shared" si="77"/>
        <v>880.40996753989725</v>
      </c>
      <c r="FJ99" s="59">
        <f ca="1">AVERAGE(OFFSET($FI$3,0,0,'Données projet'!$E$16+1,1))-AVERAGE(OFFSET($H$3,0,0,'Données projet'!$E$16+1,1))</f>
        <v>422.28024471365825</v>
      </c>
      <c r="FK99" s="59">
        <f t="shared" si="102"/>
        <v>266.49730479813206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0</v>
      </c>
      <c r="FR99" s="21">
        <f>EXP(-LN(2)/25)*FR98+(1-EXP(-LN(2)/25))/(LN(2)/25)*Calculateur!FM99*Calculateur!FO99*VLOOKUP('Données projet'!$B$16,Paramètres!$A$1:$I$89,3,0)*0.475*44/12</f>
        <v>0.53264433659864341</v>
      </c>
      <c r="FS99" s="21">
        <f>EXP(-LN(2)/2)*FS98+(1-EXP(-LN(2)/2))/(LN(2)/2)*FM99*FP99*VLOOKUP('Données projet'!$B$16,Paramètres!$A$1:$I$89,3,0)*0.475*44/12</f>
        <v>7.7022698598400501E-10</v>
      </c>
      <c r="FT99" s="22">
        <f t="shared" si="78"/>
        <v>0.5326443373688704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68.695382167724134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3.4106051316484809E-13</v>
      </c>
      <c r="GA99" s="17">
        <f>FZ99*VLOOKUP('Données projet'!$B$17,Paramètres!$A$1:$I$89,3,0)*VLOOKUP('Données projet'!$B$17,Paramètres!$A$1:$I$89,5,0)</f>
        <v>2.6602720026858149E-13</v>
      </c>
      <c r="GB99" s="13">
        <f t="shared" si="103"/>
        <v>3.5662905043956649E-12</v>
      </c>
      <c r="GC99" s="20">
        <f t="shared" si="79"/>
        <v>6.6746200022902298E-12</v>
      </c>
      <c r="GD99" s="59">
        <f t="shared" si="80"/>
        <v>288.54973461499515</v>
      </c>
      <c r="GE99" s="59">
        <f ca="1">AVERAGE(OFFSET($GD$3,0,0,'Données projet'!$E$17+1,1))-AVERAGE(OFFSET($H$3,0,0,'Données projet'!$E$17+1,1))</f>
        <v>300.95722646933314</v>
      </c>
      <c r="GF99" s="59">
        <f t="shared" si="104"/>
        <v>269.52365224623759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>
        <f>EXP(-LN(2)/35)*GL98+(1-EXP(-LN(2)/35))/(LN(2)/35)*GH99*GI99*VLOOKUP('Données projet'!$B$17,Paramètres!$A$1:$I$89,3,0)*0.475*44/12</f>
        <v>0.2408046378650886</v>
      </c>
      <c r="GM99" s="21">
        <f>EXP(-LN(2)/25)*GM98+(1-EXP(-LN(2)/25))/(LN(2)/25)*Calculateur!GH99*Calculateur!GJ99*VLOOKUP('Données projet'!$B$17,Paramètres!$A$1:$I$89,3,0)*0.475*44/12</f>
        <v>1.0009361096888127</v>
      </c>
      <c r="GN99" s="21">
        <f>EXP(-LN(2)/2)*GN98+(1-EXP(-LN(2)/2))/(LN(2)/2)*GH99*GK99*VLOOKUP('Données projet'!$B$17,Paramètres!$A$1:$I$89,3,0)*0.475*44/12</f>
        <v>1.0313191009011172E-9</v>
      </c>
      <c r="GO99" s="21">
        <f t="shared" si="81"/>
        <v>1.2417407485852203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68.695382167724134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1.4000000000000001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5.1333333333333337</v>
      </c>
      <c r="H100" s="67">
        <f t="shared" si="56"/>
        <v>236.13333333333335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68.718014370425593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5.9</v>
      </c>
      <c r="N100" s="13">
        <f>IF('Données projet'!$A$36&gt;35,N99+M100-V99,IF(A100&lt;'Données projet'!$A$36,$K$205^A100,IF(A100='Données projet'!$A$36,'Données projet'!$B$36,N99+M100-V99)))</f>
        <v>343.29999999999984</v>
      </c>
      <c r="O100" s="13">
        <f>N100*VLOOKUP('Données projet'!$B$9,Paramètres!$A$1:$I$89,3,0)*VLOOKUP('Données projet'!$B$9,Paramètres!$A$1:$I$89,5,0)</f>
        <v>310.61783999999983</v>
      </c>
      <c r="P100" s="13">
        <f t="shared" si="87"/>
        <v>73.397844798859666</v>
      </c>
      <c r="Q100" s="20">
        <f t="shared" si="107"/>
        <v>668.82731769134693</v>
      </c>
      <c r="R100" s="59">
        <f t="shared" si="55"/>
        <v>957.46003704957411</v>
      </c>
      <c r="S100" s="59">
        <f ca="1">AVERAGE(OFFSET($R$3,0,0,'Données projet'!$E$9+1,1))-AVERAGE(OFFSET($H$3,0,0,'Données projet'!$E$9+1,1))</f>
        <v>479.46542424895119</v>
      </c>
      <c r="T100" s="59">
        <f t="shared" si="88"/>
        <v>337.96395820277337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0.6389969196793962</v>
      </c>
      <c r="AA100" s="21">
        <f>EXP(-LN(2)/25)*AA99+(1-EXP(-LN(2)/25))/(LN(2)/25)*Calculateur!V100*Calculateur!X100*VLOOKUP('Données projet'!$B$9,Paramètres!$A$1:$I$89,3,0)*0.475*44/12</f>
        <v>1.7605858608831937</v>
      </c>
      <c r="AB100" s="21">
        <f>EXP(-LN(2)/2)*AB99+(1-EXP(-LN(2)/2))/(LN(2)/2)*V100*Y100*VLOOKUP('Données projet'!$B$9,Paramètres!$A$1:$I$89,3,0)*0.475*44/12</f>
        <v>1.7742289451612418E-9</v>
      </c>
      <c r="AC100" s="22">
        <f t="shared" si="57"/>
        <v>2.3995827823368185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68.718014370425593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5.9</v>
      </c>
      <c r="AI100" s="13">
        <f>IF('Données projet'!$A$62&gt;35,AI99+AH100-AQ99,IF(A100&lt;'Données projet'!$A$62,$AF$205^A100,IF(A100='Données projet'!$A$62,'Données projet'!$B$62,AI99+AH100-AQ99)))</f>
        <v>343.29999999999984</v>
      </c>
      <c r="AJ100" s="13">
        <f>AI100*VLOOKUP('Données projet'!$B$10,Paramètres!$A$1:$I$89,3,0)*VLOOKUP('Données projet'!$B$10,Paramètres!$A$1:$I$89,5,0)</f>
        <v>332.03975999999983</v>
      </c>
      <c r="AK100" s="13">
        <f t="shared" si="89"/>
        <v>77.853049678019502</v>
      </c>
      <c r="AL100" s="20">
        <f t="shared" si="58"/>
        <v>713.89664352255022</v>
      </c>
      <c r="AM100" s="59">
        <f t="shared" si="59"/>
        <v>1002.5293628807774</v>
      </c>
      <c r="AN100" s="59">
        <f ca="1">AVERAGE(OFFSET($AM$3,0,0,'Données projet'!$E$10+1,1))-AVERAGE(OFFSET($H$3,0,0,'Données projet'!$E$10+1,1))</f>
        <v>508.94560627895089</v>
      </c>
      <c r="AO100" s="59">
        <f t="shared" si="90"/>
        <v>357.86868650263034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0.68306567276073427</v>
      </c>
      <c r="AV100" s="21">
        <f>EXP(-LN(2)/25)*AV99+(1-EXP(-LN(2)/25))/(LN(2)/25)*Calculateur!AQ100*Calculateur!AS100*VLOOKUP('Données projet'!$B$10,Paramètres!$A$1:$I$89,3,0)*0.475*44/12</f>
        <v>1.8820055754268625</v>
      </c>
      <c r="AW100" s="21">
        <f>EXP(-LN(2)/2)*AW99+(1-EXP(-LN(2)/2))/(LN(2)/2)*AQ100*AT100*VLOOKUP('Données projet'!$B$10,Paramètres!$A$1:$I$89,3,0)*0.475*44/12</f>
        <v>1.8965895620689049E-9</v>
      </c>
      <c r="AX100" s="21">
        <f t="shared" si="60"/>
        <v>2.5650712500841863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68.718014370425593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1.7053025658242404E-13</v>
      </c>
      <c r="BE100" s="13">
        <f>BD100*VLOOKUP('Données projet'!$B$11,Paramètres!$A$1:$I$89,3,0)*VLOOKUP('Données projet'!$B$11,Paramètres!$A$1:$I$89,5,0)</f>
        <v>1.3301360013429075E-13</v>
      </c>
      <c r="BF100" s="13">
        <f t="shared" si="91"/>
        <v>1.9329766731057041E-12</v>
      </c>
      <c r="BG100" s="20">
        <f t="shared" si="61"/>
        <v>3.5982663925596575E-12</v>
      </c>
      <c r="BH100" s="59">
        <f t="shared" si="62"/>
        <v>288.63271935823076</v>
      </c>
      <c r="BI100" s="59">
        <f ca="1">AVERAGE(OFFSET($BH$3,0,0,'Données projet'!$E$11+1,1))-AVERAGE(OFFSET($H$3,0,0,'Données projet'!$E$11+1,1))</f>
        <v>383.03154033422328</v>
      </c>
      <c r="BJ100" s="59">
        <f t="shared" si="92"/>
        <v>373.27897156169877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0.3836342344134307</v>
      </c>
      <c r="BQ100" s="21">
        <f>EXP(-LN(2)/25)*BQ99+(1-EXP(-LN(2)/25))/(LN(2)/25)*Calculateur!BL100*Calculateur!BN100*VLOOKUP('Données projet'!$B$11,Paramètres!$A$1:$I$89,3,0)*0.475*44/12</f>
        <v>1.3061785814367812</v>
      </c>
      <c r="BR100" s="21">
        <f>EXP(-LN(2)/2)*BR99+(1-EXP(-LN(2)/2))/(LN(2)/2)*BL100*BO100*VLOOKUP('Données projet'!$B$11,Paramètres!$A$1:$I$89,3,0)*0.475*44/12</f>
        <v>1.0759941920329711E-9</v>
      </c>
      <c r="BS100" s="22">
        <f t="shared" si="63"/>
        <v>1.6898128169262061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68.718014370425593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5.9</v>
      </c>
      <c r="BY100" s="12">
        <f>IF('Données projet'!$A$114&gt;35,BY99+BX100-CG99,IF(A100&lt;'Données projet'!$A$114,$BV$205^A100,IF(A100='Données projet'!$A$114,'Données projet'!$B$114,BY99+BX100-CG99)))</f>
        <v>343.29999999999984</v>
      </c>
      <c r="BZ100" s="13">
        <f>BY100*VLOOKUP('Données projet'!$B$12,Paramètres!$A$1:$I$89,3,0)*VLOOKUP('Données projet'!$B$12,Paramètres!$A$1:$I$89,5,0)</f>
        <v>289.19591999999989</v>
      </c>
      <c r="CA100" s="13">
        <f t="shared" si="93"/>
        <v>68.906701138977155</v>
      </c>
      <c r="CB100" s="20">
        <f t="shared" si="64"/>
        <v>623.69539848371835</v>
      </c>
      <c r="CC100" s="59">
        <f t="shared" si="65"/>
        <v>912.32811784194553</v>
      </c>
      <c r="CD100" s="59">
        <f ca="1">AVERAGE(OFFSET($CC$3,0,0,'Données projet'!$E$12+1,1))-AVERAGE(OFFSET($H$3,0,0,'Données projet'!$E$12+1,1))</f>
        <v>449.94334483948603</v>
      </c>
      <c r="CE100" s="59">
        <f t="shared" si="94"/>
        <v>318.02929110264176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0.59492816659805858</v>
      </c>
      <c r="CL100" s="21">
        <f>EXP(-LN(2)/25)*CL99+(1-EXP(-LN(2)/25))/(LN(2)/25)*Calculateur!CG100*Calculateur!CI100*VLOOKUP('Données projet'!$B$12,Paramètres!$A$1:$I$89,3,0)*0.475*44/12</f>
        <v>1.6391661463395257</v>
      </c>
      <c r="CM100" s="21">
        <f>EXP(-LN(2)/2)*CM99+(1-EXP(-LN(2)/2))/(LN(2)/2)*CG100*CJ100*VLOOKUP('Données projet'!$B$12,Paramètres!$A$1:$I$89,3,0)*0.475*44/12</f>
        <v>1.6518683282535641E-9</v>
      </c>
      <c r="CN100" s="22">
        <f t="shared" si="66"/>
        <v>2.2340943145894525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68.718014370425593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7.4</v>
      </c>
      <c r="CT100" s="12">
        <f>IF('Données projet'!$A$140&gt;35,CT99+CS100-DB99,IF(A100&lt;'Données projet'!$A$140,$CQ$205^A100,IF(A100='Données projet'!$A$140,'Données projet'!$B$140,CT99+CS100-DB99)))</f>
        <v>402.80000000000018</v>
      </c>
      <c r="CU100" s="17">
        <f>CT100*VLOOKUP('Données projet'!$B$13,Paramètres!$A$1:$I$89,3,0)*VLOOKUP('Données projet'!$B$13,Paramètres!$A$1:$I$89,5,0)</f>
        <v>345.60240000000016</v>
      </c>
      <c r="CV100" s="13">
        <f t="shared" si="95"/>
        <v>80.656334447313711</v>
      </c>
      <c r="CW100" s="20">
        <f t="shared" si="67"/>
        <v>742.40062916240504</v>
      </c>
      <c r="CX100" s="59">
        <f t="shared" si="68"/>
        <v>1031.0333485206322</v>
      </c>
      <c r="CY100" s="59">
        <f ca="1">AVERAGE(OFFSET($CX$3,0,0,'Données projet'!$E$13+1,1))-AVERAGE(OFFSET($H$3,0,0,'Données projet'!$E$13+1,1))</f>
        <v>565.32667500225568</v>
      </c>
      <c r="CZ100" s="59">
        <f t="shared" si="96"/>
        <v>275.06957234480944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0</v>
      </c>
      <c r="DG100" s="21">
        <f>EXP(-LN(2)/25)*DG99+(1-EXP(-LN(2)/25))/(LN(2)/25)*Calculateur!DB100*Calculateur!DD100*VLOOKUP('Données projet'!$B$13,Paramètres!$A$1:$I$89,3,0)*0.475*44/12</f>
        <v>0.6836669322182034</v>
      </c>
      <c r="DH100" s="21">
        <f>EXP(-LN(2)/2)*DH99+(1-EXP(-LN(2)/2))/(LN(2)/2)*DB100*DE100*VLOOKUP('Données projet'!$B$13,Paramètres!$A$1:$I$89,3,0)*0.475*44/12</f>
        <v>5.8310233332656817E-10</v>
      </c>
      <c r="DI100" s="22">
        <f t="shared" si="69"/>
        <v>0.68366693280130575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68.718014370425593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-1.2505552149377763E-12</v>
      </c>
      <c r="DP100" s="17">
        <f>DO100*VLOOKUP('Données projet'!$B$14,Paramètres!$A$1:$I$89,3,0)*VLOOKUP('Données projet'!$B$14,Paramètres!$A$1:$I$89,5,0)</f>
        <v>-6.9906036515021697E-13</v>
      </c>
      <c r="DQ100" s="13" t="e">
        <f t="shared" si="97"/>
        <v>#NUM!</v>
      </c>
      <c r="DR100" s="20" t="e">
        <f t="shared" si="70"/>
        <v>#NUM!</v>
      </c>
      <c r="DS100" s="59" t="e">
        <f t="shared" si="71"/>
        <v>#NUM!</v>
      </c>
      <c r="DT100" s="59">
        <f ca="1">AVERAGE(OFFSET($DS$3,0,0,'Données projet'!$E$14+1,1))-AVERAGE(OFFSET($H$3,0,0,'Données projet'!$E$14+1,1))</f>
        <v>532.64469322244281</v>
      </c>
      <c r="DU100" s="59">
        <f t="shared" si="98"/>
        <v>525.88014011096413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3.0297267743419689</v>
      </c>
      <c r="EB100" s="21">
        <f>EXP(-LN(2)/25)*EB99+(1-EXP(-LN(2)/25))/(LN(2)/25)*Calculateur!DW100*Calculateur!DY100*VLOOKUP('Données projet'!$B$14,Paramètres!$A$1:$I$89,3,0)*0.475*44/12</f>
        <v>6.048069461447426</v>
      </c>
      <c r="EC100" s="21">
        <f>EXP(-LN(2)/2)*EC99+(1-EXP(-LN(2)/2))/(LN(2)/2)*DW100*DZ100*VLOOKUP('Données projet'!$B$14,Paramètres!$A$1:$I$89,3,0)*0.475*44/12</f>
        <v>3.0022954684500151E-9</v>
      </c>
      <c r="ED100" s="22">
        <f t="shared" si="72"/>
        <v>9.0777962387916897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68.718014370425593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4.9000000000000004</v>
      </c>
      <c r="EJ100" s="12">
        <f>IF('Données projet'!$A$192&gt;35,EJ99+EI100-ER99,IF(A100&lt;'Données projet'!$A$192,$EG$205^A100,IF(A100='Données projet'!$A$192,'Données projet'!$B$192,EJ99+EI100-ER99)))</f>
        <v>288.3000000000003</v>
      </c>
      <c r="EK100" s="17">
        <f>EJ100*VLOOKUP('Données projet'!$B$15,Paramètres!$A$1:$I$89,3,0)*VLOOKUP('Données projet'!$B$15,Paramètres!$A$1:$I$89,5,0)</f>
        <v>260.85384000000028</v>
      </c>
      <c r="EL100" s="13">
        <f t="shared" si="99"/>
        <v>62.90434739590382</v>
      </c>
      <c r="EM100" s="20">
        <f t="shared" si="73"/>
        <v>563.87884304786633</v>
      </c>
      <c r="EN100" s="59">
        <f t="shared" si="74"/>
        <v>852.5115624060935</v>
      </c>
      <c r="EO100" s="59">
        <f ca="1">AVERAGE(OFFSET($EN$3,0,0,'Données projet'!$E$15+1,1))-AVERAGE(OFFSET($H$3,0,0,'Données projet'!$E$15+1,1))</f>
        <v>398.27843768730202</v>
      </c>
      <c r="EP100" s="59">
        <f t="shared" si="100"/>
        <v>252.3617347568813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0</v>
      </c>
      <c r="EW100" s="21">
        <f>EXP(-LN(2)/25)*EW99+(1-EXP(-LN(2)/25))/(LN(2)/25)*Calculateur!ER100*Calculateur!ET100*VLOOKUP('Données projet'!$B$15,Paramètres!$A$1:$I$89,3,0)*0.475*44/12</f>
        <v>0.48465468796485028</v>
      </c>
      <c r="EX100" s="21">
        <f>EXP(-LN(2)/2)*EX99+(1-EXP(-LN(2)/2))/(LN(2)/2)*ER100*EU100*VLOOKUP('Données projet'!$B$15,Paramètres!$A$1:$I$89,3,0)*0.475*44/12</f>
        <v>5.0949512969105845E-10</v>
      </c>
      <c r="EY100" s="22">
        <f t="shared" si="75"/>
        <v>0.4846546884743454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68.718014370425593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4.9000000000000004</v>
      </c>
      <c r="FE100" s="12">
        <f>IF('Données projet'!$A$218&gt;35,FE99+FD100-FM99,IF(A100&lt;'Données projet'!$A$218,$FB$205^A100,IF(A100='Données projet'!$A$218,'Données projet'!$B$218,FE99+FD100-FM99)))</f>
        <v>288.3000000000003</v>
      </c>
      <c r="FF100" s="17">
        <f>FE100*VLOOKUP('Données projet'!$B$16,Paramètres!$A$1:$I$89,3,0)*VLOOKUP('Données projet'!$B$16,Paramètres!$A$1:$I$89,5,0)</f>
        <v>278.84376000000032</v>
      </c>
      <c r="FG100" s="13">
        <f t="shared" si="101"/>
        <v>66.722603316177853</v>
      </c>
      <c r="FH100" s="20">
        <f t="shared" si="76"/>
        <v>601.86141610901029</v>
      </c>
      <c r="FI100" s="59">
        <f t="shared" si="77"/>
        <v>890.49413546723747</v>
      </c>
      <c r="FJ100" s="59">
        <f ca="1">AVERAGE(OFFSET($FI$3,0,0,'Données projet'!$E$16+1,1))-AVERAGE(OFFSET($H$3,0,0,'Données projet'!$E$16+1,1))</f>
        <v>422.28024471365825</v>
      </c>
      <c r="FK100" s="59">
        <f t="shared" si="102"/>
        <v>266.49730479813206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0</v>
      </c>
      <c r="FR100" s="21">
        <f>EXP(-LN(2)/25)*FR99+(1-EXP(-LN(2)/25))/(LN(2)/25)*Calculateur!FM100*Calculateur!FO100*VLOOKUP('Données projet'!$B$16,Paramètres!$A$1:$I$89,3,0)*0.475*44/12</f>
        <v>0.51807914920380527</v>
      </c>
      <c r="FS100" s="21">
        <f>EXP(-LN(2)/2)*FS99+(1-EXP(-LN(2)/2))/(LN(2)/2)*FM100*FP100*VLOOKUP('Données projet'!$B$16,Paramètres!$A$1:$I$89,3,0)*0.475*44/12</f>
        <v>5.4463272484216582E-10</v>
      </c>
      <c r="FT100" s="22">
        <f t="shared" si="78"/>
        <v>0.51807914974843794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68.718014370425593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3.4106051316484809E-13</v>
      </c>
      <c r="GA100" s="17">
        <f>FZ100*VLOOKUP('Données projet'!$B$17,Paramètres!$A$1:$I$89,3,0)*VLOOKUP('Données projet'!$B$17,Paramètres!$A$1:$I$89,5,0)</f>
        <v>2.6602720026858149E-13</v>
      </c>
      <c r="GB100" s="13">
        <f t="shared" si="103"/>
        <v>3.5662905043956649E-12</v>
      </c>
      <c r="GC100" s="20">
        <f t="shared" si="79"/>
        <v>6.6746200022902298E-12</v>
      </c>
      <c r="GD100" s="59">
        <f t="shared" si="80"/>
        <v>288.63271935823383</v>
      </c>
      <c r="GE100" s="59">
        <f ca="1">AVERAGE(OFFSET($GD$3,0,0,'Données projet'!$E$17+1,1))-AVERAGE(OFFSET($H$3,0,0,'Données projet'!$E$17+1,1))</f>
        <v>300.95722646933314</v>
      </c>
      <c r="GF100" s="59">
        <f t="shared" si="104"/>
        <v>269.52365224623759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>
        <f>EXP(-LN(2)/35)*GL99+(1-EXP(-LN(2)/35))/(LN(2)/35)*GH100*GI100*VLOOKUP('Données projet'!$B$17,Paramètres!$A$1:$I$89,3,0)*0.475*44/12</f>
        <v>0.23608260579288048</v>
      </c>
      <c r="GM100" s="21">
        <f>EXP(-LN(2)/25)*GM99+(1-EXP(-LN(2)/25))/(LN(2)/25)*Calculateur!GH100*Calculateur!GJ100*VLOOKUP('Données projet'!$B$17,Paramètres!$A$1:$I$89,3,0)*0.475*44/12</f>
        <v>0.97356545913242987</v>
      </c>
      <c r="GN100" s="21">
        <f>EXP(-LN(2)/2)*GN99+(1-EXP(-LN(2)/2))/(LN(2)/2)*GH100*GK100*VLOOKUP('Données projet'!$B$17,Paramètres!$A$1:$I$89,3,0)*0.475*44/12</f>
        <v>7.2925272981439318E-10</v>
      </c>
      <c r="GO100" s="21">
        <f t="shared" si="81"/>
        <v>1.209648065654563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68.718014370425593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1.4000000000000001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5.1333333333333337</v>
      </c>
      <c r="H101" s="67">
        <f t="shared" si="56"/>
        <v>236.13333333333335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68.740253955008214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5.9</v>
      </c>
      <c r="N101" s="13">
        <f>IF('Données projet'!$A$36&gt;35,N100+M101-V100,IF(A101&lt;'Données projet'!$A$36,$K$205^A101,IF(A101='Données projet'!$A$36,'Données projet'!$B$36,N100+M101-V100)))</f>
        <v>349.19999999999982</v>
      </c>
      <c r="O101" s="13">
        <f>N101*VLOOKUP('Données projet'!$B$9,Paramètres!$A$1:$I$89,3,0)*VLOOKUP('Données projet'!$B$9,Paramètres!$A$1:$I$89,5,0)</f>
        <v>315.95615999999984</v>
      </c>
      <c r="P101" s="13">
        <f t="shared" si="87"/>
        <v>74.511332350300975</v>
      </c>
      <c r="Q101" s="20">
        <f t="shared" si="107"/>
        <v>680.06421584344059</v>
      </c>
      <c r="R101" s="59">
        <f t="shared" si="55"/>
        <v>968.77848034513738</v>
      </c>
      <c r="S101" s="59">
        <f ca="1">AVERAGE(OFFSET($R$3,0,0,'Données projet'!$E$9+1,1))-AVERAGE(OFFSET($H$3,0,0,'Données projet'!$E$9+1,1))</f>
        <v>479.46542424895119</v>
      </c>
      <c r="T101" s="59">
        <f t="shared" si="88"/>
        <v>337.96395820277337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0.62646657983411969</v>
      </c>
      <c r="AA101" s="21">
        <f>EXP(-LN(2)/25)*AA100+(1-EXP(-LN(2)/25))/(LN(2)/25)*Calculateur!V101*Calculateur!X101*VLOOKUP('Données projet'!$B$9,Paramètres!$A$1:$I$89,3,0)*0.475*44/12</f>
        <v>1.7124425479321561</v>
      </c>
      <c r="AB101" s="21">
        <f>EXP(-LN(2)/2)*AB100+(1-EXP(-LN(2)/2))/(LN(2)/2)*V101*Y101*VLOOKUP('Données projet'!$B$9,Paramètres!$A$1:$I$89,3,0)*0.475*44/12</f>
        <v>1.2545693185009692E-9</v>
      </c>
      <c r="AC101" s="22">
        <f t="shared" si="57"/>
        <v>2.3389091290208452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68.740253955008214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5.9</v>
      </c>
      <c r="AI101" s="13">
        <f>IF('Données projet'!$A$62&gt;35,AI100+AH101-AQ100,IF(A101&lt;'Données projet'!$A$62,$AF$205^A101,IF(A101='Données projet'!$A$62,'Données projet'!$B$62,AI100+AH101-AQ100)))</f>
        <v>349.19999999999982</v>
      </c>
      <c r="AJ101" s="13">
        <f>AI101*VLOOKUP('Données projet'!$B$10,Paramètres!$A$1:$I$89,3,0)*VLOOKUP('Données projet'!$B$10,Paramètres!$A$1:$I$89,5,0)</f>
        <v>337.74623999999983</v>
      </c>
      <c r="AK101" s="13">
        <f t="shared" si="89"/>
        <v>79.034125251774896</v>
      </c>
      <c r="AL101" s="20">
        <f t="shared" si="58"/>
        <v>725.89246948017433</v>
      </c>
      <c r="AM101" s="59">
        <f t="shared" si="59"/>
        <v>1014.6067339818711</v>
      </c>
      <c r="AN101" s="59">
        <f ca="1">AVERAGE(OFFSET($AM$3,0,0,'Données projet'!$E$10+1,1))-AVERAGE(OFFSET($H$3,0,0,'Données projet'!$E$10+1,1))</f>
        <v>508.94560627895089</v>
      </c>
      <c r="AO101" s="59">
        <f t="shared" si="90"/>
        <v>357.86868650263034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0.66967117154681799</v>
      </c>
      <c r="AV101" s="21">
        <f>EXP(-LN(2)/25)*AV100+(1-EXP(-LN(2)/25))/(LN(2)/25)*Calculateur!AQ101*Calculateur!AS101*VLOOKUP('Données projet'!$B$10,Paramètres!$A$1:$I$89,3,0)*0.475*44/12</f>
        <v>1.8305420339964431</v>
      </c>
      <c r="AW101" s="21">
        <f>EXP(-LN(2)/2)*AW100+(1-EXP(-LN(2)/2))/(LN(2)/2)*AQ101*AT101*VLOOKUP('Données projet'!$B$10,Paramètres!$A$1:$I$89,3,0)*0.475*44/12</f>
        <v>1.3410913404665472E-9</v>
      </c>
      <c r="AX101" s="21">
        <f t="shared" si="60"/>
        <v>2.5002132068843523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68.740253955008214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1.7053025658242404E-13</v>
      </c>
      <c r="BE101" s="13">
        <f>BD101*VLOOKUP('Données projet'!$B$11,Paramètres!$A$1:$I$89,3,0)*VLOOKUP('Données projet'!$B$11,Paramètres!$A$1:$I$89,5,0)</f>
        <v>1.3301360013429075E-13</v>
      </c>
      <c r="BF101" s="13">
        <f t="shared" si="91"/>
        <v>1.9329766731057041E-12</v>
      </c>
      <c r="BG101" s="20">
        <f t="shared" si="61"/>
        <v>3.5982663925596575E-12</v>
      </c>
      <c r="BH101" s="59">
        <f t="shared" si="62"/>
        <v>288.71426450170037</v>
      </c>
      <c r="BI101" s="59">
        <f ca="1">AVERAGE(OFFSET($BH$3,0,0,'Données projet'!$E$11+1,1))-AVERAGE(OFFSET($H$3,0,0,'Données projet'!$E$11+1,1))</f>
        <v>383.03154033422328</v>
      </c>
      <c r="BJ101" s="59">
        <f t="shared" si="92"/>
        <v>373.27897156169877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0.37611140107036134</v>
      </c>
      <c r="BQ101" s="21">
        <f>EXP(-LN(2)/25)*BQ100+(1-EXP(-LN(2)/25))/(LN(2)/25)*Calculateur!BL101*Calculateur!BN101*VLOOKUP('Données projet'!$B$11,Paramètres!$A$1:$I$89,3,0)*0.475*44/12</f>
        <v>1.2704610594384462</v>
      </c>
      <c r="BR101" s="21">
        <f>EXP(-LN(2)/2)*BR100+(1-EXP(-LN(2)/2))/(LN(2)/2)*BL101*BO101*VLOOKUP('Données projet'!$B$11,Paramètres!$A$1:$I$89,3,0)*0.475*44/12</f>
        <v>7.6084278970385409E-10</v>
      </c>
      <c r="BS101" s="22">
        <f t="shared" si="63"/>
        <v>1.6465724612696502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68.740253955008214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5.9</v>
      </c>
      <c r="BY101" s="12">
        <f>IF('Données projet'!$A$114&gt;35,BY100+BX101-CG100,IF(A101&lt;'Données projet'!$A$114,$BV$205^A101,IF(A101='Données projet'!$A$114,'Données projet'!$B$114,BY100+BX101-CG100)))</f>
        <v>349.19999999999982</v>
      </c>
      <c r="BZ101" s="13">
        <f>BY101*VLOOKUP('Données projet'!$B$12,Paramètres!$A$1:$I$89,3,0)*VLOOKUP('Données projet'!$B$12,Paramètres!$A$1:$I$89,5,0)</f>
        <v>294.16607999999991</v>
      </c>
      <c r="CA101" s="13">
        <f t="shared" si="93"/>
        <v>69.952055456115559</v>
      </c>
      <c r="CB101" s="20">
        <f t="shared" si="64"/>
        <v>634.17241925273436</v>
      </c>
      <c r="CC101" s="59">
        <f t="shared" si="65"/>
        <v>922.88668375443115</v>
      </c>
      <c r="CD101" s="59">
        <f ca="1">AVERAGE(OFFSET($CC$3,0,0,'Données projet'!$E$12+1,1))-AVERAGE(OFFSET($H$3,0,0,'Données projet'!$E$12+1,1))</f>
        <v>449.94334483948603</v>
      </c>
      <c r="CE101" s="59">
        <f t="shared" si="94"/>
        <v>318.02929110264176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0.58326198812142183</v>
      </c>
      <c r="CL101" s="21">
        <f>EXP(-LN(2)/25)*CL100+(1-EXP(-LN(2)/25))/(LN(2)/25)*Calculateur!CG101*Calculateur!CI101*VLOOKUP('Données projet'!$B$12,Paramètres!$A$1:$I$89,3,0)*0.475*44/12</f>
        <v>1.5943430618678702</v>
      </c>
      <c r="CM101" s="21">
        <f>EXP(-LN(2)/2)*CM100+(1-EXP(-LN(2)/2))/(LN(2)/2)*CG101*CJ101*VLOOKUP('Données projet'!$B$12,Paramètres!$A$1:$I$89,3,0)*0.475*44/12</f>
        <v>1.168047296535381E-9</v>
      </c>
      <c r="CN101" s="22">
        <f t="shared" si="66"/>
        <v>2.1776050511573395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68.740253955008214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7.4</v>
      </c>
      <c r="CT101" s="12">
        <f>IF('Données projet'!$A$140&gt;35,CT100+CS101-DB100,IF(A101&lt;'Données projet'!$A$140,$CQ$205^A101,IF(A101='Données projet'!$A$140,'Données projet'!$B$140,CT100+CS101-DB100)))</f>
        <v>410.20000000000016</v>
      </c>
      <c r="CU101" s="17">
        <f>CT101*VLOOKUP('Données projet'!$B$13,Paramètres!$A$1:$I$89,3,0)*VLOOKUP('Données projet'!$B$13,Paramètres!$A$1:$I$89,5,0)</f>
        <v>351.95160000000016</v>
      </c>
      <c r="CV101" s="13">
        <f t="shared" si="95"/>
        <v>81.964235805058109</v>
      </c>
      <c r="CW101" s="20">
        <f t="shared" si="67"/>
        <v>755.73674736047633</v>
      </c>
      <c r="CX101" s="59">
        <f t="shared" si="68"/>
        <v>1044.4510118621731</v>
      </c>
      <c r="CY101" s="59">
        <f ca="1">AVERAGE(OFFSET($CX$3,0,0,'Données projet'!$E$13+1,1))-AVERAGE(OFFSET($H$3,0,0,'Données projet'!$E$13+1,1))</f>
        <v>565.32667500225568</v>
      </c>
      <c r="CZ101" s="59">
        <f t="shared" si="96"/>
        <v>275.06957234480944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0</v>
      </c>
      <c r="DG101" s="21">
        <f>EXP(-LN(2)/25)*DG100+(1-EXP(-LN(2)/25))/(LN(2)/25)*Calculateur!DB101*Calculateur!DD101*VLOOKUP('Données projet'!$B$13,Paramètres!$A$1:$I$89,3,0)*0.475*44/12</f>
        <v>0.66497202400421518</v>
      </c>
      <c r="DH101" s="21">
        <f>EXP(-LN(2)/2)*DH100+(1-EXP(-LN(2)/2))/(LN(2)/2)*DB101*DE101*VLOOKUP('Données projet'!$B$13,Paramètres!$A$1:$I$89,3,0)*0.475*44/12</f>
        <v>4.1231561402091494E-10</v>
      </c>
      <c r="DI101" s="22">
        <f t="shared" si="69"/>
        <v>0.6649720244165308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68.740253955008214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-1.2505552149377763E-12</v>
      </c>
      <c r="DP101" s="17">
        <f>DO101*VLOOKUP('Données projet'!$B$14,Paramètres!$A$1:$I$89,3,0)*VLOOKUP('Données projet'!$B$14,Paramètres!$A$1:$I$89,5,0)</f>
        <v>-6.9906036515021697E-13</v>
      </c>
      <c r="DQ101" s="13" t="e">
        <f t="shared" si="97"/>
        <v>#NUM!</v>
      </c>
      <c r="DR101" s="20" t="e">
        <f t="shared" si="70"/>
        <v>#NUM!</v>
      </c>
      <c r="DS101" s="59" t="e">
        <f t="shared" si="71"/>
        <v>#NUM!</v>
      </c>
      <c r="DT101" s="59">
        <f ca="1">AVERAGE(OFFSET($DS$3,0,0,'Données projet'!$E$14+1,1))-AVERAGE(OFFSET($H$3,0,0,'Données projet'!$E$14+1,1))</f>
        <v>532.64469322244281</v>
      </c>
      <c r="DU101" s="59">
        <f t="shared" si="98"/>
        <v>525.88014011096413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2.9703156802479853</v>
      </c>
      <c r="EB101" s="21">
        <f>EXP(-LN(2)/25)*EB100+(1-EXP(-LN(2)/25))/(LN(2)/25)*Calculateur!DW101*Calculateur!DY101*VLOOKUP('Données projet'!$B$14,Paramètres!$A$1:$I$89,3,0)*0.475*44/12</f>
        <v>5.8826846839699964</v>
      </c>
      <c r="EC101" s="21">
        <f>EXP(-LN(2)/2)*EC100+(1-EXP(-LN(2)/2))/(LN(2)/2)*DW101*DZ101*VLOOKUP('Données projet'!$B$14,Paramètres!$A$1:$I$89,3,0)*0.475*44/12</f>
        <v>2.122943484866648E-9</v>
      </c>
      <c r="ED101" s="22">
        <f t="shared" si="72"/>
        <v>8.8530003663409254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68.740253955008214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4.9000000000000004</v>
      </c>
      <c r="EJ101" s="12">
        <f>IF('Données projet'!$A$192&gt;35,EJ100+EI101-ER100,IF(A101&lt;'Données projet'!$A$192,$EG$205^A101,IF(A101='Données projet'!$A$192,'Données projet'!$B$192,EJ100+EI101-ER100)))</f>
        <v>293.20000000000027</v>
      </c>
      <c r="EK101" s="17">
        <f>EJ101*VLOOKUP('Données projet'!$B$15,Paramètres!$A$1:$I$89,3,0)*VLOOKUP('Données projet'!$B$15,Paramètres!$A$1:$I$89,5,0)</f>
        <v>265.28736000000026</v>
      </c>
      <c r="EL101" s="13">
        <f t="shared" si="99"/>
        <v>63.848105500970064</v>
      </c>
      <c r="EM101" s="20">
        <f t="shared" si="73"/>
        <v>573.24426908085661</v>
      </c>
      <c r="EN101" s="59">
        <f t="shared" si="74"/>
        <v>861.9585335825534</v>
      </c>
      <c r="EO101" s="59">
        <f ca="1">AVERAGE(OFFSET($EN$3,0,0,'Données projet'!$E$15+1,1))-AVERAGE(OFFSET($H$3,0,0,'Données projet'!$E$15+1,1))</f>
        <v>398.27843768730202</v>
      </c>
      <c r="EP101" s="59">
        <f t="shared" si="100"/>
        <v>252.3617347568813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0</v>
      </c>
      <c r="EW101" s="21">
        <f>EXP(-LN(2)/25)*EW100+(1-EXP(-LN(2)/25))/(LN(2)/25)*Calculateur!ER101*Calculateur!ET101*VLOOKUP('Données projet'!$B$15,Paramètres!$A$1:$I$89,3,0)*0.475*44/12</f>
        <v>0.4714017800355691</v>
      </c>
      <c r="EX101" s="21">
        <f>EXP(-LN(2)/2)*EX100+(1-EXP(-LN(2)/2))/(LN(2)/2)*ER101*EU101*VLOOKUP('Données projet'!$B$15,Paramètres!$A$1:$I$89,3,0)*0.475*44/12</f>
        <v>3.6026746118606693E-10</v>
      </c>
      <c r="EY101" s="22">
        <f t="shared" si="75"/>
        <v>0.47140178039583658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68.740253955008214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4.9000000000000004</v>
      </c>
      <c r="FE101" s="12">
        <f>IF('Données projet'!$A$218&gt;35,FE100+FD101-FM100,IF(A101&lt;'Données projet'!$A$218,$FB$205^A101,IF(A101='Données projet'!$A$218,'Données projet'!$B$218,FE100+FD101-FM100)))</f>
        <v>293.20000000000027</v>
      </c>
      <c r="FF101" s="17">
        <f>FE101*VLOOKUP('Données projet'!$B$16,Paramètres!$A$1:$I$89,3,0)*VLOOKUP('Données projet'!$B$16,Paramètres!$A$1:$I$89,5,0)</f>
        <v>283.58304000000027</v>
      </c>
      <c r="FG101" s="13">
        <f t="shared" si="101"/>
        <v>67.723646968605209</v>
      </c>
      <c r="FH101" s="20">
        <f t="shared" si="76"/>
        <v>611.85914647032121</v>
      </c>
      <c r="FI101" s="59">
        <f t="shared" si="77"/>
        <v>900.573410972018</v>
      </c>
      <c r="FJ101" s="59">
        <f ca="1">AVERAGE(OFFSET($FI$3,0,0,'Données projet'!$E$16+1,1))-AVERAGE(OFFSET($H$3,0,0,'Données projet'!$E$16+1,1))</f>
        <v>422.28024471365825</v>
      </c>
      <c r="FK101" s="59">
        <f t="shared" si="102"/>
        <v>266.49730479813206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0</v>
      </c>
      <c r="FR101" s="21">
        <f>EXP(-LN(2)/25)*FR100+(1-EXP(-LN(2)/25))/(LN(2)/25)*Calculateur!FM101*Calculateur!FO101*VLOOKUP('Données projet'!$B$16,Paramètres!$A$1:$I$89,3,0)*0.475*44/12</f>
        <v>0.50391224762422882</v>
      </c>
      <c r="FS101" s="21">
        <f>EXP(-LN(2)/2)*FS100+(1-EXP(-LN(2)/2))/(LN(2)/2)*FM101*FP101*VLOOKUP('Données projet'!$B$16,Paramètres!$A$1:$I$89,3,0)*0.475*44/12</f>
        <v>3.851134929920025E-10</v>
      </c>
      <c r="FT101" s="22">
        <f t="shared" si="78"/>
        <v>0.50391224800934231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68.740253955008214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3.4106051316484809E-13</v>
      </c>
      <c r="GA101" s="17">
        <f>FZ101*VLOOKUP('Données projet'!$B$17,Paramètres!$A$1:$I$89,3,0)*VLOOKUP('Données projet'!$B$17,Paramètres!$A$1:$I$89,5,0)</f>
        <v>2.6602720026858149E-13</v>
      </c>
      <c r="GB101" s="13">
        <f t="shared" si="103"/>
        <v>3.5662905043956649E-12</v>
      </c>
      <c r="GC101" s="20">
        <f t="shared" si="79"/>
        <v>6.6746200022902298E-12</v>
      </c>
      <c r="GD101" s="59">
        <f t="shared" si="80"/>
        <v>288.71426450170344</v>
      </c>
      <c r="GE101" s="59">
        <f ca="1">AVERAGE(OFFSET($GD$3,0,0,'Données projet'!$E$17+1,1))-AVERAGE(OFFSET($H$3,0,0,'Données projet'!$E$17+1,1))</f>
        <v>300.95722646933314</v>
      </c>
      <c r="GF101" s="59">
        <f t="shared" si="104"/>
        <v>269.52365224623759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>
        <f>EXP(-LN(2)/35)*GL100+(1-EXP(-LN(2)/35))/(LN(2)/35)*GH101*GI101*VLOOKUP('Données projet'!$B$17,Paramètres!$A$1:$I$89,3,0)*0.475*44/12</f>
        <v>0.23145316988945319</v>
      </c>
      <c r="GM101" s="21">
        <f>EXP(-LN(2)/25)*GM100+(1-EXP(-LN(2)/25))/(LN(2)/25)*Calculateur!GH101*Calculateur!GJ101*VLOOKUP('Données projet'!$B$17,Paramètres!$A$1:$I$89,3,0)*0.475*44/12</f>
        <v>0.94694326045487121</v>
      </c>
      <c r="GN101" s="21">
        <f>EXP(-LN(2)/2)*GN100+(1-EXP(-LN(2)/2))/(LN(2)/2)*GH101*GK101*VLOOKUP('Données projet'!$B$17,Paramètres!$A$1:$I$89,3,0)*0.475*44/12</f>
        <v>5.1565955045055858E-10</v>
      </c>
      <c r="GO101" s="21">
        <f t="shared" si="81"/>
        <v>1.1783964308599839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68.740253955008214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1.4000000000000001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5.1333333333333337</v>
      </c>
      <c r="H102" s="67">
        <f t="shared" si="56"/>
        <v>236.13333333333335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68.762107732518587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5.9</v>
      </c>
      <c r="N102" s="13">
        <f>IF('Données projet'!$A$36&gt;35,N101+M102-V101,IF(A102&lt;'Données projet'!$A$36,$K$205^A102,IF(A102='Données projet'!$A$36,'Données projet'!$B$36,N101+M102-V101)))</f>
        <v>355.0999999999998</v>
      </c>
      <c r="O102" s="13">
        <f>N102*VLOOKUP('Données projet'!$B$9,Paramètres!$A$1:$I$89,3,0)*VLOOKUP('Données projet'!$B$9,Paramètres!$A$1:$I$89,5,0)</f>
        <v>321.29447999999979</v>
      </c>
      <c r="P102" s="13">
        <f t="shared" si="87"/>
        <v>75.6226320847924</v>
      </c>
      <c r="Q102" s="20">
        <f t="shared" si="107"/>
        <v>691.29730354767969</v>
      </c>
      <c r="R102" s="59">
        <f t="shared" si="55"/>
        <v>980.09169856691449</v>
      </c>
      <c r="S102" s="59">
        <f ca="1">AVERAGE(OFFSET($R$3,0,0,'Données projet'!$E$9+1,1))-AVERAGE(OFFSET($H$3,0,0,'Données projet'!$E$9+1,1))</f>
        <v>479.46542424895119</v>
      </c>
      <c r="T102" s="59">
        <f t="shared" si="88"/>
        <v>337.96395820277337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0.61418195231045636</v>
      </c>
      <c r="AA102" s="21">
        <f>EXP(-LN(2)/25)*AA101+(1-EXP(-LN(2)/25))/(LN(2)/25)*Calculateur!V102*Calculateur!X102*VLOOKUP('Données projet'!$B$9,Paramètres!$A$1:$I$89,3,0)*0.475*44/12</f>
        <v>1.6656157164055116</v>
      </c>
      <c r="AB102" s="21">
        <f>EXP(-LN(2)/2)*AB101+(1-EXP(-LN(2)/2))/(LN(2)/2)*V102*Y102*VLOOKUP('Données projet'!$B$9,Paramètres!$A$1:$I$89,3,0)*0.475*44/12</f>
        <v>8.8711447258062092E-10</v>
      </c>
      <c r="AC102" s="22">
        <f t="shared" si="57"/>
        <v>2.2797976696030826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68.762107732518587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5.9</v>
      </c>
      <c r="AI102" s="13">
        <f>IF('Données projet'!$A$62&gt;35,AI101+AH102-AQ101,IF(A102&lt;'Données projet'!$A$62,$AF$205^A102,IF(A102='Données projet'!$A$62,'Données projet'!$B$62,AI101+AH102-AQ101)))</f>
        <v>355.0999999999998</v>
      </c>
      <c r="AJ102" s="13">
        <f>AI102*VLOOKUP('Données projet'!$B$10,Paramètres!$A$1:$I$89,3,0)*VLOOKUP('Données projet'!$B$10,Paramètres!$A$1:$I$89,5,0)</f>
        <v>343.45271999999977</v>
      </c>
      <c r="AK102" s="13">
        <f t="shared" si="89"/>
        <v>80.212880209411864</v>
      </c>
      <c r="AL102" s="20">
        <f t="shared" si="58"/>
        <v>737.88425369805861</v>
      </c>
      <c r="AM102" s="59">
        <f t="shared" si="59"/>
        <v>1026.6786487172935</v>
      </c>
      <c r="AN102" s="59">
        <f ca="1">AVERAGE(OFFSET($AM$3,0,0,'Données projet'!$E$10+1,1))-AVERAGE(OFFSET($H$3,0,0,'Données projet'!$E$10+1,1))</f>
        <v>508.94560627895089</v>
      </c>
      <c r="AO102" s="59">
        <f t="shared" si="90"/>
        <v>357.86868650263034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0.65653932833186757</v>
      </c>
      <c r="AV102" s="21">
        <f>EXP(-LN(2)/25)*AV101+(1-EXP(-LN(2)/25))/(LN(2)/25)*Calculateur!AQ102*Calculateur!AS102*VLOOKUP('Données projet'!$B$10,Paramètres!$A$1:$I$89,3,0)*0.475*44/12</f>
        <v>1.7804857658127886</v>
      </c>
      <c r="AW102" s="21">
        <f>EXP(-LN(2)/2)*AW101+(1-EXP(-LN(2)/2))/(LN(2)/2)*AQ102*AT102*VLOOKUP('Données projet'!$B$10,Paramètres!$A$1:$I$89,3,0)*0.475*44/12</f>
        <v>9.4829478103445246E-10</v>
      </c>
      <c r="AX102" s="21">
        <f t="shared" si="60"/>
        <v>2.4370250950929511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68.762107732518587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1.7053025658242404E-13</v>
      </c>
      <c r="BE102" s="13">
        <f>BD102*VLOOKUP('Données projet'!$B$11,Paramètres!$A$1:$I$89,3,0)*VLOOKUP('Données projet'!$B$11,Paramètres!$A$1:$I$89,5,0)</f>
        <v>1.3301360013429075E-13</v>
      </c>
      <c r="BF102" s="13">
        <f t="shared" si="91"/>
        <v>1.9329766731057041E-12</v>
      </c>
      <c r="BG102" s="20">
        <f t="shared" si="61"/>
        <v>3.5982663925596575E-12</v>
      </c>
      <c r="BH102" s="59">
        <f t="shared" si="62"/>
        <v>288.79439501923838</v>
      </c>
      <c r="BI102" s="59">
        <f ca="1">AVERAGE(OFFSET($BH$3,0,0,'Données projet'!$E$11+1,1))-AVERAGE(OFFSET($H$3,0,0,'Données projet'!$E$11+1,1))</f>
        <v>383.03154033422328</v>
      </c>
      <c r="BJ102" s="59">
        <f t="shared" si="92"/>
        <v>373.27897156169877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0.3687360859006743</v>
      </c>
      <c r="BQ102" s="21">
        <f>EXP(-LN(2)/25)*BQ101+(1-EXP(-LN(2)/25))/(LN(2)/25)*Calculateur!BL102*Calculateur!BN102*VLOOKUP('Données projet'!$B$11,Paramètres!$A$1:$I$89,3,0)*0.475*44/12</f>
        <v>1.2357202349574585</v>
      </c>
      <c r="BR102" s="21">
        <f>EXP(-LN(2)/2)*BR101+(1-EXP(-LN(2)/2))/(LN(2)/2)*BL102*BO102*VLOOKUP('Données projet'!$B$11,Paramètres!$A$1:$I$89,3,0)*0.475*44/12</f>
        <v>5.3799709601648554E-10</v>
      </c>
      <c r="BS102" s="22">
        <f t="shared" si="63"/>
        <v>1.60445632139613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68.762107732518587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5.9</v>
      </c>
      <c r="BY102" s="12">
        <f>IF('Données projet'!$A$114&gt;35,BY101+BX102-CG101,IF(A102&lt;'Données projet'!$A$114,$BV$205^A102,IF(A102='Données projet'!$A$114,'Données projet'!$B$114,BY101+BX102-CG101)))</f>
        <v>355.0999999999998</v>
      </c>
      <c r="BZ102" s="13">
        <f>BY102*VLOOKUP('Données projet'!$B$12,Paramètres!$A$1:$I$89,3,0)*VLOOKUP('Données projet'!$B$12,Paramètres!$A$1:$I$89,5,0)</f>
        <v>299.13623999999987</v>
      </c>
      <c r="CA102" s="13">
        <f t="shared" si="93"/>
        <v>70.995355826722829</v>
      </c>
      <c r="CB102" s="20">
        <f t="shared" si="64"/>
        <v>644.64586273154202</v>
      </c>
      <c r="CC102" s="59">
        <f t="shared" si="65"/>
        <v>933.44025775077682</v>
      </c>
      <c r="CD102" s="59">
        <f ca="1">AVERAGE(OFFSET($CC$3,0,0,'Données projet'!$E$12+1,1))-AVERAGE(OFFSET($H$3,0,0,'Données projet'!$E$12+1,1))</f>
        <v>449.94334483948603</v>
      </c>
      <c r="CE102" s="59">
        <f t="shared" si="94"/>
        <v>318.02929110264176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0.57182457628904559</v>
      </c>
      <c r="CL102" s="21">
        <f>EXP(-LN(2)/25)*CL101+(1-EXP(-LN(2)/25))/(LN(2)/25)*Calculateur!CG102*Calculateur!CI102*VLOOKUP('Données projet'!$B$12,Paramètres!$A$1:$I$89,3,0)*0.475*44/12</f>
        <v>1.5507456669982356</v>
      </c>
      <c r="CM102" s="21">
        <f>EXP(-LN(2)/2)*CM101+(1-EXP(-LN(2)/2))/(LN(2)/2)*CG102*CJ102*VLOOKUP('Données projet'!$B$12,Paramètres!$A$1:$I$89,3,0)*0.475*44/12</f>
        <v>8.2593416412678203E-10</v>
      </c>
      <c r="CN102" s="22">
        <f t="shared" si="66"/>
        <v>2.122570244113215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68.762107732518587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7.4</v>
      </c>
      <c r="CT102" s="12">
        <f>IF('Données projet'!$A$140&gt;35,CT101+CS102-DB101,IF(A102&lt;'Données projet'!$A$140,$CQ$205^A102,IF(A102='Données projet'!$A$140,'Données projet'!$B$140,CT101+CS102-DB101)))</f>
        <v>417.60000000000014</v>
      </c>
      <c r="CU102" s="17">
        <f>CT102*VLOOKUP('Données projet'!$B$13,Paramètres!$A$1:$I$89,3,0)*VLOOKUP('Données projet'!$B$13,Paramètres!$A$1:$I$89,5,0)</f>
        <v>358.30080000000015</v>
      </c>
      <c r="CV102" s="13">
        <f t="shared" si="95"/>
        <v>83.269393485435813</v>
      </c>
      <c r="CW102" s="20">
        <f t="shared" si="67"/>
        <v>769.06808698713439</v>
      </c>
      <c r="CX102" s="59">
        <f t="shared" si="68"/>
        <v>1057.8624820063692</v>
      </c>
      <c r="CY102" s="59">
        <f ca="1">AVERAGE(OFFSET($CX$3,0,0,'Données projet'!$E$13+1,1))-AVERAGE(OFFSET($H$3,0,0,'Données projet'!$E$13+1,1))</f>
        <v>565.32667500225568</v>
      </c>
      <c r="CZ102" s="59">
        <f t="shared" si="96"/>
        <v>275.06957234480944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0</v>
      </c>
      <c r="DG102" s="21">
        <f>EXP(-LN(2)/25)*DG101+(1-EXP(-LN(2)/25))/(LN(2)/25)*Calculateur!DB102*Calculateur!DD102*VLOOKUP('Données projet'!$B$13,Paramètres!$A$1:$I$89,3,0)*0.475*44/12</f>
        <v>0.64678832903846095</v>
      </c>
      <c r="DH102" s="21">
        <f>EXP(-LN(2)/2)*DH101+(1-EXP(-LN(2)/2))/(LN(2)/2)*DB102*DE102*VLOOKUP('Données projet'!$B$13,Paramètres!$A$1:$I$89,3,0)*0.475*44/12</f>
        <v>2.9155116666328408E-10</v>
      </c>
      <c r="DI102" s="22">
        <f t="shared" si="69"/>
        <v>0.64678832933001207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68.762107732518587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-1.2505552149377763E-12</v>
      </c>
      <c r="DP102" s="17">
        <f>DO102*VLOOKUP('Données projet'!$B$14,Paramètres!$A$1:$I$89,3,0)*VLOOKUP('Données projet'!$B$14,Paramètres!$A$1:$I$89,5,0)</f>
        <v>-6.9906036515021697E-13</v>
      </c>
      <c r="DQ102" s="13" t="e">
        <f t="shared" si="97"/>
        <v>#NUM!</v>
      </c>
      <c r="DR102" s="20" t="e">
        <f t="shared" si="70"/>
        <v>#NUM!</v>
      </c>
      <c r="DS102" s="59" t="e">
        <f t="shared" si="71"/>
        <v>#NUM!</v>
      </c>
      <c r="DT102" s="59">
        <f ca="1">AVERAGE(OFFSET($DS$3,0,0,'Données projet'!$E$14+1,1))-AVERAGE(OFFSET($H$3,0,0,'Données projet'!$E$14+1,1))</f>
        <v>532.64469322244281</v>
      </c>
      <c r="DU102" s="59">
        <f t="shared" si="98"/>
        <v>525.88014011096413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2.9120696014719956</v>
      </c>
      <c r="EB102" s="21">
        <f>EXP(-LN(2)/25)*EB101+(1-EXP(-LN(2)/25))/(LN(2)/25)*Calculateur!DW102*Calculateur!DY102*VLOOKUP('Données projet'!$B$14,Paramètres!$A$1:$I$89,3,0)*0.475*44/12</f>
        <v>5.7218223619298945</v>
      </c>
      <c r="EC102" s="21">
        <f>EXP(-LN(2)/2)*EC101+(1-EXP(-LN(2)/2))/(LN(2)/2)*DW102*DZ102*VLOOKUP('Données projet'!$B$14,Paramètres!$A$1:$I$89,3,0)*0.475*44/12</f>
        <v>1.5011477342250075E-9</v>
      </c>
      <c r="ED102" s="22">
        <f t="shared" si="72"/>
        <v>8.6338919649030377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68.762107732518587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4.9000000000000004</v>
      </c>
      <c r="EJ102" s="12">
        <f>IF('Données projet'!$A$192&gt;35,EJ101+EI102-ER101,IF(A102&lt;'Données projet'!$A$192,$EG$205^A102,IF(A102='Données projet'!$A$192,'Données projet'!$B$192,EJ101+EI102-ER101)))</f>
        <v>298.10000000000025</v>
      </c>
      <c r="EK102" s="17">
        <f>EJ102*VLOOKUP('Données projet'!$B$15,Paramètres!$A$1:$I$89,3,0)*VLOOKUP('Données projet'!$B$15,Paramètres!$A$1:$I$89,5,0)</f>
        <v>269.72088000000025</v>
      </c>
      <c r="EL102" s="13">
        <f t="shared" si="99"/>
        <v>64.790029413947011</v>
      </c>
      <c r="EM102" s="20">
        <f t="shared" si="73"/>
        <v>582.60650056262477</v>
      </c>
      <c r="EN102" s="59">
        <f t="shared" si="74"/>
        <v>871.40089558185957</v>
      </c>
      <c r="EO102" s="59">
        <f ca="1">AVERAGE(OFFSET($EN$3,0,0,'Données projet'!$E$15+1,1))-AVERAGE(OFFSET($H$3,0,0,'Données projet'!$E$15+1,1))</f>
        <v>398.27843768730202</v>
      </c>
      <c r="EP102" s="59">
        <f t="shared" si="100"/>
        <v>252.3617347568813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0</v>
      </c>
      <c r="EW102" s="21">
        <f>EXP(-LN(2)/25)*EW101+(1-EXP(-LN(2)/25))/(LN(2)/25)*Calculateur!ER102*Calculateur!ET102*VLOOKUP('Données projet'!$B$15,Paramètres!$A$1:$I$89,3,0)*0.475*44/12</f>
        <v>0.45851127357055427</v>
      </c>
      <c r="EX102" s="21">
        <f>EXP(-LN(2)/2)*EX101+(1-EXP(-LN(2)/2))/(LN(2)/2)*ER102*EU102*VLOOKUP('Données projet'!$B$15,Paramètres!$A$1:$I$89,3,0)*0.475*44/12</f>
        <v>2.5474756484552923E-10</v>
      </c>
      <c r="EY102" s="22">
        <f t="shared" si="75"/>
        <v>0.45851127382530182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68.762107732518587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4.9000000000000004</v>
      </c>
      <c r="FE102" s="12">
        <f>IF('Données projet'!$A$218&gt;35,FE101+FD102-FM101,IF(A102&lt;'Données projet'!$A$218,$FB$205^A102,IF(A102='Données projet'!$A$218,'Données projet'!$B$218,FE101+FD102-FM101)))</f>
        <v>298.10000000000025</v>
      </c>
      <c r="FF102" s="17">
        <f>FE102*VLOOKUP('Données projet'!$B$16,Paramètres!$A$1:$I$89,3,0)*VLOOKUP('Données projet'!$B$16,Paramètres!$A$1:$I$89,5,0)</f>
        <v>288.32232000000022</v>
      </c>
      <c r="FG102" s="13">
        <f t="shared" si="101"/>
        <v>68.722745094590678</v>
      </c>
      <c r="FH102" s="20">
        <f t="shared" si="76"/>
        <v>621.85348837307913</v>
      </c>
      <c r="FI102" s="59">
        <f t="shared" si="77"/>
        <v>910.64788339231393</v>
      </c>
      <c r="FJ102" s="59">
        <f ca="1">AVERAGE(OFFSET($FI$3,0,0,'Données projet'!$E$16+1,1))-AVERAGE(OFFSET($H$3,0,0,'Données projet'!$E$16+1,1))</f>
        <v>422.28024471365825</v>
      </c>
      <c r="FK102" s="59">
        <f t="shared" si="102"/>
        <v>266.49730479813206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0</v>
      </c>
      <c r="FR102" s="21">
        <f>EXP(-LN(2)/25)*FR101+(1-EXP(-LN(2)/25))/(LN(2)/25)*Calculateur!FM102*Calculateur!FO102*VLOOKUP('Données projet'!$B$16,Paramètres!$A$1:$I$89,3,0)*0.475*44/12</f>
        <v>0.49013274071335089</v>
      </c>
      <c r="FS102" s="21">
        <f>EXP(-LN(2)/2)*FS101+(1-EXP(-LN(2)/2))/(LN(2)/2)*FM102*FP102*VLOOKUP('Données projet'!$B$16,Paramètres!$A$1:$I$89,3,0)*0.475*44/12</f>
        <v>2.7231636242108291E-10</v>
      </c>
      <c r="FT102" s="22">
        <f t="shared" si="78"/>
        <v>0.49013274098566723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68.762107732518587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3.4106051316484809E-13</v>
      </c>
      <c r="GA102" s="17">
        <f>FZ102*VLOOKUP('Données projet'!$B$17,Paramètres!$A$1:$I$89,3,0)*VLOOKUP('Données projet'!$B$17,Paramètres!$A$1:$I$89,5,0)</f>
        <v>2.6602720026858149E-13</v>
      </c>
      <c r="GB102" s="13">
        <f t="shared" si="103"/>
        <v>3.5662905043956649E-12</v>
      </c>
      <c r="GC102" s="20">
        <f t="shared" si="79"/>
        <v>6.6746200022902298E-12</v>
      </c>
      <c r="GD102" s="59">
        <f t="shared" si="80"/>
        <v>288.79439501924145</v>
      </c>
      <c r="GE102" s="59">
        <f ca="1">AVERAGE(OFFSET($GD$3,0,0,'Données projet'!$E$17+1,1))-AVERAGE(OFFSET($H$3,0,0,'Données projet'!$E$17+1,1))</f>
        <v>300.95722646933314</v>
      </c>
      <c r="GF102" s="59">
        <f t="shared" si="104"/>
        <v>269.52365224623759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>
        <f>EXP(-LN(2)/35)*GL101+(1-EXP(-LN(2)/35))/(LN(2)/35)*GH102*GI102*VLOOKUP('Données projet'!$B$17,Paramètres!$A$1:$I$89,3,0)*0.475*44/12</f>
        <v>0.22691451440041502</v>
      </c>
      <c r="GM102" s="21">
        <f>EXP(-LN(2)/25)*GM101+(1-EXP(-LN(2)/25))/(LN(2)/25)*Calculateur!GH102*Calculateur!GJ102*VLOOKUP('Données projet'!$B$17,Paramètres!$A$1:$I$89,3,0)*0.475*44/12</f>
        <v>0.92104904720015091</v>
      </c>
      <c r="GN102" s="21">
        <f>EXP(-LN(2)/2)*GN101+(1-EXP(-LN(2)/2))/(LN(2)/2)*GH102*GK102*VLOOKUP('Données projet'!$B$17,Paramètres!$A$1:$I$89,3,0)*0.475*44/12</f>
        <v>3.6462636490719659E-10</v>
      </c>
      <c r="GO102" s="21">
        <f t="shared" si="81"/>
        <v>1.1479635619651922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68.762107732518587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1.4000000000000001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5.1333333333333337</v>
      </c>
      <c r="H103" s="67">
        <f t="shared" si="56"/>
        <v>236.13333333333335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68.783582395846878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361</v>
      </c>
      <c r="L103" s="12">
        <f>VLOOKUP(A103,'Données projet'!$A$35:$I$55,9,0)</f>
        <v>5.9</v>
      </c>
      <c r="M103" s="12">
        <f t="array" ref="M103">INDEX(L:L,MIN(IF(ISNUMBER(L103:L299),ROW(L103:L299),"")))</f>
        <v>5.9</v>
      </c>
      <c r="N103" s="13">
        <f>IF('Données projet'!$A$36&gt;35,N102+M103-V102,IF(A103&lt;'Données projet'!$A$36,$K$205^A103,IF(A103='Données projet'!$A$36,'Données projet'!$B$36,N102+M103-V102)))</f>
        <v>360.99999999999977</v>
      </c>
      <c r="O103" s="13">
        <f>N103*VLOOKUP('Données projet'!$B$9,Paramètres!$A$1:$I$89,3,0)*VLOOKUP('Données projet'!$B$9,Paramètres!$A$1:$I$89,5,0)</f>
        <v>326.6327999999998</v>
      </c>
      <c r="P103" s="13">
        <f t="shared" si="87"/>
        <v>76.731784548754774</v>
      </c>
      <c r="Q103" s="20">
        <f t="shared" si="107"/>
        <v>702.52665142241415</v>
      </c>
      <c r="R103" s="59">
        <f t="shared" si="55"/>
        <v>991.39978687385269</v>
      </c>
      <c r="S103" s="59">
        <f ca="1">AVERAGE(OFFSET($R$3,0,0,'Données projet'!$E$9+1,1))-AVERAGE(OFFSET($H$3,0,0,'Données projet'!$E$9+1,1))</f>
        <v>479.46542424895119</v>
      </c>
      <c r="T103" s="59">
        <f t="shared" si="88"/>
        <v>337.96395820277337</v>
      </c>
      <c r="U103" s="15">
        <f>IF(ISNA(VLOOKUP(A103,'Données projet'!$A$35:$I$55,3,0)),0,VLOOKUP(A103,'Données projet'!$A$35:$I$55,3,0))</f>
        <v>9</v>
      </c>
      <c r="V103" s="15">
        <f>IF(ISNA(VLOOKUP(A103,'Données projet'!$A$35:$I$55,4,0)),0,VLOOKUP(A103,'Données projet'!$A$35:$I$55,4,0))</f>
        <v>55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0.60213821883964913</v>
      </c>
      <c r="AA103" s="21">
        <f>EXP(-LN(2)/25)*AA102+(1-EXP(-LN(2)/25))/(LN(2)/25)*Calculateur!V103*Calculateur!X103*VLOOKUP('Données projet'!$B$9,Paramètres!$A$1:$I$89,3,0)*0.475*44/12</f>
        <v>1.6200693670494792</v>
      </c>
      <c r="AB103" s="21">
        <f>EXP(-LN(2)/2)*AB102+(1-EXP(-LN(2)/2))/(LN(2)/2)*V103*Y103*VLOOKUP('Données projet'!$B$9,Paramètres!$A$1:$I$89,3,0)*0.475*44/12</f>
        <v>6.2728465925048462E-10</v>
      </c>
      <c r="AC103" s="22">
        <f t="shared" si="57"/>
        <v>2.2222075865164128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68.783582395846878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361</v>
      </c>
      <c r="AG103" s="12">
        <f>VLOOKUP(A103,'Données projet'!$A$61:$I$81,9,0)</f>
        <v>5.9</v>
      </c>
      <c r="AH103" s="12">
        <f t="array" ref="AH103">INDEX(AG:AG,MIN(IF(ISNUMBER(AG103:AG299),ROW(AG103:AG299),"")))</f>
        <v>5.9</v>
      </c>
      <c r="AI103" s="13">
        <f>IF('Données projet'!$A$62&gt;35,AI102+AH103-AQ102,IF(A103&lt;'Données projet'!$A$62,$AF$205^A103,IF(A103='Données projet'!$A$62,'Données projet'!$B$62,AI102+AH103-AQ102)))</f>
        <v>360.99999999999977</v>
      </c>
      <c r="AJ103" s="13">
        <f>AI103*VLOOKUP('Données projet'!$B$10,Paramètres!$A$1:$I$89,3,0)*VLOOKUP('Données projet'!$B$10,Paramètres!$A$1:$I$89,5,0)</f>
        <v>349.15919999999977</v>
      </c>
      <c r="AK103" s="13">
        <f t="shared" si="89"/>
        <v>81.389357558494837</v>
      </c>
      <c r="AL103" s="20">
        <f t="shared" si="58"/>
        <v>749.87207108104474</v>
      </c>
      <c r="AM103" s="59">
        <f t="shared" si="59"/>
        <v>1038.7452065324833</v>
      </c>
      <c r="AN103" s="59">
        <f ca="1">AVERAGE(OFFSET($AM$3,0,0,'Données projet'!$E$10+1,1))-AVERAGE(OFFSET($H$3,0,0,'Données projet'!$E$10+1,1))</f>
        <v>508.94560627895089</v>
      </c>
      <c r="AO103" s="59">
        <f t="shared" si="90"/>
        <v>357.86868650263034</v>
      </c>
      <c r="AP103" s="15">
        <f>IF(ISNA(VLOOKUP(A103,'Données projet'!$A$61:$I$81,3,0)),0,VLOOKUP(A103,'Données projet'!$A$61:$I$81,3,0))</f>
        <v>9</v>
      </c>
      <c r="AQ103" s="15">
        <f>IF(ISNA(VLOOKUP(A103,'Données projet'!$A$61:$I$81,4,0)),0,VLOOKUP(A103,'Données projet'!$A$61:$I$81,4,0))</f>
        <v>55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0.6436649925527288</v>
      </c>
      <c r="AV103" s="21">
        <f>EXP(-LN(2)/25)*AV102+(1-EXP(-LN(2)/25))/(LN(2)/25)*Calculateur!AQ103*Calculateur!AS103*VLOOKUP('Données projet'!$B$10,Paramètres!$A$1:$I$89,3,0)*0.475*44/12</f>
        <v>1.7317982889149608</v>
      </c>
      <c r="AW103" s="21">
        <f>EXP(-LN(2)/2)*AW102+(1-EXP(-LN(2)/2))/(LN(2)/2)*AQ103*AT103*VLOOKUP('Données projet'!$B$10,Paramètres!$A$1:$I$89,3,0)*0.475*44/12</f>
        <v>6.7054567023327359E-10</v>
      </c>
      <c r="AX103" s="21">
        <f t="shared" si="60"/>
        <v>2.3754632821382353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68.783582395846878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1.7053025658242404E-13</v>
      </c>
      <c r="BE103" s="13">
        <f>BD103*VLOOKUP('Données projet'!$B$11,Paramètres!$A$1:$I$89,3,0)*VLOOKUP('Données projet'!$B$11,Paramètres!$A$1:$I$89,5,0)</f>
        <v>1.3301360013429075E-13</v>
      </c>
      <c r="BF103" s="13">
        <f t="shared" si="91"/>
        <v>1.9329766731057041E-12</v>
      </c>
      <c r="BG103" s="20">
        <f t="shared" si="61"/>
        <v>3.5982663925596575E-12</v>
      </c>
      <c r="BH103" s="59">
        <f t="shared" si="62"/>
        <v>288.87313545144212</v>
      </c>
      <c r="BI103" s="59">
        <f ca="1">AVERAGE(OFFSET($BH$3,0,0,'Données projet'!$E$11+1,1))-AVERAGE(OFFSET($H$3,0,0,'Données projet'!$E$11+1,1))</f>
        <v>383.03154033422328</v>
      </c>
      <c r="BJ103" s="59">
        <f t="shared" si="92"/>
        <v>373.27897156169877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0.36150539616296679</v>
      </c>
      <c r="BQ103" s="21">
        <f>EXP(-LN(2)/25)*BQ102+(1-EXP(-LN(2)/25))/(LN(2)/25)*Calculateur!BL103*Calculateur!BN103*VLOOKUP('Données projet'!$B$11,Paramètres!$A$1:$I$89,3,0)*0.475*44/12</f>
        <v>1.2019294001488439</v>
      </c>
      <c r="BR103" s="21">
        <f>EXP(-LN(2)/2)*BR102+(1-EXP(-LN(2)/2))/(LN(2)/2)*BL103*BO103*VLOOKUP('Données projet'!$B$11,Paramètres!$A$1:$I$89,3,0)*0.475*44/12</f>
        <v>3.8042139485192705E-10</v>
      </c>
      <c r="BS103" s="22">
        <f t="shared" si="63"/>
        <v>1.5634347966922322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68.783582395846878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>
        <f>VLOOKUP(A103,'Données projet'!$A$113:$I$133,2,0)</f>
        <v>361</v>
      </c>
      <c r="BW103" s="12">
        <f>VLOOKUP(A103,'Données projet'!$A$113:$I$133,9,0)</f>
        <v>5.9</v>
      </c>
      <c r="BX103" s="12">
        <f t="array" ref="BX103">INDEX(BW:BW,MIN(IF(ISNUMBER(BW103:BW299),ROW(BW103:BW299),"")))</f>
        <v>5.9</v>
      </c>
      <c r="BY103" s="12">
        <f>IF('Données projet'!$A$114&gt;35,BY102+BX103-CG102,IF(A103&lt;'Données projet'!$A$114,$BV$205^A103,IF(A103='Données projet'!$A$114,'Données projet'!$B$114,BY102+BX103-CG102)))</f>
        <v>360.99999999999977</v>
      </c>
      <c r="BZ103" s="13">
        <f>BY103*VLOOKUP('Données projet'!$B$12,Paramètres!$A$1:$I$89,3,0)*VLOOKUP('Données projet'!$B$12,Paramètres!$A$1:$I$89,5,0)</f>
        <v>304.10639999999984</v>
      </c>
      <c r="CA103" s="13">
        <f t="shared" si="93"/>
        <v>72.036640316223298</v>
      </c>
      <c r="CB103" s="20">
        <f t="shared" si="64"/>
        <v>655.11579521742192</v>
      </c>
      <c r="CC103" s="59">
        <f t="shared" si="65"/>
        <v>943.98893066886046</v>
      </c>
      <c r="CD103" s="59">
        <f ca="1">AVERAGE(OFFSET($CC$3,0,0,'Données projet'!$E$12+1,1))-AVERAGE(OFFSET($H$3,0,0,'Données projet'!$E$12+1,1))</f>
        <v>449.94334483948603</v>
      </c>
      <c r="CE103" s="59">
        <f t="shared" si="94"/>
        <v>318.02929110264176</v>
      </c>
      <c r="CF103" s="15">
        <f>IF(ISNA(VLOOKUP(A103,'Données projet'!$A$113:$I$133,3,0)),0,VLOOKUP(A103,'Données projet'!$A$113:$I$133,3,0))</f>
        <v>9</v>
      </c>
      <c r="CG103" s="15">
        <f>IF(ISNA(VLOOKUP(A103,'Données projet'!$A$113:$I$133,4,0)),0,VLOOKUP(A103,'Données projet'!$A$113:$I$133,4,0))</f>
        <v>55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0.56061144512656991</v>
      </c>
      <c r="CL103" s="21">
        <f>EXP(-LN(2)/25)*CL102+(1-EXP(-LN(2)/25))/(LN(2)/25)*Calculateur!CG103*Calculateur!CI103*VLOOKUP('Données projet'!$B$12,Paramètres!$A$1:$I$89,3,0)*0.475*44/12</f>
        <v>1.5083404451839986</v>
      </c>
      <c r="CM103" s="21">
        <f>EXP(-LN(2)/2)*CM102+(1-EXP(-LN(2)/2))/(LN(2)/2)*CG103*CJ103*VLOOKUP('Données projet'!$B$12,Paramètres!$A$1:$I$89,3,0)*0.475*44/12</f>
        <v>5.8402364826769049E-10</v>
      </c>
      <c r="CN103" s="22">
        <f t="shared" si="66"/>
        <v>2.0689518908945921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68.783582395846878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>
        <f>VLOOKUP(A103,'Données projet'!$A$139:$I$159,2,0)</f>
        <v>425</v>
      </c>
      <c r="CR103" s="12">
        <f>VLOOKUP(A103,'Données projet'!$A$139:$I$159,9,0)</f>
        <v>7.4</v>
      </c>
      <c r="CS103" s="12">
        <f t="array" ref="CS103">INDEX(CR:CR,MIN(IF(ISNUMBER(CR103:CR299),ROW(CR103:CR299),"")))</f>
        <v>7.4</v>
      </c>
      <c r="CT103" s="12">
        <f>IF('Données projet'!$A$140&gt;35,CT102+CS103-DB102,IF(A103&lt;'Données projet'!$A$140,$CQ$205^A103,IF(A103='Données projet'!$A$140,'Données projet'!$B$140,CT102+CS103-DB102)))</f>
        <v>425.00000000000011</v>
      </c>
      <c r="CU103" s="17">
        <f>CT103*VLOOKUP('Données projet'!$B$13,Paramètres!$A$1:$I$89,3,0)*VLOOKUP('Données projet'!$B$13,Paramètres!$A$1:$I$89,5,0)</f>
        <v>364.65000000000015</v>
      </c>
      <c r="CV103" s="13">
        <f t="shared" si="95"/>
        <v>84.571861716261665</v>
      </c>
      <c r="CW103" s="20">
        <f t="shared" si="67"/>
        <v>782.39474248915587</v>
      </c>
      <c r="CX103" s="59">
        <f t="shared" si="68"/>
        <v>1071.2678779405944</v>
      </c>
      <c r="CY103" s="59">
        <f ca="1">AVERAGE(OFFSET($CX$3,0,0,'Données projet'!$E$13+1,1))-AVERAGE(OFFSET($H$3,0,0,'Données projet'!$E$13+1,1))</f>
        <v>565.32667500225568</v>
      </c>
      <c r="CZ103" s="59">
        <f t="shared" si="96"/>
        <v>275.06957234480944</v>
      </c>
      <c r="DA103" s="15">
        <f>IF(ISNA(VLOOKUP(A103,'Données projet'!$A$139:$I$159,3,0)),0,VLOOKUP(A103,'Données projet'!$A$139:$I$159,3,0))</f>
        <v>8</v>
      </c>
      <c r="DB103" s="15">
        <f>IF(ISNA(VLOOKUP(A103,'Données projet'!$A$139:$I$159,4,0)),0,VLOOKUP(A103,'Données projet'!$A$139:$I$159,4,0))</f>
        <v>49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0</v>
      </c>
      <c r="DG103" s="21">
        <f>EXP(-LN(2)/25)*DG102+(1-EXP(-LN(2)/25))/(LN(2)/25)*Calculateur!DB103*Calculateur!DD103*VLOOKUP('Données projet'!$B$13,Paramètres!$A$1:$I$89,3,0)*0.475*44/12</f>
        <v>0.62910186816778424</v>
      </c>
      <c r="DH103" s="21">
        <f>EXP(-LN(2)/2)*DH102+(1-EXP(-LN(2)/2))/(LN(2)/2)*DB103*DE103*VLOOKUP('Données projet'!$B$13,Paramètres!$A$1:$I$89,3,0)*0.475*44/12</f>
        <v>2.0615780701045747E-10</v>
      </c>
      <c r="DI103" s="22">
        <f t="shared" si="69"/>
        <v>0.629101868373942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68.783582395846878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-1.2505552149377763E-12</v>
      </c>
      <c r="DP103" s="17">
        <f>DO103*VLOOKUP('Données projet'!$B$14,Paramètres!$A$1:$I$89,3,0)*VLOOKUP('Données projet'!$B$14,Paramètres!$A$1:$I$89,5,0)</f>
        <v>-6.9906036515021697E-13</v>
      </c>
      <c r="DQ103" s="13" t="e">
        <f t="shared" si="97"/>
        <v>#NUM!</v>
      </c>
      <c r="DR103" s="20" t="e">
        <f t="shared" si="70"/>
        <v>#NUM!</v>
      </c>
      <c r="DS103" s="59" t="e">
        <f t="shared" si="71"/>
        <v>#NUM!</v>
      </c>
      <c r="DT103" s="59">
        <f ca="1">AVERAGE(OFFSET($DS$3,0,0,'Données projet'!$E$14+1,1))-AVERAGE(OFFSET($H$3,0,0,'Données projet'!$E$14+1,1))</f>
        <v>532.64469322244281</v>
      </c>
      <c r="DU103" s="59">
        <f t="shared" si="98"/>
        <v>525.88014011096413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2.8549656927742029</v>
      </c>
      <c r="EB103" s="21">
        <f>EXP(-LN(2)/25)*EB102+(1-EXP(-LN(2)/25))/(LN(2)/25)*Calculateur!DW103*Calculateur!DY103*VLOOKUP('Données projet'!$B$14,Paramètres!$A$1:$I$89,3,0)*0.475*44/12</f>
        <v>5.565358828545361</v>
      </c>
      <c r="EC103" s="21">
        <f>EXP(-LN(2)/2)*EC102+(1-EXP(-LN(2)/2))/(LN(2)/2)*DW103*DZ103*VLOOKUP('Données projet'!$B$14,Paramètres!$A$1:$I$89,3,0)*0.475*44/12</f>
        <v>1.061471742433324E-9</v>
      </c>
      <c r="ED103" s="22">
        <f t="shared" si="72"/>
        <v>8.4203245223810352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68.783582395846878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>
        <f>VLOOKUP(A103,'Données projet'!$A$191:$I$211,2,0)</f>
        <v>303</v>
      </c>
      <c r="EH103" s="12">
        <f>VLOOKUP(A103,'Données projet'!$A$191:$I$211,9,0)</f>
        <v>4.9000000000000004</v>
      </c>
      <c r="EI103" s="12">
        <f t="array" ref="EI103">INDEX(EH:EH,MIN(IF(ISNUMBER(EH103:EH299),ROW(EH103:EH299),"")))</f>
        <v>4.9000000000000004</v>
      </c>
      <c r="EJ103" s="12">
        <f>IF('Données projet'!$A$192&gt;35,EJ102+EI103-ER102,IF(A103&lt;'Données projet'!$A$192,$EG$205^A103,IF(A103='Données projet'!$A$192,'Données projet'!$B$192,EJ102+EI103-ER102)))</f>
        <v>303.00000000000023</v>
      </c>
      <c r="EK103" s="17">
        <f>EJ103*VLOOKUP('Données projet'!$B$15,Paramètres!$A$1:$I$89,3,0)*VLOOKUP('Données projet'!$B$15,Paramètres!$A$1:$I$89,5,0)</f>
        <v>274.15440000000018</v>
      </c>
      <c r="EL103" s="13">
        <f t="shared" si="99"/>
        <v>65.730152764515836</v>
      </c>
      <c r="EM103" s="20">
        <f t="shared" si="73"/>
        <v>591.96559606486528</v>
      </c>
      <c r="EN103" s="59">
        <f t="shared" si="74"/>
        <v>880.83873151630382</v>
      </c>
      <c r="EO103" s="59">
        <f ca="1">AVERAGE(OFFSET($EN$3,0,0,'Données projet'!$E$15+1,1))-AVERAGE(OFFSET($H$3,0,0,'Données projet'!$E$15+1,1))</f>
        <v>398.27843768730202</v>
      </c>
      <c r="EP103" s="59">
        <f t="shared" si="100"/>
        <v>252.3617347568813</v>
      </c>
      <c r="EQ103" s="15">
        <f>IF(ISNA(VLOOKUP(A103,'Données projet'!$A$191:$I$211,3,0)),0,VLOOKUP(A103,'Données projet'!$A$191:$I$211,3,0))</f>
        <v>8</v>
      </c>
      <c r="ER103" s="15">
        <f>IF(ISNA(VLOOKUP(A103,'Données projet'!$A$191:$I$211,4,0)),0,VLOOKUP(A103,'Données projet'!$A$191:$I$211,4,0))</f>
        <v>42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0</v>
      </c>
      <c r="EW103" s="21">
        <f>EXP(-LN(2)/25)*EW102+(1-EXP(-LN(2)/25))/(LN(2)/25)*Calculateur!ER103*Calculateur!ET103*VLOOKUP('Données projet'!$B$15,Paramètres!$A$1:$I$89,3,0)*0.475*44/12</f>
        <v>0.44597325868270754</v>
      </c>
      <c r="EX103" s="21">
        <f>EXP(-LN(2)/2)*EX102+(1-EXP(-LN(2)/2))/(LN(2)/2)*ER103*EU103*VLOOKUP('Données projet'!$B$15,Paramètres!$A$1:$I$89,3,0)*0.475*44/12</f>
        <v>1.8013373059303346E-10</v>
      </c>
      <c r="EY103" s="22">
        <f t="shared" si="75"/>
        <v>0.44597325886284128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68.783582395846878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>
        <f>VLOOKUP(A103,'Données projet'!$A$217:$I$237,2,0)</f>
        <v>303</v>
      </c>
      <c r="FC103" s="12">
        <f>VLOOKUP(A103,'Données projet'!$A$217:$I$237,9,0)</f>
        <v>4.9000000000000004</v>
      </c>
      <c r="FD103" s="12">
        <f t="array" ref="FD103">INDEX(FC:FC,MIN(IF(ISNUMBER(FC103:FC299),ROW(FC103:FC299),"")))</f>
        <v>4.9000000000000004</v>
      </c>
      <c r="FE103" s="12">
        <f>IF('Données projet'!$A$218&gt;35,FE102+FD103-FM102,IF(A103&lt;'Données projet'!$A$218,$FB$205^A103,IF(A103='Données projet'!$A$218,'Données projet'!$B$218,FE102+FD103-FM102)))</f>
        <v>303.00000000000023</v>
      </c>
      <c r="FF103" s="17">
        <f>FE103*VLOOKUP('Données projet'!$B$16,Paramètres!$A$1:$I$89,3,0)*VLOOKUP('Données projet'!$B$16,Paramètres!$A$1:$I$89,5,0)</f>
        <v>293.06160000000023</v>
      </c>
      <c r="FG103" s="13">
        <f t="shared" si="101"/>
        <v>69.719933365116617</v>
      </c>
      <c r="FH103" s="20">
        <f t="shared" si="76"/>
        <v>631.84450394424505</v>
      </c>
      <c r="FI103" s="59">
        <f t="shared" si="77"/>
        <v>920.71763939568359</v>
      </c>
      <c r="FJ103" s="59">
        <f ca="1">AVERAGE(OFFSET($FI$3,0,0,'Données projet'!$E$16+1,1))-AVERAGE(OFFSET($H$3,0,0,'Données projet'!$E$16+1,1))</f>
        <v>422.28024471365825</v>
      </c>
      <c r="FK103" s="59">
        <f t="shared" si="102"/>
        <v>266.49730479813206</v>
      </c>
      <c r="FL103" s="15">
        <f>IF(ISNA(VLOOKUP(A103,'Données projet'!$A$217:$I$237,3,0)),0,VLOOKUP(A103,'Données projet'!$A$217:$I$237,3,0))</f>
        <v>8</v>
      </c>
      <c r="FM103" s="15">
        <f>IF(ISNA(VLOOKUP(A103,'Données projet'!$A$217:$I$237,4,0)),0,VLOOKUP(A103,'Données projet'!$A$217:$I$237,4,0))</f>
        <v>42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0</v>
      </c>
      <c r="FR103" s="21">
        <f>EXP(-LN(2)/25)*FR102+(1-EXP(-LN(2)/25))/(LN(2)/25)*Calculateur!FM103*Calculateur!FO103*VLOOKUP('Données projet'!$B$16,Paramètres!$A$1:$I$89,3,0)*0.475*44/12</f>
        <v>0.4767300351435837</v>
      </c>
      <c r="FS103" s="21">
        <f>EXP(-LN(2)/2)*FS102+(1-EXP(-LN(2)/2))/(LN(2)/2)*FM103*FP103*VLOOKUP('Données projet'!$B$16,Paramètres!$A$1:$I$89,3,0)*0.475*44/12</f>
        <v>1.9255674649600125E-10</v>
      </c>
      <c r="FT103" s="22">
        <f t="shared" si="78"/>
        <v>0.47673003533614045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68.783582395846878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3.4106051316484809E-13</v>
      </c>
      <c r="GA103" s="17">
        <f>FZ103*VLOOKUP('Données projet'!$B$17,Paramètres!$A$1:$I$89,3,0)*VLOOKUP('Données projet'!$B$17,Paramètres!$A$1:$I$89,5,0)</f>
        <v>2.6602720026858149E-13</v>
      </c>
      <c r="GB103" s="13">
        <f t="shared" si="103"/>
        <v>3.5662905043956649E-12</v>
      </c>
      <c r="GC103" s="20">
        <f t="shared" si="79"/>
        <v>6.6746200022902298E-12</v>
      </c>
      <c r="GD103" s="59">
        <f t="shared" si="80"/>
        <v>288.87313545144519</v>
      </c>
      <c r="GE103" s="59">
        <f ca="1">AVERAGE(OFFSET($GD$3,0,0,'Données projet'!$E$17+1,1))-AVERAGE(OFFSET($H$3,0,0,'Données projet'!$E$17+1,1))</f>
        <v>300.95722646933314</v>
      </c>
      <c r="GF103" s="59">
        <f t="shared" si="104"/>
        <v>269.52365224623759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>
        <f>EXP(-LN(2)/35)*GL102+(1-EXP(-LN(2)/35))/(LN(2)/35)*GH103*GI103*VLOOKUP('Données projet'!$B$17,Paramètres!$A$1:$I$89,3,0)*0.475*44/12</f>
        <v>0.22246485917721037</v>
      </c>
      <c r="GM103" s="21">
        <f>EXP(-LN(2)/25)*GM102+(1-EXP(-LN(2)/25))/(LN(2)/25)*Calculateur!GH103*Calculateur!GJ103*VLOOKUP('Données projet'!$B$17,Paramètres!$A$1:$I$89,3,0)*0.475*44/12</f>
        <v>0.89586291256859851</v>
      </c>
      <c r="GN103" s="21">
        <f>EXP(-LN(2)/2)*GN102+(1-EXP(-LN(2)/2))/(LN(2)/2)*GH103*GK103*VLOOKUP('Données projet'!$B$17,Paramètres!$A$1:$I$89,3,0)*0.475*44/12</f>
        <v>2.5782977522527929E-10</v>
      </c>
      <c r="GO103" s="21">
        <f t="shared" si="81"/>
        <v>1.1183277720036386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68.783582395846878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1.4000000000000001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5.1333333333333337</v>
      </c>
      <c r="H104" s="67">
        <f t="shared" si="56"/>
        <v>236.13333333333335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68.804684521776593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5.2</v>
      </c>
      <c r="N104" s="13">
        <f>IF('Données projet'!$A$36&gt;35,N103+M104-V103,IF(A104&lt;'Données projet'!$A$36,$K$205^A104,IF(A104='Données projet'!$A$36,'Données projet'!$B$36,N103+M104-V103)))</f>
        <v>311.19999999999976</v>
      </c>
      <c r="O104" s="13">
        <f>N104*VLOOKUP('Données projet'!$B$9,Paramètres!$A$1:$I$89,3,0)*VLOOKUP('Données projet'!$B$9,Paramètres!$A$1:$I$89,5,0)</f>
        <v>281.57375999999977</v>
      </c>
      <c r="P104" s="13">
        <f t="shared" si="87"/>
        <v>67.299481043334993</v>
      </c>
      <c r="Q104" s="20">
        <f t="shared" si="107"/>
        <v>607.62089481714133</v>
      </c>
      <c r="R104" s="59">
        <f t="shared" si="55"/>
        <v>896.57140473032223</v>
      </c>
      <c r="S104" s="59">
        <f ca="1">AVERAGE(OFFSET($R$3,0,0,'Données projet'!$E$9+1,1))-AVERAGE(OFFSET($H$3,0,0,'Données projet'!$E$9+1,1))</f>
        <v>479.46542424895119</v>
      </c>
      <c r="T104" s="59">
        <f t="shared" si="88"/>
        <v>337.96395820277337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0.59033065563625242</v>
      </c>
      <c r="AA104" s="21">
        <f>EXP(-LN(2)/25)*AA103+(1-EXP(-LN(2)/25))/(LN(2)/25)*Calculateur!V104*Calculateur!X104*VLOOKUP('Données projet'!$B$9,Paramètres!$A$1:$I$89,3,0)*0.475*44/12</f>
        <v>1.5757684850117659</v>
      </c>
      <c r="AB104" s="21">
        <f>EXP(-LN(2)/2)*AB103+(1-EXP(-LN(2)/2))/(LN(2)/2)*V104*Y104*VLOOKUP('Données projet'!$B$9,Paramètres!$A$1:$I$89,3,0)*0.475*44/12</f>
        <v>4.4355723629031046E-10</v>
      </c>
      <c r="AC104" s="22">
        <f t="shared" si="57"/>
        <v>2.1660991410915758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68.804684521776593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5.2</v>
      </c>
      <c r="AI104" s="13">
        <f>IF('Données projet'!$A$62&gt;35,AI103+AH104-AQ103,IF(A104&lt;'Données projet'!$A$62,$AF$205^A104,IF(A104='Données projet'!$A$62,'Données projet'!$B$62,AI103+AH104-AQ103)))</f>
        <v>311.19999999999976</v>
      </c>
      <c r="AJ104" s="13">
        <f>AI104*VLOOKUP('Données projet'!$B$10,Paramètres!$A$1:$I$89,3,0)*VLOOKUP('Données projet'!$B$10,Paramètres!$A$1:$I$89,5,0)</f>
        <v>300.99263999999977</v>
      </c>
      <c r="AK104" s="13">
        <f t="shared" si="89"/>
        <v>71.384518923273518</v>
      </c>
      <c r="AL104" s="20">
        <f t="shared" si="58"/>
        <v>648.5568851247009</v>
      </c>
      <c r="AM104" s="59">
        <f t="shared" si="59"/>
        <v>937.50739503788168</v>
      </c>
      <c r="AN104" s="59">
        <f ca="1">AVERAGE(OFFSET($AM$3,0,0,'Données projet'!$E$10+1,1))-AVERAGE(OFFSET($H$3,0,0,'Données projet'!$E$10+1,1))</f>
        <v>508.94560627895089</v>
      </c>
      <c r="AO104" s="59">
        <f t="shared" si="90"/>
        <v>357.86868650263034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0.63104311464564955</v>
      </c>
      <c r="AV104" s="21">
        <f>EXP(-LN(2)/25)*AV103+(1-EXP(-LN(2)/25))/(LN(2)/25)*Calculateur!AQ104*Calculateur!AS104*VLOOKUP('Données projet'!$B$10,Paramètres!$A$1:$I$89,3,0)*0.475*44/12</f>
        <v>1.6844421736332673</v>
      </c>
      <c r="AW104" s="21">
        <f>EXP(-LN(2)/2)*AW103+(1-EXP(-LN(2)/2))/(LN(2)/2)*AQ104*AT104*VLOOKUP('Données projet'!$B$10,Paramètres!$A$1:$I$89,3,0)*0.475*44/12</f>
        <v>4.7414739051722623E-10</v>
      </c>
      <c r="AX104" s="21">
        <f t="shared" si="60"/>
        <v>2.3154852887530644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68.804684521776593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1.7053025658242404E-13</v>
      </c>
      <c r="BE104" s="13">
        <f>BD104*VLOOKUP('Données projet'!$B$11,Paramètres!$A$1:$I$89,3,0)*VLOOKUP('Données projet'!$B$11,Paramètres!$A$1:$I$89,5,0)</f>
        <v>1.3301360013429075E-13</v>
      </c>
      <c r="BF104" s="13">
        <f t="shared" si="91"/>
        <v>1.9329766731057041E-12</v>
      </c>
      <c r="BG104" s="20">
        <f t="shared" si="61"/>
        <v>3.5982663925596575E-12</v>
      </c>
      <c r="BH104" s="59">
        <f t="shared" si="62"/>
        <v>288.95050991318442</v>
      </c>
      <c r="BI104" s="59">
        <f ca="1">AVERAGE(OFFSET($BH$3,0,0,'Données projet'!$E$11+1,1))-AVERAGE(OFFSET($H$3,0,0,'Données projet'!$E$11+1,1))</f>
        <v>383.03154033422328</v>
      </c>
      <c r="BJ104" s="59">
        <f t="shared" si="92"/>
        <v>373.27897156169877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0.35441649584073043</v>
      </c>
      <c r="BQ104" s="21">
        <f>EXP(-LN(2)/25)*BQ103+(1-EXP(-LN(2)/25))/(LN(2)/25)*Calculateur!BL104*Calculateur!BN104*VLOOKUP('Données projet'!$B$11,Paramètres!$A$1:$I$89,3,0)*0.475*44/12</f>
        <v>1.1690625774950536</v>
      </c>
      <c r="BR104" s="21">
        <f>EXP(-LN(2)/2)*BR103+(1-EXP(-LN(2)/2))/(LN(2)/2)*BL104*BO104*VLOOKUP('Données projet'!$B$11,Paramètres!$A$1:$I$89,3,0)*0.475*44/12</f>
        <v>2.6899854800824277E-10</v>
      </c>
      <c r="BS104" s="22">
        <f t="shared" si="63"/>
        <v>1.5234790736047827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68.804684521776593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5.2</v>
      </c>
      <c r="BY104" s="12">
        <f>IF('Données projet'!$A$114&gt;35,BY103+BX104-CG103,IF(A104&lt;'Données projet'!$A$114,$BV$205^A104,IF(A104='Données projet'!$A$114,'Données projet'!$B$114,BY103+BX104-CG103)))</f>
        <v>311.19999999999976</v>
      </c>
      <c r="BZ104" s="13">
        <f>BY104*VLOOKUP('Données projet'!$B$12,Paramètres!$A$1:$I$89,3,0)*VLOOKUP('Données projet'!$B$12,Paramètres!$A$1:$I$89,5,0)</f>
        <v>262.15487999999982</v>
      </c>
      <c r="CA104" s="13">
        <f t="shared" si="93"/>
        <v>63.181490407105123</v>
      </c>
      <c r="CB104" s="20">
        <f t="shared" si="64"/>
        <v>566.62751179237432</v>
      </c>
      <c r="CC104" s="59">
        <f t="shared" si="65"/>
        <v>855.5780217055551</v>
      </c>
      <c r="CD104" s="59">
        <f ca="1">AVERAGE(OFFSET($CC$3,0,0,'Données projet'!$E$12+1,1))-AVERAGE(OFFSET($H$3,0,0,'Données projet'!$E$12+1,1))</f>
        <v>449.94334483948603</v>
      </c>
      <c r="CE104" s="59">
        <f t="shared" si="94"/>
        <v>318.02929110264176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0.54961819662685574</v>
      </c>
      <c r="CL104" s="21">
        <f>EXP(-LN(2)/25)*CL103+(1-EXP(-LN(2)/25))/(LN(2)/25)*Calculateur!CG104*Calculateur!CI104*VLOOKUP('Données projet'!$B$12,Paramètres!$A$1:$I$89,3,0)*0.475*44/12</f>
        <v>1.4670947963902654</v>
      </c>
      <c r="CM104" s="21">
        <f>EXP(-LN(2)/2)*CM103+(1-EXP(-LN(2)/2))/(LN(2)/2)*CG104*CJ104*VLOOKUP('Données projet'!$B$12,Paramètres!$A$1:$I$89,3,0)*0.475*44/12</f>
        <v>4.1296708206339102E-10</v>
      </c>
      <c r="CN104" s="22">
        <f t="shared" si="66"/>
        <v>2.016712993430088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68.804684521776593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6.5</v>
      </c>
      <c r="CT104" s="12">
        <f>IF('Données projet'!$A$140&gt;35,CT103+CS104-DB103,IF(A104&lt;'Données projet'!$A$140,$CQ$205^A104,IF(A104='Données projet'!$A$140,'Données projet'!$B$140,CT103+CS104-DB103)))</f>
        <v>382.50000000000011</v>
      </c>
      <c r="CU104" s="17">
        <f>CT104*VLOOKUP('Données projet'!$B$13,Paramètres!$A$1:$I$89,3,0)*VLOOKUP('Données projet'!$B$13,Paramètres!$A$1:$I$89,5,0)</f>
        <v>328.18500000000012</v>
      </c>
      <c r="CV104" s="13">
        <f t="shared" si="95"/>
        <v>77.053890665486904</v>
      </c>
      <c r="CW104" s="20">
        <f t="shared" si="67"/>
        <v>705.79106790905655</v>
      </c>
      <c r="CX104" s="59">
        <f t="shared" si="68"/>
        <v>994.74157782223733</v>
      </c>
      <c r="CY104" s="59">
        <f ca="1">AVERAGE(OFFSET($CX$3,0,0,'Données projet'!$E$13+1,1))-AVERAGE(OFFSET($H$3,0,0,'Données projet'!$E$13+1,1))</f>
        <v>565.32667500225568</v>
      </c>
      <c r="CZ104" s="59">
        <f t="shared" si="96"/>
        <v>275.06957234480944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0</v>
      </c>
      <c r="DG104" s="21">
        <f>EXP(-LN(2)/25)*DG103+(1-EXP(-LN(2)/25))/(LN(2)/25)*Calculateur!DB104*Calculateur!DD104*VLOOKUP('Données projet'!$B$13,Paramètres!$A$1:$I$89,3,0)*0.475*44/12</f>
        <v>0.61189904449970678</v>
      </c>
      <c r="DH104" s="21">
        <f>EXP(-LN(2)/2)*DH103+(1-EXP(-LN(2)/2))/(LN(2)/2)*DB104*DE104*VLOOKUP('Données projet'!$B$13,Paramètres!$A$1:$I$89,3,0)*0.475*44/12</f>
        <v>1.4577558333164204E-10</v>
      </c>
      <c r="DI104" s="22">
        <f t="shared" si="69"/>
        <v>0.61189904464548239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68.804684521776593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-1.2505552149377763E-12</v>
      </c>
      <c r="DP104" s="17">
        <f>DO104*VLOOKUP('Données projet'!$B$14,Paramètres!$A$1:$I$89,3,0)*VLOOKUP('Données projet'!$B$14,Paramètres!$A$1:$I$89,5,0)</f>
        <v>-6.9906036515021697E-13</v>
      </c>
      <c r="DQ104" s="13" t="e">
        <f t="shared" si="97"/>
        <v>#NUM!</v>
      </c>
      <c r="DR104" s="20" t="e">
        <f t="shared" si="70"/>
        <v>#NUM!</v>
      </c>
      <c r="DS104" s="59" t="e">
        <f t="shared" si="71"/>
        <v>#NUM!</v>
      </c>
      <c r="DT104" s="59">
        <f ca="1">AVERAGE(OFFSET($DS$3,0,0,'Données projet'!$E$14+1,1))-AVERAGE(OFFSET($H$3,0,0,'Données projet'!$E$14+1,1))</f>
        <v>532.64469322244281</v>
      </c>
      <c r="DU104" s="59">
        <f t="shared" si="98"/>
        <v>525.88014011096413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2.7989815568960288</v>
      </c>
      <c r="EB104" s="21">
        <f>EXP(-LN(2)/25)*EB103+(1-EXP(-LN(2)/25))/(LN(2)/25)*Calculateur!DW104*Calculateur!DY104*VLOOKUP('Données projet'!$B$14,Paramètres!$A$1:$I$89,3,0)*0.475*44/12</f>
        <v>5.4131737987092867</v>
      </c>
      <c r="EC104" s="21">
        <f>EXP(-LN(2)/2)*EC103+(1-EXP(-LN(2)/2))/(LN(2)/2)*DW104*DZ104*VLOOKUP('Données projet'!$B$14,Paramètres!$A$1:$I$89,3,0)*0.475*44/12</f>
        <v>7.5057386711250376E-10</v>
      </c>
      <c r="ED104" s="22">
        <f t="shared" si="72"/>
        <v>8.2121553563558898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68.804684521776593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4.4000000000000004</v>
      </c>
      <c r="EJ104" s="12">
        <f>IF('Données projet'!$A$192&gt;35,EJ103+EI104-ER103,IF(A104&lt;'Données projet'!$A$192,$EG$205^A104,IF(A104='Données projet'!$A$192,'Données projet'!$B$192,EJ103+EI104-ER103)))</f>
        <v>265.4000000000002</v>
      </c>
      <c r="EK104" s="17">
        <f>EJ104*VLOOKUP('Données projet'!$B$15,Paramètres!$A$1:$I$89,3,0)*VLOOKUP('Données projet'!$B$15,Paramètres!$A$1:$I$89,5,0)</f>
        <v>240.13392000000016</v>
      </c>
      <c r="EL104" s="13">
        <f t="shared" si="99"/>
        <v>58.468343087048616</v>
      </c>
      <c r="EM104" s="20">
        <f t="shared" si="73"/>
        <v>520.06560820994321</v>
      </c>
      <c r="EN104" s="59">
        <f t="shared" si="74"/>
        <v>809.01611812312399</v>
      </c>
      <c r="EO104" s="59">
        <f ca="1">AVERAGE(OFFSET($EN$3,0,0,'Données projet'!$E$15+1,1))-AVERAGE(OFFSET($H$3,0,0,'Données projet'!$E$15+1,1))</f>
        <v>398.27843768730202</v>
      </c>
      <c r="EP104" s="59">
        <f t="shared" si="100"/>
        <v>252.3617347568813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0</v>
      </c>
      <c r="EW104" s="21">
        <f>EXP(-LN(2)/25)*EW103+(1-EXP(-LN(2)/25))/(LN(2)/25)*Calculateur!ER104*Calculateur!ET104*VLOOKUP('Données projet'!$B$15,Paramètres!$A$1:$I$89,3,0)*0.475*44/12</f>
        <v>0.43377809647131449</v>
      </c>
      <c r="EX104" s="21">
        <f>EXP(-LN(2)/2)*EX103+(1-EXP(-LN(2)/2))/(LN(2)/2)*ER104*EU104*VLOOKUP('Données projet'!$B$15,Paramètres!$A$1:$I$89,3,0)*0.475*44/12</f>
        <v>1.2737378242276461E-10</v>
      </c>
      <c r="EY104" s="22">
        <f t="shared" si="75"/>
        <v>0.43377809659868827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68.804684521776593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4.4000000000000004</v>
      </c>
      <c r="FE104" s="12">
        <f>IF('Données projet'!$A$218&gt;35,FE103+FD104-FM103,IF(A104&lt;'Données projet'!$A$218,$FB$205^A104,IF(A104='Données projet'!$A$218,'Données projet'!$B$218,FE103+FD104-FM103)))</f>
        <v>265.4000000000002</v>
      </c>
      <c r="FF104" s="17">
        <f>FE104*VLOOKUP('Données projet'!$B$16,Paramètres!$A$1:$I$89,3,0)*VLOOKUP('Données projet'!$B$16,Paramètres!$A$1:$I$89,5,0)</f>
        <v>256.69488000000018</v>
      </c>
      <c r="FG104" s="13">
        <f t="shared" si="101"/>
        <v>62.017336223177551</v>
      </c>
      <c r="FH104" s="20">
        <f t="shared" si="76"/>
        <v>555.09044325536786</v>
      </c>
      <c r="FI104" s="59">
        <f t="shared" si="77"/>
        <v>844.04095316854864</v>
      </c>
      <c r="FJ104" s="59">
        <f ca="1">AVERAGE(OFFSET($FI$3,0,0,'Données projet'!$E$16+1,1))-AVERAGE(OFFSET($H$3,0,0,'Données projet'!$E$16+1,1))</f>
        <v>422.28024471365825</v>
      </c>
      <c r="FK104" s="59">
        <f t="shared" si="102"/>
        <v>266.49730479813206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0</v>
      </c>
      <c r="FR104" s="21">
        <f>EXP(-LN(2)/25)*FR103+(1-EXP(-LN(2)/25))/(LN(2)/25)*Calculateur!FM104*Calculateur!FO104*VLOOKUP('Données projet'!$B$16,Paramètres!$A$1:$I$89,3,0)*0.475*44/12</f>
        <v>0.46369382726243941</v>
      </c>
      <c r="FS104" s="21">
        <f>EXP(-LN(2)/2)*FS103+(1-EXP(-LN(2)/2))/(LN(2)/2)*FM104*FP104*VLOOKUP('Données projet'!$B$16,Paramètres!$A$1:$I$89,3,0)*0.475*44/12</f>
        <v>1.3615818121054146E-10</v>
      </c>
      <c r="FT104" s="22">
        <f t="shared" si="78"/>
        <v>0.4636938273985976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68.804684521776593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3.4106051316484809E-13</v>
      </c>
      <c r="GA104" s="17">
        <f>FZ104*VLOOKUP('Données projet'!$B$17,Paramètres!$A$1:$I$89,3,0)*VLOOKUP('Données projet'!$B$17,Paramètres!$A$1:$I$89,5,0)</f>
        <v>2.6602720026858149E-13</v>
      </c>
      <c r="GB104" s="13">
        <f t="shared" si="103"/>
        <v>3.5662905043956649E-12</v>
      </c>
      <c r="GC104" s="20">
        <f t="shared" si="79"/>
        <v>6.6746200022902298E-12</v>
      </c>
      <c r="GD104" s="59">
        <f t="shared" si="80"/>
        <v>288.95050991318749</v>
      </c>
      <c r="GE104" s="59">
        <f ca="1">AVERAGE(OFFSET($GD$3,0,0,'Données projet'!$E$17+1,1))-AVERAGE(OFFSET($H$3,0,0,'Données projet'!$E$17+1,1))</f>
        <v>300.95722646933314</v>
      </c>
      <c r="GF104" s="59">
        <f t="shared" si="104"/>
        <v>269.52365224623759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>
        <f>EXP(-LN(2)/35)*GL103+(1-EXP(-LN(2)/35))/(LN(2)/35)*GH104*GI104*VLOOKUP('Données projet'!$B$17,Paramètres!$A$1:$I$89,3,0)*0.475*44/12</f>
        <v>0.21810245897891109</v>
      </c>
      <c r="GM104" s="21">
        <f>EXP(-LN(2)/25)*GM103+(1-EXP(-LN(2)/25))/(LN(2)/25)*Calculateur!GH104*Calculateur!GJ104*VLOOKUP('Données projet'!$B$17,Paramètres!$A$1:$I$89,3,0)*0.475*44/12</f>
        <v>0.87136549411302711</v>
      </c>
      <c r="GN104" s="21">
        <f>EXP(-LN(2)/2)*GN103+(1-EXP(-LN(2)/2))/(LN(2)/2)*GH104*GK104*VLOOKUP('Données projet'!$B$17,Paramètres!$A$1:$I$89,3,0)*0.475*44/12</f>
        <v>1.823131824535983E-10</v>
      </c>
      <c r="GO104" s="21">
        <f t="shared" si="81"/>
        <v>1.0894679532742515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68.804684521776593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1.4000000000000001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5.1333333333333337</v>
      </c>
      <c r="H105" s="67">
        <f t="shared" si="56"/>
        <v>236.13333333333335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68.825420572998695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5.2</v>
      </c>
      <c r="N105" s="13">
        <f>IF('Données projet'!$A$36&gt;35,N104+M105-V104,IF(A105&lt;'Données projet'!$A$36,$K$205^A105,IF(A105='Données projet'!$A$36,'Données projet'!$B$36,N104+M105-V104)))</f>
        <v>316.39999999999975</v>
      </c>
      <c r="O105" s="13">
        <f>N105*VLOOKUP('Données projet'!$B$9,Paramètres!$A$1:$I$89,3,0)*VLOOKUP('Données projet'!$B$9,Paramètres!$A$1:$I$89,5,0)</f>
        <v>286.27871999999974</v>
      </c>
      <c r="P105" s="13">
        <f t="shared" si="87"/>
        <v>68.292165517667542</v>
      </c>
      <c r="Q105" s="20">
        <f t="shared" si="107"/>
        <v>617.54429227660387</v>
      </c>
      <c r="R105" s="59">
        <f t="shared" si="55"/>
        <v>906.57083437759911</v>
      </c>
      <c r="S105" s="59">
        <f ca="1">AVERAGE(OFFSET($R$3,0,0,'Données projet'!$E$9+1,1))-AVERAGE(OFFSET($H$3,0,0,'Données projet'!$E$9+1,1))</f>
        <v>479.46542424895119</v>
      </c>
      <c r="T105" s="59">
        <f t="shared" si="88"/>
        <v>337.96395820277337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0.57875463154537188</v>
      </c>
      <c r="AA105" s="21">
        <f>EXP(-LN(2)/25)*AA104+(1-EXP(-LN(2)/25))/(LN(2)/25)*Calculateur!V105*Calculateur!X105*VLOOKUP('Données projet'!$B$9,Paramètres!$A$1:$I$89,3,0)*0.475*44/12</f>
        <v>1.5326790129230561</v>
      </c>
      <c r="AB105" s="21">
        <f>EXP(-LN(2)/2)*AB104+(1-EXP(-LN(2)/2))/(LN(2)/2)*V105*Y105*VLOOKUP('Données projet'!$B$9,Paramètres!$A$1:$I$89,3,0)*0.475*44/12</f>
        <v>3.1364232962524231E-10</v>
      </c>
      <c r="AC105" s="22">
        <f t="shared" si="57"/>
        <v>2.1114336447820703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68.825420572998695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5.2</v>
      </c>
      <c r="AI105" s="13">
        <f>IF('Données projet'!$A$62&gt;35,AI104+AH105-AQ104,IF(A105&lt;'Données projet'!$A$62,$AF$205^A105,IF(A105='Données projet'!$A$62,'Données projet'!$B$62,AI104+AH105-AQ104)))</f>
        <v>316.39999999999975</v>
      </c>
      <c r="AJ105" s="13">
        <f>AI105*VLOOKUP('Données projet'!$B$10,Paramètres!$A$1:$I$89,3,0)*VLOOKUP('Données projet'!$B$10,Paramètres!$A$1:$I$89,5,0)</f>
        <v>306.02207999999973</v>
      </c>
      <c r="AK105" s="13">
        <f t="shared" si="89"/>
        <v>72.437458746051632</v>
      </c>
      <c r="AL105" s="20">
        <f t="shared" si="58"/>
        <v>659.15036331603949</v>
      </c>
      <c r="AM105" s="59">
        <f t="shared" si="59"/>
        <v>948.17690541703473</v>
      </c>
      <c r="AN105" s="59">
        <f ca="1">AVERAGE(OFFSET($AM$3,0,0,'Données projet'!$E$10+1,1))-AVERAGE(OFFSET($H$3,0,0,'Données projet'!$E$10+1,1))</f>
        <v>508.94560627895089</v>
      </c>
      <c r="AO105" s="59">
        <f t="shared" si="90"/>
        <v>357.86868650263034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0.61866874406574279</v>
      </c>
      <c r="AV105" s="21">
        <f>EXP(-LN(2)/25)*AV104+(1-EXP(-LN(2)/25))/(LN(2)/25)*Calculateur!AQ105*Calculateur!AS105*VLOOKUP('Données projet'!$B$10,Paramètres!$A$1:$I$89,3,0)*0.475*44/12</f>
        <v>1.6383810138143016</v>
      </c>
      <c r="AW105" s="21">
        <f>EXP(-LN(2)/2)*AW104+(1-EXP(-LN(2)/2))/(LN(2)/2)*AQ105*AT105*VLOOKUP('Données projet'!$B$10,Paramètres!$A$1:$I$89,3,0)*0.475*44/12</f>
        <v>3.3527283511663679E-10</v>
      </c>
      <c r="AX105" s="21">
        <f t="shared" si="60"/>
        <v>2.2570497582153171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68.825420572998695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1.7053025658242404E-13</v>
      </c>
      <c r="BE105" s="13">
        <f>BD105*VLOOKUP('Données projet'!$B$11,Paramètres!$A$1:$I$89,3,0)*VLOOKUP('Données projet'!$B$11,Paramètres!$A$1:$I$89,5,0)</f>
        <v>1.3301360013429075E-13</v>
      </c>
      <c r="BF105" s="13">
        <f t="shared" si="91"/>
        <v>1.9329766731057041E-12</v>
      </c>
      <c r="BG105" s="20">
        <f t="shared" si="61"/>
        <v>3.5982663925596575E-12</v>
      </c>
      <c r="BH105" s="59">
        <f t="shared" si="62"/>
        <v>289.02654210099877</v>
      </c>
      <c r="BI105" s="59">
        <f ca="1">AVERAGE(OFFSET($BH$3,0,0,'Données projet'!$E$11+1,1))-AVERAGE(OFFSET($H$3,0,0,'Données projet'!$E$11+1,1))</f>
        <v>383.03154033422328</v>
      </c>
      <c r="BJ105" s="59">
        <f t="shared" si="92"/>
        <v>373.27897156169877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0.34746660453001088</v>
      </c>
      <c r="BQ105" s="21">
        <f>EXP(-LN(2)/25)*BQ104+(1-EXP(-LN(2)/25))/(LN(2)/25)*Calculateur!BL105*Calculateur!BN105*VLOOKUP('Données projet'!$B$11,Paramètres!$A$1:$I$89,3,0)*0.475*44/12</f>
        <v>1.1370944998351222</v>
      </c>
      <c r="BR105" s="21">
        <f>EXP(-LN(2)/2)*BR104+(1-EXP(-LN(2)/2))/(LN(2)/2)*BL105*BO105*VLOOKUP('Données projet'!$B$11,Paramètres!$A$1:$I$89,3,0)*0.475*44/12</f>
        <v>1.9021069742596352E-10</v>
      </c>
      <c r="BS105" s="22">
        <f t="shared" si="63"/>
        <v>1.484561104555344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68.825420572998695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5.2</v>
      </c>
      <c r="BY105" s="12">
        <f>IF('Données projet'!$A$114&gt;35,BY104+BX105-CG104,IF(A105&lt;'Données projet'!$A$114,$BV$205^A105,IF(A105='Données projet'!$A$114,'Données projet'!$B$114,BY104+BX105-CG104)))</f>
        <v>316.39999999999975</v>
      </c>
      <c r="BZ105" s="13">
        <f>BY105*VLOOKUP('Données projet'!$B$12,Paramètres!$A$1:$I$89,3,0)*VLOOKUP('Données projet'!$B$12,Paramètres!$A$1:$I$89,5,0)</f>
        <v>266.5353599999998</v>
      </c>
      <c r="CA105" s="13">
        <f t="shared" si="93"/>
        <v>64.113433471449738</v>
      </c>
      <c r="CB105" s="20">
        <f t="shared" si="64"/>
        <v>575.87998196277465</v>
      </c>
      <c r="CC105" s="59">
        <f t="shared" si="65"/>
        <v>864.90652406376989</v>
      </c>
      <c r="CD105" s="59">
        <f ca="1">AVERAGE(OFFSET($CC$3,0,0,'Données projet'!$E$12+1,1))-AVERAGE(OFFSET($H$3,0,0,'Données projet'!$E$12+1,1))</f>
        <v>449.94334483948603</v>
      </c>
      <c r="CE105" s="59">
        <f t="shared" si="94"/>
        <v>318.02929110264176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0.53884051902500141</v>
      </c>
      <c r="CL105" s="21">
        <f>EXP(-LN(2)/25)*CL104+(1-EXP(-LN(2)/25))/(LN(2)/25)*Calculateur!CG105*Calculateur!CI105*VLOOKUP('Données projet'!$B$12,Paramètres!$A$1:$I$89,3,0)*0.475*44/12</f>
        <v>1.4269770120318113</v>
      </c>
      <c r="CM105" s="21">
        <f>EXP(-LN(2)/2)*CM104+(1-EXP(-LN(2)/2))/(LN(2)/2)*CG105*CJ105*VLOOKUP('Données projet'!$B$12,Paramètres!$A$1:$I$89,3,0)*0.475*44/12</f>
        <v>2.9201182413384524E-10</v>
      </c>
      <c r="CN105" s="22">
        <f t="shared" si="66"/>
        <v>1.9658175313488244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68.825420572998695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6.5</v>
      </c>
      <c r="CT105" s="12">
        <f>IF('Données projet'!$A$140&gt;35,CT104+CS105-DB104,IF(A105&lt;'Données projet'!$A$140,$CQ$205^A105,IF(A105='Données projet'!$A$140,'Données projet'!$B$140,CT104+CS105-DB104)))</f>
        <v>389.00000000000011</v>
      </c>
      <c r="CU105" s="17">
        <f>CT105*VLOOKUP('Données projet'!$B$13,Paramètres!$A$1:$I$89,3,0)*VLOOKUP('Données projet'!$B$13,Paramètres!$A$1:$I$89,5,0)</f>
        <v>333.76200000000011</v>
      </c>
      <c r="CV105" s="13">
        <f t="shared" si="95"/>
        <v>78.209750448453065</v>
      </c>
      <c r="CW105" s="20">
        <f t="shared" si="67"/>
        <v>717.5174653643893</v>
      </c>
      <c r="CX105" s="59">
        <f t="shared" si="68"/>
        <v>1006.5440074653845</v>
      </c>
      <c r="CY105" s="59">
        <f ca="1">AVERAGE(OFFSET($CX$3,0,0,'Données projet'!$E$13+1,1))-AVERAGE(OFFSET($H$3,0,0,'Données projet'!$E$13+1,1))</f>
        <v>565.32667500225568</v>
      </c>
      <c r="CZ105" s="59">
        <f t="shared" si="96"/>
        <v>275.06957234480944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0</v>
      </c>
      <c r="DG105" s="21">
        <f>EXP(-LN(2)/25)*DG104+(1-EXP(-LN(2)/25))/(LN(2)/25)*Calculateur!DB105*Calculateur!DD105*VLOOKUP('Données projet'!$B$13,Paramètres!$A$1:$I$89,3,0)*0.475*44/12</f>
        <v>0.59516663294949002</v>
      </c>
      <c r="DH105" s="21">
        <f>EXP(-LN(2)/2)*DH104+(1-EXP(-LN(2)/2))/(LN(2)/2)*DB105*DE105*VLOOKUP('Données projet'!$B$13,Paramètres!$A$1:$I$89,3,0)*0.475*44/12</f>
        <v>1.0307890350522874E-10</v>
      </c>
      <c r="DI105" s="22">
        <f t="shared" si="69"/>
        <v>0.59516663305256889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68.825420572998695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-1.2505552149377763E-12</v>
      </c>
      <c r="DP105" s="17">
        <f>DO105*VLOOKUP('Données projet'!$B$14,Paramètres!$A$1:$I$89,3,0)*VLOOKUP('Données projet'!$B$14,Paramètres!$A$1:$I$89,5,0)</f>
        <v>-6.9906036515021697E-13</v>
      </c>
      <c r="DQ105" s="13" t="e">
        <f t="shared" si="97"/>
        <v>#NUM!</v>
      </c>
      <c r="DR105" s="20" t="e">
        <f t="shared" si="70"/>
        <v>#NUM!</v>
      </c>
      <c r="DS105" s="59" t="e">
        <f t="shared" si="71"/>
        <v>#NUM!</v>
      </c>
      <c r="DT105" s="59">
        <f ca="1">AVERAGE(OFFSET($DS$3,0,0,'Données projet'!$E$14+1,1))-AVERAGE(OFFSET($H$3,0,0,'Données projet'!$E$14+1,1))</f>
        <v>532.64469322244281</v>
      </c>
      <c r="DU105" s="59">
        <f t="shared" si="98"/>
        <v>525.88014011096413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2.7440952357754744</v>
      </c>
      <c r="EB105" s="21">
        <f>EXP(-LN(2)/25)*EB104+(1-EXP(-LN(2)/25))/(LN(2)/25)*Calculateur!DW105*Calculateur!DY105*VLOOKUP('Données projet'!$B$14,Paramètres!$A$1:$I$89,3,0)*0.475*44/12</f>
        <v>5.2651502765171427</v>
      </c>
      <c r="EC105" s="21">
        <f>EXP(-LN(2)/2)*EC104+(1-EXP(-LN(2)/2))/(LN(2)/2)*DW105*DZ105*VLOOKUP('Données projet'!$B$14,Paramètres!$A$1:$I$89,3,0)*0.475*44/12</f>
        <v>5.3073587121666199E-10</v>
      </c>
      <c r="ED105" s="22">
        <f t="shared" si="72"/>
        <v>8.0092455128233535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68.825420572998695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4.4000000000000004</v>
      </c>
      <c r="EJ105" s="12">
        <f>IF('Données projet'!$A$192&gt;35,EJ104+EI105-ER104,IF(A105&lt;'Données projet'!$A$192,$EG$205^A105,IF(A105='Données projet'!$A$192,'Données projet'!$B$192,EJ104+EI105-ER104)))</f>
        <v>269.80000000000018</v>
      </c>
      <c r="EK105" s="17">
        <f>EJ105*VLOOKUP('Données projet'!$B$15,Paramètres!$A$1:$I$89,3,0)*VLOOKUP('Données projet'!$B$15,Paramètres!$A$1:$I$89,5,0)</f>
        <v>244.11504000000016</v>
      </c>
      <c r="EL105" s="13">
        <f t="shared" si="99"/>
        <v>59.324023461759062</v>
      </c>
      <c r="EM105" s="20">
        <f t="shared" si="73"/>
        <v>528.48970219589739</v>
      </c>
      <c r="EN105" s="59">
        <f t="shared" si="74"/>
        <v>817.51624429689264</v>
      </c>
      <c r="EO105" s="59">
        <f ca="1">AVERAGE(OFFSET($EN$3,0,0,'Données projet'!$E$15+1,1))-AVERAGE(OFFSET($H$3,0,0,'Données projet'!$E$15+1,1))</f>
        <v>398.27843768730202</v>
      </c>
      <c r="EP105" s="59">
        <f t="shared" si="100"/>
        <v>252.3617347568813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0</v>
      </c>
      <c r="EW105" s="21">
        <f>EXP(-LN(2)/25)*EW104+(1-EXP(-LN(2)/25))/(LN(2)/25)*Calculateur!ER105*Calculateur!ET105*VLOOKUP('Données projet'!$B$15,Paramètres!$A$1:$I$89,3,0)*0.475*44/12</f>
        <v>0.42191641161190774</v>
      </c>
      <c r="EX105" s="21">
        <f>EXP(-LN(2)/2)*EX104+(1-EXP(-LN(2)/2))/(LN(2)/2)*ER105*EU105*VLOOKUP('Données projet'!$B$15,Paramètres!$A$1:$I$89,3,0)*0.475*44/12</f>
        <v>9.0066865296516732E-11</v>
      </c>
      <c r="EY105" s="22">
        <f t="shared" si="75"/>
        <v>0.42191641170197458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68.825420572998695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4.4000000000000004</v>
      </c>
      <c r="FE105" s="12">
        <f>IF('Données projet'!$A$218&gt;35,FE104+FD105-FM104,IF(A105&lt;'Données projet'!$A$218,$FB$205^A105,IF(A105='Données projet'!$A$218,'Données projet'!$B$218,FE104+FD105-FM104)))</f>
        <v>269.80000000000018</v>
      </c>
      <c r="FF105" s="17">
        <f>FE105*VLOOKUP('Données projet'!$B$16,Paramètres!$A$1:$I$89,3,0)*VLOOKUP('Données projet'!$B$16,Paramètres!$A$1:$I$89,5,0)</f>
        <v>260.95056000000022</v>
      </c>
      <c r="FG105" s="13">
        <f t="shared" si="101"/>
        <v>62.924955880176995</v>
      </c>
      <c r="FH105" s="20">
        <f t="shared" si="76"/>
        <v>564.0831901579752</v>
      </c>
      <c r="FI105" s="59">
        <f t="shared" si="77"/>
        <v>853.10973225897033</v>
      </c>
      <c r="FJ105" s="59">
        <f ca="1">AVERAGE(OFFSET($FI$3,0,0,'Données projet'!$E$16+1,1))-AVERAGE(OFFSET($H$3,0,0,'Données projet'!$E$16+1,1))</f>
        <v>422.28024471365825</v>
      </c>
      <c r="FK105" s="59">
        <f t="shared" si="102"/>
        <v>266.49730479813206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0</v>
      </c>
      <c r="FR105" s="21">
        <f>EXP(-LN(2)/25)*FR104+(1-EXP(-LN(2)/25))/(LN(2)/25)*Calculateur!FM105*Calculateur!FO105*VLOOKUP('Données projet'!$B$16,Paramètres!$A$1:$I$89,3,0)*0.475*44/12</f>
        <v>0.45101409517134944</v>
      </c>
      <c r="FS105" s="21">
        <f>EXP(-LN(2)/2)*FS104+(1-EXP(-LN(2)/2))/(LN(2)/2)*FM105*FP105*VLOOKUP('Données projet'!$B$16,Paramètres!$A$1:$I$89,3,0)*0.475*44/12</f>
        <v>9.6278373248000626E-11</v>
      </c>
      <c r="FT105" s="22">
        <f t="shared" si="78"/>
        <v>0.45101409526762781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68.825420572998695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3.4106051316484809E-13</v>
      </c>
      <c r="GA105" s="17">
        <f>FZ105*VLOOKUP('Données projet'!$B$17,Paramètres!$A$1:$I$89,3,0)*VLOOKUP('Données projet'!$B$17,Paramètres!$A$1:$I$89,5,0)</f>
        <v>2.6602720026858149E-13</v>
      </c>
      <c r="GB105" s="13">
        <f t="shared" si="103"/>
        <v>3.5662905043956649E-12</v>
      </c>
      <c r="GC105" s="20">
        <f t="shared" si="79"/>
        <v>6.6746200022902298E-12</v>
      </c>
      <c r="GD105" s="59">
        <f t="shared" si="80"/>
        <v>289.02654210100184</v>
      </c>
      <c r="GE105" s="59">
        <f ca="1">AVERAGE(OFFSET($GD$3,0,0,'Données projet'!$E$17+1,1))-AVERAGE(OFFSET($H$3,0,0,'Données projet'!$E$17+1,1))</f>
        <v>300.95722646933314</v>
      </c>
      <c r="GF105" s="59">
        <f t="shared" si="104"/>
        <v>269.52365224623759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>
        <f>EXP(-LN(2)/35)*GL104+(1-EXP(-LN(2)/35))/(LN(2)/35)*GH105*GI105*VLOOKUP('Données projet'!$B$17,Paramètres!$A$1:$I$89,3,0)*0.475*44/12</f>
        <v>0.21382560278769905</v>
      </c>
      <c r="GM105" s="21">
        <f>EXP(-LN(2)/25)*GM104+(1-EXP(-LN(2)/25))/(LN(2)/25)*Calculateur!GH105*Calculateur!GJ105*VLOOKUP('Données projet'!$B$17,Paramètres!$A$1:$I$89,3,0)*0.475*44/12</f>
        <v>0.84753795885338656</v>
      </c>
      <c r="GN105" s="21">
        <f>EXP(-LN(2)/2)*GN104+(1-EXP(-LN(2)/2))/(LN(2)/2)*GH105*GK105*VLOOKUP('Données projet'!$B$17,Paramètres!$A$1:$I$89,3,0)*0.475*44/12</f>
        <v>1.2891488761263964E-10</v>
      </c>
      <c r="GO105" s="21">
        <f t="shared" si="81"/>
        <v>1.0613635617700006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68.825420572998695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1.4000000000000001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5.1333333333333337</v>
      </c>
      <c r="H106" s="67">
        <f t="shared" si="56"/>
        <v>236.13333333333335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68.845796900090974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5.2</v>
      </c>
      <c r="N106" s="13">
        <f>IF('Données projet'!$A$36&gt;35,N105+M106-V105,IF(A106&lt;'Données projet'!$A$36,$K$205^A106,IF(A106='Données projet'!$A$36,'Données projet'!$B$36,N105+M106-V105)))</f>
        <v>321.59999999999974</v>
      </c>
      <c r="O106" s="13">
        <f>N106*VLOOKUP('Données projet'!$B$9,Paramètres!$A$1:$I$89,3,0)*VLOOKUP('Données projet'!$B$9,Paramètres!$A$1:$I$89,5,0)</f>
        <v>290.98367999999977</v>
      </c>
      <c r="P106" s="13">
        <f t="shared" si="87"/>
        <v>69.282952690245352</v>
      </c>
      <c r="Q106" s="20">
        <f t="shared" si="107"/>
        <v>627.46438526884356</v>
      </c>
      <c r="R106" s="59">
        <f t="shared" si="55"/>
        <v>916.56564056917705</v>
      </c>
      <c r="S106" s="59">
        <f ca="1">AVERAGE(OFFSET($R$3,0,0,'Données projet'!$E$9+1,1))-AVERAGE(OFFSET($H$3,0,0,'Données projet'!$E$9+1,1))</f>
        <v>479.46542424895119</v>
      </c>
      <c r="T106" s="59">
        <f t="shared" si="88"/>
        <v>337.96395820277337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0.56740560622623604</v>
      </c>
      <c r="AA106" s="21">
        <f>EXP(-LN(2)/25)*AA105+(1-EXP(-LN(2)/25))/(LN(2)/25)*Calculateur!V106*Calculateur!X106*VLOOKUP('Données projet'!$B$9,Paramètres!$A$1:$I$89,3,0)*0.475*44/12</f>
        <v>1.4907678247145888</v>
      </c>
      <c r="AB106" s="21">
        <f>EXP(-LN(2)/2)*AB105+(1-EXP(-LN(2)/2))/(LN(2)/2)*V106*Y106*VLOOKUP('Données projet'!$B$9,Paramètres!$A$1:$I$89,3,0)*0.475*44/12</f>
        <v>2.2177861814515523E-10</v>
      </c>
      <c r="AC106" s="22">
        <f t="shared" si="57"/>
        <v>2.0581734311626034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68.845796900090974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5.2</v>
      </c>
      <c r="AI106" s="13">
        <f>IF('Données projet'!$A$62&gt;35,AI105+AH106-AQ105,IF(A106&lt;'Données projet'!$A$62,$AF$205^A106,IF(A106='Données projet'!$A$62,'Données projet'!$B$62,AI105+AH106-AQ105)))</f>
        <v>321.59999999999974</v>
      </c>
      <c r="AJ106" s="13">
        <f>AI106*VLOOKUP('Données projet'!$B$10,Paramètres!$A$1:$I$89,3,0)*VLOOKUP('Données projet'!$B$10,Paramètres!$A$1:$I$89,5,0)</f>
        <v>311.05151999999975</v>
      </c>
      <c r="AK106" s="13">
        <f t="shared" si="89"/>
        <v>73.488386102003744</v>
      </c>
      <c r="AL106" s="20">
        <f t="shared" si="58"/>
        <v>669.7403364609894</v>
      </c>
      <c r="AM106" s="59">
        <f t="shared" si="59"/>
        <v>958.84159176132289</v>
      </c>
      <c r="AN106" s="59">
        <f ca="1">AVERAGE(OFFSET($AM$3,0,0,'Données projet'!$E$10+1,1))-AVERAGE(OFFSET($H$3,0,0,'Données projet'!$E$10+1,1))</f>
        <v>508.94560627895089</v>
      </c>
      <c r="AO106" s="59">
        <f t="shared" si="90"/>
        <v>357.86868650263034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0.60653702734528714</v>
      </c>
      <c r="AV106" s="21">
        <f>EXP(-LN(2)/25)*AV105+(1-EXP(-LN(2)/25))/(LN(2)/25)*Calculateur!AQ106*Calculateur!AS106*VLOOKUP('Données projet'!$B$10,Paramètres!$A$1:$I$89,3,0)*0.475*44/12</f>
        <v>1.5935793988328366</v>
      </c>
      <c r="AW106" s="21">
        <f>EXP(-LN(2)/2)*AW105+(1-EXP(-LN(2)/2))/(LN(2)/2)*AQ106*AT106*VLOOKUP('Données projet'!$B$10,Paramètres!$A$1:$I$89,3,0)*0.475*44/12</f>
        <v>2.3707369525861312E-10</v>
      </c>
      <c r="AX106" s="21">
        <f t="shared" si="60"/>
        <v>2.2001164264151978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68.845796900090974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1.7053025658242404E-13</v>
      </c>
      <c r="BE106" s="13">
        <f>BD106*VLOOKUP('Données projet'!$B$11,Paramètres!$A$1:$I$89,3,0)*VLOOKUP('Données projet'!$B$11,Paramètres!$A$1:$I$89,5,0)</f>
        <v>1.3301360013429075E-13</v>
      </c>
      <c r="BF106" s="13">
        <f t="shared" si="91"/>
        <v>1.9329766731057041E-12</v>
      </c>
      <c r="BG106" s="20">
        <f t="shared" si="61"/>
        <v>3.5982663925596575E-12</v>
      </c>
      <c r="BH106" s="59">
        <f t="shared" si="62"/>
        <v>289.10125530033713</v>
      </c>
      <c r="BI106" s="59">
        <f ca="1">AVERAGE(OFFSET($BH$3,0,0,'Données projet'!$E$11+1,1))-AVERAGE(OFFSET($H$3,0,0,'Données projet'!$E$11+1,1))</f>
        <v>383.03154033422328</v>
      </c>
      <c r="BJ106" s="59">
        <f t="shared" si="92"/>
        <v>373.27897156169877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0.34065299634887941</v>
      </c>
      <c r="BQ106" s="21">
        <f>EXP(-LN(2)/25)*BQ105+(1-EXP(-LN(2)/25))/(LN(2)/25)*Calculateur!BL106*Calculateur!BN106*VLOOKUP('Données projet'!$B$11,Paramètres!$A$1:$I$89,3,0)*0.475*44/12</f>
        <v>1.10600059093993</v>
      </c>
      <c r="BR106" s="21">
        <f>EXP(-LN(2)/2)*BR105+(1-EXP(-LN(2)/2))/(LN(2)/2)*BL106*BO106*VLOOKUP('Données projet'!$B$11,Paramètres!$A$1:$I$89,3,0)*0.475*44/12</f>
        <v>1.3449927400412138E-10</v>
      </c>
      <c r="BS106" s="22">
        <f t="shared" si="63"/>
        <v>1.4466535874233086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68.845796900090974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5.2</v>
      </c>
      <c r="BY106" s="12">
        <f>IF('Données projet'!$A$114&gt;35,BY105+BX106-CG105,IF(A106&lt;'Données projet'!$A$114,$BV$205^A106,IF(A106='Données projet'!$A$114,'Données projet'!$B$114,BY105+BX106-CG105)))</f>
        <v>321.59999999999974</v>
      </c>
      <c r="BZ106" s="13">
        <f>BY106*VLOOKUP('Données projet'!$B$12,Paramètres!$A$1:$I$89,3,0)*VLOOKUP('Données projet'!$B$12,Paramètres!$A$1:$I$89,5,0)</f>
        <v>270.91583999999983</v>
      </c>
      <c r="CA106" s="13">
        <f t="shared" si="93"/>
        <v>65.043595328112488</v>
      </c>
      <c r="CB106" s="20">
        <f t="shared" si="64"/>
        <v>585.12934986312894</v>
      </c>
      <c r="CC106" s="59">
        <f t="shared" si="65"/>
        <v>874.23060516346254</v>
      </c>
      <c r="CD106" s="59">
        <f ca="1">AVERAGE(OFFSET($CC$3,0,0,'Données projet'!$E$12+1,1))-AVERAGE(OFFSET($H$3,0,0,'Données projet'!$E$12+1,1))</f>
        <v>449.94334483948603</v>
      </c>
      <c r="CE106" s="59">
        <f t="shared" si="94"/>
        <v>318.02929110264176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0.52827418510718527</v>
      </c>
      <c r="CL106" s="21">
        <f>EXP(-LN(2)/25)*CL105+(1-EXP(-LN(2)/25))/(LN(2)/25)*Calculateur!CG106*Calculateur!CI106*VLOOKUP('Données projet'!$B$12,Paramètres!$A$1:$I$89,3,0)*0.475*44/12</f>
        <v>1.3879562505963416</v>
      </c>
      <c r="CM106" s="21">
        <f>EXP(-LN(2)/2)*CM105+(1-EXP(-LN(2)/2))/(LN(2)/2)*CG106*CJ106*VLOOKUP('Données projet'!$B$12,Paramètres!$A$1:$I$89,3,0)*0.475*44/12</f>
        <v>2.0648354103169551E-10</v>
      </c>
      <c r="CN106" s="22">
        <f t="shared" si="66"/>
        <v>1.9162304359100104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68.845796900090974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6.5</v>
      </c>
      <c r="CT106" s="12">
        <f>IF('Données projet'!$A$140&gt;35,CT105+CS106-DB105,IF(A106&lt;'Données projet'!$A$140,$CQ$205^A106,IF(A106='Données projet'!$A$140,'Données projet'!$B$140,CT105+CS106-DB105)))</f>
        <v>395.50000000000011</v>
      </c>
      <c r="CU106" s="17">
        <f>CT106*VLOOKUP('Données projet'!$B$13,Paramètres!$A$1:$I$89,3,0)*VLOOKUP('Données projet'!$B$13,Paramètres!$A$1:$I$89,5,0)</f>
        <v>339.33900000000017</v>
      </c>
      <c r="CV106" s="13">
        <f t="shared" si="95"/>
        <v>79.363364173373341</v>
      </c>
      <c r="CW106" s="20">
        <f t="shared" si="67"/>
        <v>729.23995093529209</v>
      </c>
      <c r="CX106" s="59">
        <f t="shared" si="68"/>
        <v>1018.3412062356256</v>
      </c>
      <c r="CY106" s="59">
        <f ca="1">AVERAGE(OFFSET($CX$3,0,0,'Données projet'!$E$13+1,1))-AVERAGE(OFFSET($H$3,0,0,'Données projet'!$E$13+1,1))</f>
        <v>565.32667500225568</v>
      </c>
      <c r="CZ106" s="59">
        <f t="shared" si="96"/>
        <v>275.06957234480944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0</v>
      </c>
      <c r="DG106" s="21">
        <f>EXP(-LN(2)/25)*DG105+(1-EXP(-LN(2)/25))/(LN(2)/25)*Calculateur!DB106*Calculateur!DD106*VLOOKUP('Données projet'!$B$13,Paramètres!$A$1:$I$89,3,0)*0.475*44/12</f>
        <v>0.57889177007303327</v>
      </c>
      <c r="DH106" s="21">
        <f>EXP(-LN(2)/2)*DH105+(1-EXP(-LN(2)/2))/(LN(2)/2)*DB106*DE106*VLOOKUP('Données projet'!$B$13,Paramètres!$A$1:$I$89,3,0)*0.475*44/12</f>
        <v>7.2887791665821021E-11</v>
      </c>
      <c r="DI106" s="22">
        <f t="shared" si="69"/>
        <v>0.57889177014592108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68.845796900090974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-1.2505552149377763E-12</v>
      </c>
      <c r="DP106" s="17">
        <f>DO106*VLOOKUP('Données projet'!$B$14,Paramètres!$A$1:$I$89,3,0)*VLOOKUP('Données projet'!$B$14,Paramètres!$A$1:$I$89,5,0)</f>
        <v>-6.9906036515021697E-13</v>
      </c>
      <c r="DQ106" s="13" t="e">
        <f t="shared" si="97"/>
        <v>#NUM!</v>
      </c>
      <c r="DR106" s="20" t="e">
        <f t="shared" si="70"/>
        <v>#NUM!</v>
      </c>
      <c r="DS106" s="59" t="e">
        <f t="shared" si="71"/>
        <v>#NUM!</v>
      </c>
      <c r="DT106" s="59">
        <f ca="1">AVERAGE(OFFSET($DS$3,0,0,'Données projet'!$E$14+1,1))-AVERAGE(OFFSET($H$3,0,0,'Données projet'!$E$14+1,1))</f>
        <v>532.64469322244281</v>
      </c>
      <c r="DU106" s="59">
        <f t="shared" si="98"/>
        <v>525.88014011096413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2.6902852019347439</v>
      </c>
      <c r="EB106" s="21">
        <f>EXP(-LN(2)/25)*EB105+(1-EXP(-LN(2)/25))/(LN(2)/25)*Calculateur!DW106*Calculateur!DY106*VLOOKUP('Données projet'!$B$14,Paramètres!$A$1:$I$89,3,0)*0.475*44/12</f>
        <v>5.1211744653235618</v>
      </c>
      <c r="EC106" s="21">
        <f>EXP(-LN(2)/2)*EC105+(1-EXP(-LN(2)/2))/(LN(2)/2)*DW106*DZ106*VLOOKUP('Données projet'!$B$14,Paramètres!$A$1:$I$89,3,0)*0.475*44/12</f>
        <v>3.7528693355625188E-10</v>
      </c>
      <c r="ED106" s="22">
        <f t="shared" si="72"/>
        <v>7.811459667633593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68.845796900090974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4.4000000000000004</v>
      </c>
      <c r="EJ106" s="12">
        <f>IF('Données projet'!$A$192&gt;35,EJ105+EI106-ER105,IF(A106&lt;'Données projet'!$A$192,$EG$205^A106,IF(A106='Données projet'!$A$192,'Données projet'!$B$192,EJ105+EI106-ER105)))</f>
        <v>274.20000000000016</v>
      </c>
      <c r="EK106" s="17">
        <f>EJ106*VLOOKUP('Données projet'!$B$15,Paramètres!$A$1:$I$89,3,0)*VLOOKUP('Données projet'!$B$15,Paramètres!$A$1:$I$89,5,0)</f>
        <v>248.09616000000014</v>
      </c>
      <c r="EL106" s="13">
        <f t="shared" si="99"/>
        <v>60.178080967364686</v>
      </c>
      <c r="EM106" s="20">
        <f t="shared" si="73"/>
        <v>536.91096968482714</v>
      </c>
      <c r="EN106" s="59">
        <f t="shared" si="74"/>
        <v>826.01222498516063</v>
      </c>
      <c r="EO106" s="59">
        <f ca="1">AVERAGE(OFFSET($EN$3,0,0,'Données projet'!$E$15+1,1))-AVERAGE(OFFSET($H$3,0,0,'Données projet'!$E$15+1,1))</f>
        <v>398.27843768730202</v>
      </c>
      <c r="EP106" s="59">
        <f t="shared" si="100"/>
        <v>252.3617347568813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0</v>
      </c>
      <c r="EW106" s="21">
        <f>EXP(-LN(2)/25)*EW105+(1-EXP(-LN(2)/25))/(LN(2)/25)*Calculateur!ER106*Calculateur!ET106*VLOOKUP('Données projet'!$B$15,Paramètres!$A$1:$I$89,3,0)*0.475*44/12</f>
        <v>0.41037908514876031</v>
      </c>
      <c r="EX106" s="21">
        <f>EXP(-LN(2)/2)*EX105+(1-EXP(-LN(2)/2))/(LN(2)/2)*ER106*EU106*VLOOKUP('Données projet'!$B$15,Paramètres!$A$1:$I$89,3,0)*0.475*44/12</f>
        <v>6.3686891211382306E-11</v>
      </c>
      <c r="EY106" s="22">
        <f t="shared" si="75"/>
        <v>0.4103790852124472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68.845796900090974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4.4000000000000004</v>
      </c>
      <c r="FE106" s="12">
        <f>IF('Données projet'!$A$218&gt;35,FE105+FD106-FM105,IF(A106&lt;'Données projet'!$A$218,$FB$205^A106,IF(A106='Données projet'!$A$218,'Données projet'!$B$218,FE105+FD106-FM105)))</f>
        <v>274.20000000000016</v>
      </c>
      <c r="FF106" s="17">
        <f>FE106*VLOOKUP('Données projet'!$B$16,Paramètres!$A$1:$I$89,3,0)*VLOOKUP('Données projet'!$B$16,Paramètres!$A$1:$I$89,5,0)</f>
        <v>265.20624000000015</v>
      </c>
      <c r="FG106" s="13">
        <f t="shared" si="101"/>
        <v>63.8308541608965</v>
      </c>
      <c r="FH106" s="20">
        <f t="shared" si="76"/>
        <v>573.072938996895</v>
      </c>
      <c r="FI106" s="59">
        <f t="shared" si="77"/>
        <v>862.1741942972285</v>
      </c>
      <c r="FJ106" s="59">
        <f ca="1">AVERAGE(OFFSET($FI$3,0,0,'Données projet'!$E$16+1,1))-AVERAGE(OFFSET($H$3,0,0,'Données projet'!$E$16+1,1))</f>
        <v>422.28024471365825</v>
      </c>
      <c r="FK106" s="59">
        <f t="shared" si="102"/>
        <v>266.49730479813206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0</v>
      </c>
      <c r="FR106" s="21">
        <f>EXP(-LN(2)/25)*FR105+(1-EXP(-LN(2)/25))/(LN(2)/25)*Calculateur!FM106*Calculateur!FO106*VLOOKUP('Données projet'!$B$16,Paramètres!$A$1:$I$89,3,0)*0.475*44/12</f>
        <v>0.43868109102108843</v>
      </c>
      <c r="FS106" s="21">
        <f>EXP(-LN(2)/2)*FS105+(1-EXP(-LN(2)/2))/(LN(2)/2)*FM106*FP106*VLOOKUP('Données projet'!$B$16,Paramètres!$A$1:$I$89,3,0)*0.475*44/12</f>
        <v>6.8079090605270728E-11</v>
      </c>
      <c r="FT106" s="22">
        <f t="shared" si="78"/>
        <v>0.43868109108916753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68.845796900090974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3.4106051316484809E-13</v>
      </c>
      <c r="GA106" s="17">
        <f>FZ106*VLOOKUP('Données projet'!$B$17,Paramètres!$A$1:$I$89,3,0)*VLOOKUP('Données projet'!$B$17,Paramètres!$A$1:$I$89,5,0)</f>
        <v>2.6602720026858149E-13</v>
      </c>
      <c r="GB106" s="13">
        <f t="shared" si="103"/>
        <v>3.5662905043956649E-12</v>
      </c>
      <c r="GC106" s="20">
        <f t="shared" si="79"/>
        <v>6.6746200022902298E-12</v>
      </c>
      <c r="GD106" s="59">
        <f t="shared" si="80"/>
        <v>289.1012553003402</v>
      </c>
      <c r="GE106" s="59">
        <f ca="1">AVERAGE(OFFSET($GD$3,0,0,'Données projet'!$E$17+1,1))-AVERAGE(OFFSET($H$3,0,0,'Données projet'!$E$17+1,1))</f>
        <v>300.95722646933314</v>
      </c>
      <c r="GF106" s="59">
        <f t="shared" si="104"/>
        <v>269.52365224623759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>
        <f>EXP(-LN(2)/35)*GL105+(1-EXP(-LN(2)/35))/(LN(2)/35)*GH106*GI106*VLOOKUP('Données projet'!$B$17,Paramètres!$A$1:$I$89,3,0)*0.475*44/12</f>
        <v>0.20963261313777198</v>
      </c>
      <c r="GM106" s="21">
        <f>EXP(-LN(2)/25)*GM105+(1-EXP(-LN(2)/25))/(LN(2)/25)*Calculateur!GH106*Calculateur!GJ106*VLOOKUP('Données projet'!$B$17,Paramètres!$A$1:$I$89,3,0)*0.475*44/12</f>
        <v>0.82436198879845657</v>
      </c>
      <c r="GN106" s="21">
        <f>EXP(-LN(2)/2)*GN105+(1-EXP(-LN(2)/2))/(LN(2)/2)*GH106*GK106*VLOOKUP('Données projet'!$B$17,Paramètres!$A$1:$I$89,3,0)*0.475*44/12</f>
        <v>9.1156591226799148E-11</v>
      </c>
      <c r="GO106" s="21">
        <f t="shared" si="81"/>
        <v>1.0339946020273851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68.845796900090974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1.4000000000000001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5.1333333333333337</v>
      </c>
      <c r="H107" s="67">
        <f t="shared" si="56"/>
        <v>236.13333333333335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68.865819743462836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5.2</v>
      </c>
      <c r="N107" s="13">
        <f>IF('Données projet'!$A$36&gt;35,N106+M107-V106,IF(A107&lt;'Données projet'!$A$36,$K$205^A107,IF(A107='Données projet'!$A$36,'Données projet'!$B$36,N106+M107-V106)))</f>
        <v>326.79999999999973</v>
      </c>
      <c r="O107" s="13">
        <f>N107*VLOOKUP('Données projet'!$B$9,Paramètres!$A$1:$I$89,3,0)*VLOOKUP('Données projet'!$B$9,Paramètres!$A$1:$I$89,5,0)</f>
        <v>295.68863999999974</v>
      </c>
      <c r="P107" s="13">
        <f t="shared" si="87"/>
        <v>70.271876780519676</v>
      </c>
      <c r="Q107" s="20">
        <f t="shared" si="107"/>
        <v>637.38123339273795</v>
      </c>
      <c r="R107" s="59">
        <f t="shared" si="55"/>
        <v>926.55590578543502</v>
      </c>
      <c r="S107" s="59">
        <f ca="1">AVERAGE(OFFSET($R$3,0,0,'Données projet'!$E$9+1,1))-AVERAGE(OFFSET($H$3,0,0,'Données projet'!$E$9+1,1))</f>
        <v>479.46542424895119</v>
      </c>
      <c r="T107" s="59">
        <f t="shared" si="88"/>
        <v>337.96395820277337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0.55627912837138649</v>
      </c>
      <c r="AA107" s="21">
        <f>EXP(-LN(2)/25)*AA106+(1-EXP(-LN(2)/25))/(LN(2)/25)*Calculateur!V107*Calculateur!X107*VLOOKUP('Données projet'!$B$9,Paramètres!$A$1:$I$89,3,0)*0.475*44/12</f>
        <v>1.4500027001516957</v>
      </c>
      <c r="AB107" s="21">
        <f>EXP(-LN(2)/2)*AB106+(1-EXP(-LN(2)/2))/(LN(2)/2)*V107*Y107*VLOOKUP('Données projet'!$B$9,Paramètres!$A$1:$I$89,3,0)*0.475*44/12</f>
        <v>1.5682116481262116E-10</v>
      </c>
      <c r="AC107" s="22">
        <f t="shared" si="57"/>
        <v>2.0062818286799033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68.865819743462836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5.2</v>
      </c>
      <c r="AI107" s="13">
        <f>IF('Données projet'!$A$62&gt;35,AI106+AH107-AQ106,IF(A107&lt;'Données projet'!$A$62,$AF$205^A107,IF(A107='Données projet'!$A$62,'Données projet'!$B$62,AI106+AH107-AQ106)))</f>
        <v>326.79999999999973</v>
      </c>
      <c r="AJ107" s="13">
        <f>AI107*VLOOKUP('Données projet'!$B$10,Paramètres!$A$1:$I$89,3,0)*VLOOKUP('Données projet'!$B$10,Paramètres!$A$1:$I$89,5,0)</f>
        <v>316.08095999999978</v>
      </c>
      <c r="AK107" s="13">
        <f t="shared" si="89"/>
        <v>74.537337287681041</v>
      </c>
      <c r="AL107" s="20">
        <f t="shared" si="58"/>
        <v>680.32686777604408</v>
      </c>
      <c r="AM107" s="59">
        <f t="shared" si="59"/>
        <v>969.50154016874114</v>
      </c>
      <c r="AN107" s="59">
        <f ca="1">AVERAGE(OFFSET($AM$3,0,0,'Données projet'!$E$10+1,1))-AVERAGE(OFFSET($H$3,0,0,'Données projet'!$E$10+1,1))</f>
        <v>508.94560627895089</v>
      </c>
      <c r="AO107" s="59">
        <f t="shared" si="90"/>
        <v>357.86868650263034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0.59464320619010314</v>
      </c>
      <c r="AV107" s="21">
        <f>EXP(-LN(2)/25)*AV106+(1-EXP(-LN(2)/25))/(LN(2)/25)*Calculateur!AQ107*Calculateur!AS107*VLOOKUP('Données projet'!$B$10,Paramètres!$A$1:$I$89,3,0)*0.475*44/12</f>
        <v>1.5500028863690543</v>
      </c>
      <c r="AW107" s="21">
        <f>EXP(-LN(2)/2)*AW106+(1-EXP(-LN(2)/2))/(LN(2)/2)*AQ107*AT107*VLOOKUP('Données projet'!$B$10,Paramètres!$A$1:$I$89,3,0)*0.475*44/12</f>
        <v>1.676364175583184E-10</v>
      </c>
      <c r="AX107" s="21">
        <f t="shared" si="60"/>
        <v>2.1446460927267941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68.865819743462836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1.7053025658242404E-13</v>
      </c>
      <c r="BE107" s="13">
        <f>BD107*VLOOKUP('Données projet'!$B$11,Paramètres!$A$1:$I$89,3,0)*VLOOKUP('Données projet'!$B$11,Paramètres!$A$1:$I$89,5,0)</f>
        <v>1.3301360013429075E-13</v>
      </c>
      <c r="BF107" s="13">
        <f t="shared" si="91"/>
        <v>1.9329766731057041E-12</v>
      </c>
      <c r="BG107" s="20">
        <f t="shared" si="61"/>
        <v>3.5982663925596575E-12</v>
      </c>
      <c r="BH107" s="59">
        <f t="shared" si="62"/>
        <v>289.17467239270064</v>
      </c>
      <c r="BI107" s="59">
        <f ca="1">AVERAGE(OFFSET($BH$3,0,0,'Données projet'!$E$11+1,1))-AVERAGE(OFFSET($H$3,0,0,'Données projet'!$E$11+1,1))</f>
        <v>383.03154033422328</v>
      </c>
      <c r="BJ107" s="59">
        <f t="shared" si="92"/>
        <v>373.27897156169877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0.33397299886828929</v>
      </c>
      <c r="BQ107" s="21">
        <f>EXP(-LN(2)/25)*BQ106+(1-EXP(-LN(2)/25))/(LN(2)/25)*Calculateur!BL107*Calculateur!BN107*VLOOKUP('Données projet'!$B$11,Paramètres!$A$1:$I$89,3,0)*0.475*44/12</f>
        <v>1.0757569466186343</v>
      </c>
      <c r="BR107" s="21">
        <f>EXP(-LN(2)/2)*BR106+(1-EXP(-LN(2)/2))/(LN(2)/2)*BL107*BO107*VLOOKUP('Données projet'!$B$11,Paramètres!$A$1:$I$89,3,0)*0.475*44/12</f>
        <v>9.5105348712981761E-11</v>
      </c>
      <c r="BS107" s="22">
        <f t="shared" si="63"/>
        <v>1.4097299455820289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68.865819743462836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5.2</v>
      </c>
      <c r="BY107" s="12">
        <f>IF('Données projet'!$A$114&gt;35,BY106+BX107-CG106,IF(A107&lt;'Données projet'!$A$114,$BV$205^A107,IF(A107='Données projet'!$A$114,'Données projet'!$B$114,BY106+BX107-CG106)))</f>
        <v>326.79999999999973</v>
      </c>
      <c r="BZ107" s="13">
        <f>BY107*VLOOKUP('Données projet'!$B$12,Paramètres!$A$1:$I$89,3,0)*VLOOKUP('Données projet'!$B$12,Paramètres!$A$1:$I$89,5,0)</f>
        <v>275.29631999999981</v>
      </c>
      <c r="CA107" s="13">
        <f t="shared" si="93"/>
        <v>65.972008102689301</v>
      </c>
      <c r="CB107" s="20">
        <f t="shared" si="64"/>
        <v>594.37567144551679</v>
      </c>
      <c r="CC107" s="59">
        <f t="shared" si="65"/>
        <v>883.55034383821385</v>
      </c>
      <c r="CD107" s="59">
        <f ca="1">AVERAGE(OFFSET($CC$3,0,0,'Données projet'!$E$12+1,1))-AVERAGE(OFFSET($H$3,0,0,'Données projet'!$E$12+1,1))</f>
        <v>449.94334483948603</v>
      </c>
      <c r="CE107" s="59">
        <f t="shared" si="94"/>
        <v>318.02929110264176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0.51791505055267018</v>
      </c>
      <c r="CL107" s="21">
        <f>EXP(-LN(2)/25)*CL106+(1-EXP(-LN(2)/25))/(LN(2)/25)*Calculateur!CG107*Calculateur!CI107*VLOOKUP('Données projet'!$B$12,Paramètres!$A$1:$I$89,3,0)*0.475*44/12</f>
        <v>1.3500025139343377</v>
      </c>
      <c r="CM107" s="21">
        <f>EXP(-LN(2)/2)*CM106+(1-EXP(-LN(2)/2))/(LN(2)/2)*CG107*CJ107*VLOOKUP('Données projet'!$B$12,Paramètres!$A$1:$I$89,3,0)*0.475*44/12</f>
        <v>1.4600591206692262E-10</v>
      </c>
      <c r="CN107" s="22">
        <f t="shared" si="66"/>
        <v>1.8679175646330137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68.865819743462836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6.5</v>
      </c>
      <c r="CT107" s="12">
        <f>IF('Données projet'!$A$140&gt;35,CT106+CS107-DB106,IF(A107&lt;'Données projet'!$A$140,$CQ$205^A107,IF(A107='Données projet'!$A$140,'Données projet'!$B$140,CT106+CS107-DB106)))</f>
        <v>402.00000000000011</v>
      </c>
      <c r="CU107" s="17">
        <f>CT107*VLOOKUP('Données projet'!$B$13,Paramètres!$A$1:$I$89,3,0)*VLOOKUP('Données projet'!$B$13,Paramètres!$A$1:$I$89,5,0)</f>
        <v>344.91600000000011</v>
      </c>
      <c r="CV107" s="13">
        <f t="shared" si="95"/>
        <v>80.514773015069281</v>
      </c>
      <c r="CW107" s="20">
        <f t="shared" si="67"/>
        <v>740.95859633457928</v>
      </c>
      <c r="CX107" s="59">
        <f t="shared" si="68"/>
        <v>1030.1332687272763</v>
      </c>
      <c r="CY107" s="59">
        <f ca="1">AVERAGE(OFFSET($CX$3,0,0,'Données projet'!$E$13+1,1))-AVERAGE(OFFSET($H$3,0,0,'Données projet'!$E$13+1,1))</f>
        <v>565.32667500225568</v>
      </c>
      <c r="CZ107" s="59">
        <f t="shared" si="96"/>
        <v>275.06957234480944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0</v>
      </c>
      <c r="DG107" s="21">
        <f>EXP(-LN(2)/25)*DG106+(1-EXP(-LN(2)/25))/(LN(2)/25)*Calculateur!DB107*Calculateur!DD107*VLOOKUP('Données projet'!$B$13,Paramètres!$A$1:$I$89,3,0)*0.475*44/12</f>
        <v>0.5630619441777911</v>
      </c>
      <c r="DH107" s="21">
        <f>EXP(-LN(2)/2)*DH106+(1-EXP(-LN(2)/2))/(LN(2)/2)*DB107*DE107*VLOOKUP('Données projet'!$B$13,Paramètres!$A$1:$I$89,3,0)*0.475*44/12</f>
        <v>5.1539451752614368E-11</v>
      </c>
      <c r="DI107" s="22">
        <f t="shared" si="69"/>
        <v>0.56306194422933054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68.865819743462836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-1.2505552149377763E-12</v>
      </c>
      <c r="DP107" s="17">
        <f>DO107*VLOOKUP('Données projet'!$B$14,Paramètres!$A$1:$I$89,3,0)*VLOOKUP('Données projet'!$B$14,Paramètres!$A$1:$I$89,5,0)</f>
        <v>-6.9906036515021697E-13</v>
      </c>
      <c r="DQ107" s="13" t="e">
        <f t="shared" si="97"/>
        <v>#NUM!</v>
      </c>
      <c r="DR107" s="20" t="e">
        <f t="shared" si="70"/>
        <v>#NUM!</v>
      </c>
      <c r="DS107" s="59" t="e">
        <f t="shared" si="71"/>
        <v>#NUM!</v>
      </c>
      <c r="DT107" s="59">
        <f ca="1">AVERAGE(OFFSET($DS$3,0,0,'Données projet'!$E$14+1,1))-AVERAGE(OFFSET($H$3,0,0,'Données projet'!$E$14+1,1))</f>
        <v>532.64469322244281</v>
      </c>
      <c r="DU107" s="59">
        <f t="shared" si="98"/>
        <v>525.88014011096413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2.6375303500367502</v>
      </c>
      <c r="EB107" s="21">
        <f>EXP(-LN(2)/25)*EB106+(1-EXP(-LN(2)/25))/(LN(2)/25)*Calculateur!DW107*Calculateur!DY107*VLOOKUP('Données projet'!$B$14,Paramètres!$A$1:$I$89,3,0)*0.475*44/12</f>
        <v>4.9811356802584283</v>
      </c>
      <c r="EC107" s="21">
        <f>EXP(-LN(2)/2)*EC106+(1-EXP(-LN(2)/2))/(LN(2)/2)*DW107*DZ107*VLOOKUP('Données projet'!$B$14,Paramètres!$A$1:$I$89,3,0)*0.475*44/12</f>
        <v>2.65367935608331E-10</v>
      </c>
      <c r="ED107" s="22">
        <f t="shared" si="72"/>
        <v>7.6186660305605471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68.865819743462836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4.4000000000000004</v>
      </c>
      <c r="EJ107" s="12">
        <f>IF('Données projet'!$A$192&gt;35,EJ106+EI107-ER106,IF(A107&lt;'Données projet'!$A$192,$EG$205^A107,IF(A107='Données projet'!$A$192,'Données projet'!$B$192,EJ106+EI107-ER106)))</f>
        <v>278.60000000000014</v>
      </c>
      <c r="EK107" s="17">
        <f>EJ107*VLOOKUP('Données projet'!$B$15,Paramètres!$A$1:$I$89,3,0)*VLOOKUP('Données projet'!$B$15,Paramètres!$A$1:$I$89,5,0)</f>
        <v>252.07728000000014</v>
      </c>
      <c r="EL107" s="13">
        <f t="shared" si="99"/>
        <v>61.030544652155044</v>
      </c>
      <c r="EM107" s="20">
        <f t="shared" si="73"/>
        <v>545.32946126917022</v>
      </c>
      <c r="EN107" s="59">
        <f t="shared" si="74"/>
        <v>834.50413366186729</v>
      </c>
      <c r="EO107" s="59">
        <f ca="1">AVERAGE(OFFSET($EN$3,0,0,'Données projet'!$E$15+1,1))-AVERAGE(OFFSET($H$3,0,0,'Données projet'!$E$15+1,1))</f>
        <v>398.27843768730202</v>
      </c>
      <c r="EP107" s="59">
        <f t="shared" si="100"/>
        <v>252.3617347568813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0</v>
      </c>
      <c r="EW107" s="21">
        <f>EXP(-LN(2)/25)*EW106+(1-EXP(-LN(2)/25))/(LN(2)/25)*Calculateur!ER107*Calculateur!ET107*VLOOKUP('Données projet'!$B$15,Paramètres!$A$1:$I$89,3,0)*0.475*44/12</f>
        <v>0.39915724748446929</v>
      </c>
      <c r="EX107" s="21">
        <f>EXP(-LN(2)/2)*EX106+(1-EXP(-LN(2)/2))/(LN(2)/2)*ER107*EU107*VLOOKUP('Données projet'!$B$15,Paramètres!$A$1:$I$89,3,0)*0.475*44/12</f>
        <v>4.5033432648258366E-11</v>
      </c>
      <c r="EY107" s="22">
        <f t="shared" si="75"/>
        <v>0.39915724752950271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68.865819743462836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4.4000000000000004</v>
      </c>
      <c r="FE107" s="12">
        <f>IF('Données projet'!$A$218&gt;35,FE106+FD107-FM106,IF(A107&lt;'Données projet'!$A$218,$FB$205^A107,IF(A107='Données projet'!$A$218,'Données projet'!$B$218,FE106+FD107-FM106)))</f>
        <v>278.60000000000014</v>
      </c>
      <c r="FF107" s="17">
        <f>FE107*VLOOKUP('Données projet'!$B$16,Paramètres!$A$1:$I$89,3,0)*VLOOKUP('Données projet'!$B$16,Paramètres!$A$1:$I$89,5,0)</f>
        <v>269.46192000000013</v>
      </c>
      <c r="FG107" s="13">
        <f t="shared" si="101"/>
        <v>64.735061876839112</v>
      </c>
      <c r="FH107" s="20">
        <f t="shared" si="76"/>
        <v>582.05974343549497</v>
      </c>
      <c r="FI107" s="59">
        <f t="shared" si="77"/>
        <v>871.23441582819203</v>
      </c>
      <c r="FJ107" s="59">
        <f ca="1">AVERAGE(OFFSET($FI$3,0,0,'Données projet'!$E$16+1,1))-AVERAGE(OFFSET($H$3,0,0,'Données projet'!$E$16+1,1))</f>
        <v>422.28024471365825</v>
      </c>
      <c r="FK107" s="59">
        <f t="shared" si="102"/>
        <v>266.49730479813206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0</v>
      </c>
      <c r="FR107" s="21">
        <f>EXP(-LN(2)/25)*FR106+(1-EXP(-LN(2)/25))/(LN(2)/25)*Calculateur!FM107*Calculateur!FO107*VLOOKUP('Données projet'!$B$16,Paramètres!$A$1:$I$89,3,0)*0.475*44/12</f>
        <v>0.42668533351788079</v>
      </c>
      <c r="FS107" s="21">
        <f>EXP(-LN(2)/2)*FS106+(1-EXP(-LN(2)/2))/(LN(2)/2)*FM107*FP107*VLOOKUP('Données projet'!$B$16,Paramètres!$A$1:$I$89,3,0)*0.475*44/12</f>
        <v>4.8139186624000313E-11</v>
      </c>
      <c r="FT107" s="22">
        <f t="shared" si="78"/>
        <v>0.42668533356601995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68.865819743462836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3.4106051316484809E-13</v>
      </c>
      <c r="GA107" s="17">
        <f>FZ107*VLOOKUP('Données projet'!$B$17,Paramètres!$A$1:$I$89,3,0)*VLOOKUP('Données projet'!$B$17,Paramètres!$A$1:$I$89,5,0)</f>
        <v>2.6602720026858149E-13</v>
      </c>
      <c r="GB107" s="13">
        <f t="shared" si="103"/>
        <v>3.5662905043956649E-12</v>
      </c>
      <c r="GC107" s="20">
        <f t="shared" si="79"/>
        <v>6.6746200022902298E-12</v>
      </c>
      <c r="GD107" s="59">
        <f t="shared" si="80"/>
        <v>289.17467239270371</v>
      </c>
      <c r="GE107" s="59">
        <f ca="1">AVERAGE(OFFSET($GD$3,0,0,'Données projet'!$E$17+1,1))-AVERAGE(OFFSET($H$3,0,0,'Données projet'!$E$17+1,1))</f>
        <v>300.95722646933314</v>
      </c>
      <c r="GF107" s="59">
        <f t="shared" si="104"/>
        <v>269.52365224623759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>
        <f>EXP(-LN(2)/35)*GL106+(1-EXP(-LN(2)/35))/(LN(2)/35)*GH107*GI107*VLOOKUP('Données projet'!$B$17,Paramètres!$A$1:$I$89,3,0)*0.475*44/12</f>
        <v>0.20552184545740884</v>
      </c>
      <c r="GM107" s="21">
        <f>EXP(-LN(2)/25)*GM106+(1-EXP(-LN(2)/25))/(LN(2)/25)*Calculateur!GH107*Calculateur!GJ107*VLOOKUP('Données projet'!$B$17,Paramètres!$A$1:$I$89,3,0)*0.475*44/12</f>
        <v>0.80181976686344991</v>
      </c>
      <c r="GN107" s="21">
        <f>EXP(-LN(2)/2)*GN106+(1-EXP(-LN(2)/2))/(LN(2)/2)*GH107*GK107*VLOOKUP('Données projet'!$B$17,Paramètres!$A$1:$I$89,3,0)*0.475*44/12</f>
        <v>6.4457443806319822E-11</v>
      </c>
      <c r="GO107" s="21">
        <f t="shared" si="81"/>
        <v>1.0073416123853163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68.865819743462836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1.4000000000000001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5.1333333333333337</v>
      </c>
      <c r="H108" s="67">
        <f t="shared" si="56"/>
        <v>236.13333333333335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68.885495235266575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5.2</v>
      </c>
      <c r="N108" s="13">
        <f>IF('Données projet'!$A$36&gt;35,N107+M108-V107,IF(A108&lt;'Données projet'!$A$36,$K$205^A108,IF(A108='Données projet'!$A$36,'Données projet'!$B$36,N107+M108-V107)))</f>
        <v>331.99999999999972</v>
      </c>
      <c r="O108" s="13">
        <f>N108*VLOOKUP('Données projet'!$B$9,Paramètres!$A$1:$I$89,3,0)*VLOOKUP('Données projet'!$B$9,Paramètres!$A$1:$I$89,5,0)</f>
        <v>300.39359999999976</v>
      </c>
      <c r="P108" s="13">
        <f t="shared" si="87"/>
        <v>71.258970856492667</v>
      </c>
      <c r="Q108" s="20">
        <f t="shared" si="107"/>
        <v>647.29489424172436</v>
      </c>
      <c r="R108" s="59">
        <f t="shared" si="55"/>
        <v>936.54171010436846</v>
      </c>
      <c r="S108" s="59">
        <f ca="1">AVERAGE(OFFSET($R$3,0,0,'Données projet'!$E$9+1,1))-AVERAGE(OFFSET($H$3,0,0,'Données projet'!$E$9+1,1))</f>
        <v>479.46542424895119</v>
      </c>
      <c r="T108" s="59">
        <f t="shared" si="88"/>
        <v>337.96395820277337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0.54537083396078911</v>
      </c>
      <c r="AA108" s="21">
        <f>EXP(-LN(2)/25)*AA107+(1-EXP(-LN(2)/25))/(LN(2)/25)*Calculateur!V108*Calculateur!X108*VLOOKUP('Données projet'!$B$9,Paramètres!$A$1:$I$89,3,0)*0.475*44/12</f>
        <v>1.4103523000637197</v>
      </c>
      <c r="AB108" s="21">
        <f>EXP(-LN(2)/2)*AB107+(1-EXP(-LN(2)/2))/(LN(2)/2)*V108*Y108*VLOOKUP('Données projet'!$B$9,Paramètres!$A$1:$I$89,3,0)*0.475*44/12</f>
        <v>1.1088930907257761E-10</v>
      </c>
      <c r="AC108" s="22">
        <f t="shared" si="57"/>
        <v>1.955723134135398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68.885495235266575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5.2</v>
      </c>
      <c r="AI108" s="13">
        <f>IF('Données projet'!$A$62&gt;35,AI107+AH108-AQ107,IF(A108&lt;'Données projet'!$A$62,$AF$205^A108,IF(A108='Données projet'!$A$62,'Données projet'!$B$62,AI107+AH108-AQ107)))</f>
        <v>331.99999999999972</v>
      </c>
      <c r="AJ108" s="13">
        <f>AI108*VLOOKUP('Données projet'!$B$10,Paramètres!$A$1:$I$89,3,0)*VLOOKUP('Données projet'!$B$10,Paramètres!$A$1:$I$89,5,0)</f>
        <v>321.11039999999974</v>
      </c>
      <c r="AK108" s="13">
        <f t="shared" si="89"/>
        <v>75.584347378293245</v>
      </c>
      <c r="AL108" s="20">
        <f t="shared" si="58"/>
        <v>690.91001835052691</v>
      </c>
      <c r="AM108" s="59">
        <f t="shared" si="59"/>
        <v>980.15683421317101</v>
      </c>
      <c r="AN108" s="59">
        <f ca="1">AVERAGE(OFFSET($AM$3,0,0,'Données projet'!$E$10+1,1))-AVERAGE(OFFSET($H$3,0,0,'Données projet'!$E$10+1,1))</f>
        <v>508.94560627895089</v>
      </c>
      <c r="AO108" s="59">
        <f t="shared" si="90"/>
        <v>357.86868650263034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0.5829826156132577</v>
      </c>
      <c r="AV108" s="21">
        <f>EXP(-LN(2)/25)*AV107+(1-EXP(-LN(2)/25))/(LN(2)/25)*Calculateur!AQ108*Calculateur!AS108*VLOOKUP('Données projet'!$B$10,Paramètres!$A$1:$I$89,3,0)*0.475*44/12</f>
        <v>1.5076179759301833</v>
      </c>
      <c r="AW108" s="21">
        <f>EXP(-LN(2)/2)*AW107+(1-EXP(-LN(2)/2))/(LN(2)/2)*AQ108*AT108*VLOOKUP('Données projet'!$B$10,Paramètres!$A$1:$I$89,3,0)*0.475*44/12</f>
        <v>1.1853684762930656E-10</v>
      </c>
      <c r="AX108" s="21">
        <f t="shared" si="60"/>
        <v>2.0906005916619779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68.885495235266575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1.7053025658242404E-13</v>
      </c>
      <c r="BE108" s="13">
        <f>BD108*VLOOKUP('Données projet'!$B$11,Paramètres!$A$1:$I$89,3,0)*VLOOKUP('Données projet'!$B$11,Paramètres!$A$1:$I$89,5,0)</f>
        <v>1.3301360013429075E-13</v>
      </c>
      <c r="BF108" s="13">
        <f t="shared" si="91"/>
        <v>1.9329766731057041E-12</v>
      </c>
      <c r="BG108" s="20">
        <f t="shared" si="61"/>
        <v>3.5982663925596575E-12</v>
      </c>
      <c r="BH108" s="59">
        <f t="shared" si="62"/>
        <v>289.24681586264768</v>
      </c>
      <c r="BI108" s="59">
        <f ca="1">AVERAGE(OFFSET($BH$3,0,0,'Données projet'!$E$11+1,1))-AVERAGE(OFFSET($H$3,0,0,'Données projet'!$E$11+1,1))</f>
        <v>383.03154033422328</v>
      </c>
      <c r="BJ108" s="59">
        <f t="shared" si="92"/>
        <v>373.27897156169877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0.32742399206389738</v>
      </c>
      <c r="BQ108" s="21">
        <f>EXP(-LN(2)/25)*BQ107+(1-EXP(-LN(2)/25))/(LN(2)/25)*Calculateur!BL108*Calculateur!BN108*VLOOKUP('Données projet'!$B$11,Paramètres!$A$1:$I$89,3,0)*0.475*44/12</f>
        <v>1.0463403163417486</v>
      </c>
      <c r="BR108" s="21">
        <f>EXP(-LN(2)/2)*BR107+(1-EXP(-LN(2)/2))/(LN(2)/2)*BL108*BO108*VLOOKUP('Données projet'!$B$11,Paramètres!$A$1:$I$89,3,0)*0.475*44/12</f>
        <v>6.7249637002060692E-11</v>
      </c>
      <c r="BS108" s="22">
        <f t="shared" si="63"/>
        <v>1.3737643084728954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68.885495235266575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5.2</v>
      </c>
      <c r="BY108" s="12">
        <f>IF('Données projet'!$A$114&gt;35,BY107+BX108-CG107,IF(A108&lt;'Données projet'!$A$114,$BV$205^A108,IF(A108='Données projet'!$A$114,'Données projet'!$B$114,BY107+BX108-CG107)))</f>
        <v>331.99999999999972</v>
      </c>
      <c r="BZ108" s="13">
        <f>BY108*VLOOKUP('Données projet'!$B$12,Paramètres!$A$1:$I$89,3,0)*VLOOKUP('Données projet'!$B$12,Paramètres!$A$1:$I$89,5,0)</f>
        <v>279.67679999999979</v>
      </c>
      <c r="CA108" s="13">
        <f t="shared" si="93"/>
        <v>66.898702839782985</v>
      </c>
      <c r="CB108" s="20">
        <f t="shared" si="64"/>
        <v>603.61900077928829</v>
      </c>
      <c r="CC108" s="59">
        <f t="shared" si="65"/>
        <v>892.86581664193238</v>
      </c>
      <c r="CD108" s="59">
        <f ca="1">AVERAGE(OFFSET($CC$3,0,0,'Données projet'!$E$12+1,1))-AVERAGE(OFFSET($H$3,0,0,'Données projet'!$E$12+1,1))</f>
        <v>449.94334483948603</v>
      </c>
      <c r="CE108" s="59">
        <f t="shared" si="94"/>
        <v>318.02929110264176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0.50775905230832097</v>
      </c>
      <c r="CL108" s="21">
        <f>EXP(-LN(2)/25)*CL107+(1-EXP(-LN(2)/25))/(LN(2)/25)*Calculateur!CG108*Calculateur!CI108*VLOOKUP('Données projet'!$B$12,Paramètres!$A$1:$I$89,3,0)*0.475*44/12</f>
        <v>1.3130866241972565</v>
      </c>
      <c r="CM108" s="21">
        <f>EXP(-LN(2)/2)*CM107+(1-EXP(-LN(2)/2))/(LN(2)/2)*CG108*CJ108*VLOOKUP('Données projet'!$B$12,Paramètres!$A$1:$I$89,3,0)*0.475*44/12</f>
        <v>1.0324177051584775E-10</v>
      </c>
      <c r="CN108" s="22">
        <f t="shared" si="66"/>
        <v>1.8208456766088195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68.885495235266575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6.5</v>
      </c>
      <c r="CT108" s="12">
        <f>IF('Données projet'!$A$140&gt;35,CT107+CS108-DB107,IF(A108&lt;'Données projet'!$A$140,$CQ$205^A108,IF(A108='Données projet'!$A$140,'Données projet'!$B$140,CT107+CS108-DB107)))</f>
        <v>408.50000000000011</v>
      </c>
      <c r="CU108" s="17">
        <f>CT108*VLOOKUP('Données projet'!$B$13,Paramètres!$A$1:$I$89,3,0)*VLOOKUP('Données projet'!$B$13,Paramètres!$A$1:$I$89,5,0)</f>
        <v>350.49300000000011</v>
      </c>
      <c r="CV108" s="13">
        <f t="shared" si="95"/>
        <v>81.664016740485465</v>
      </c>
      <c r="CW108" s="20">
        <f t="shared" si="67"/>
        <v>752.67347082301239</v>
      </c>
      <c r="CX108" s="59">
        <f t="shared" si="68"/>
        <v>1041.9202866856565</v>
      </c>
      <c r="CY108" s="59">
        <f ca="1">AVERAGE(OFFSET($CX$3,0,0,'Données projet'!$E$13+1,1))-AVERAGE(OFFSET($H$3,0,0,'Données projet'!$E$13+1,1))</f>
        <v>565.32667500225568</v>
      </c>
      <c r="CZ108" s="59">
        <f t="shared" si="96"/>
        <v>275.06957234480944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0</v>
      </c>
      <c r="DG108" s="21">
        <f>EXP(-LN(2)/25)*DG107+(1-EXP(-LN(2)/25))/(LN(2)/25)*Calculateur!DB108*Calculateur!DD108*VLOOKUP('Données projet'!$B$13,Paramètres!$A$1:$I$89,3,0)*0.475*44/12</f>
        <v>0.5476649857041086</v>
      </c>
      <c r="DH108" s="21">
        <f>EXP(-LN(2)/2)*DH107+(1-EXP(-LN(2)/2))/(LN(2)/2)*DB108*DE108*VLOOKUP('Données projet'!$B$13,Paramètres!$A$1:$I$89,3,0)*0.475*44/12</f>
        <v>3.6443895832910511E-11</v>
      </c>
      <c r="DI108" s="22">
        <f t="shared" si="69"/>
        <v>0.54766498574055245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68.885495235266575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-1.2505552149377763E-12</v>
      </c>
      <c r="DP108" s="17">
        <f>DO108*VLOOKUP('Données projet'!$B$14,Paramètres!$A$1:$I$89,3,0)*VLOOKUP('Données projet'!$B$14,Paramètres!$A$1:$I$89,5,0)</f>
        <v>-6.9906036515021697E-13</v>
      </c>
      <c r="DQ108" s="13" t="e">
        <f t="shared" si="97"/>
        <v>#NUM!</v>
      </c>
      <c r="DR108" s="20" t="e">
        <f t="shared" si="70"/>
        <v>#NUM!</v>
      </c>
      <c r="DS108" s="59" t="e">
        <f t="shared" si="71"/>
        <v>#NUM!</v>
      </c>
      <c r="DT108" s="59">
        <f ca="1">AVERAGE(OFFSET($DS$3,0,0,'Données projet'!$E$14+1,1))-AVERAGE(OFFSET($H$3,0,0,'Données projet'!$E$14+1,1))</f>
        <v>532.64469322244281</v>
      </c>
      <c r="DU108" s="59">
        <f t="shared" si="98"/>
        <v>525.88014011096413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2.5858099886071937</v>
      </c>
      <c r="EB108" s="21">
        <f>EXP(-LN(2)/25)*EB107+(1-EXP(-LN(2)/25))/(LN(2)/25)*Calculateur!DW108*Calculateur!DY108*VLOOKUP('Données projet'!$B$14,Paramètres!$A$1:$I$89,3,0)*0.475*44/12</f>
        <v>4.8449262631352203</v>
      </c>
      <c r="EC108" s="21">
        <f>EXP(-LN(2)/2)*EC107+(1-EXP(-LN(2)/2))/(LN(2)/2)*DW108*DZ108*VLOOKUP('Données projet'!$B$14,Paramètres!$A$1:$I$89,3,0)*0.475*44/12</f>
        <v>1.8764346677812594E-10</v>
      </c>
      <c r="ED108" s="22">
        <f t="shared" si="72"/>
        <v>7.4307362519300577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68.885495235266575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4.4000000000000004</v>
      </c>
      <c r="EJ108" s="12">
        <f>IF('Données projet'!$A$192&gt;35,EJ107+EI108-ER107,IF(A108&lt;'Données projet'!$A$192,$EG$205^A108,IF(A108='Données projet'!$A$192,'Données projet'!$B$192,EJ107+EI108-ER107)))</f>
        <v>283.00000000000011</v>
      </c>
      <c r="EK108" s="17">
        <f>EJ108*VLOOKUP('Données projet'!$B$15,Paramètres!$A$1:$I$89,3,0)*VLOOKUP('Données projet'!$B$15,Paramètres!$A$1:$I$89,5,0)</f>
        <v>256.05840000000006</v>
      </c>
      <c r="EL108" s="13">
        <f t="shared" si="99"/>
        <v>61.881442594256484</v>
      </c>
      <c r="EM108" s="20">
        <f t="shared" si="73"/>
        <v>553.74522585166358</v>
      </c>
      <c r="EN108" s="59">
        <f t="shared" si="74"/>
        <v>842.99204171430767</v>
      </c>
      <c r="EO108" s="59">
        <f ca="1">AVERAGE(OFFSET($EN$3,0,0,'Données projet'!$E$15+1,1))-AVERAGE(OFFSET($H$3,0,0,'Données projet'!$E$15+1,1))</f>
        <v>398.27843768730202</v>
      </c>
      <c r="EP108" s="59">
        <f t="shared" si="100"/>
        <v>252.3617347568813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0</v>
      </c>
      <c r="EW108" s="21">
        <f>EXP(-LN(2)/25)*EW107+(1-EXP(-LN(2)/25))/(LN(2)/25)*Calculateur!ER108*Calculateur!ET108*VLOOKUP('Données projet'!$B$15,Paramètres!$A$1:$I$89,3,0)*0.475*44/12</f>
        <v>0.38824227156123914</v>
      </c>
      <c r="EX108" s="21">
        <f>EXP(-LN(2)/2)*EX107+(1-EXP(-LN(2)/2))/(LN(2)/2)*ER108*EU108*VLOOKUP('Données projet'!$B$15,Paramètres!$A$1:$I$89,3,0)*0.475*44/12</f>
        <v>3.1843445605691153E-11</v>
      </c>
      <c r="EY108" s="22">
        <f t="shared" si="75"/>
        <v>0.38824227159308261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68.885495235266575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4.4000000000000004</v>
      </c>
      <c r="FE108" s="12">
        <f>IF('Données projet'!$A$218&gt;35,FE107+FD108-FM107,IF(A108&lt;'Données projet'!$A$218,$FB$205^A108,IF(A108='Données projet'!$A$218,'Données projet'!$B$218,FE107+FD108-FM107)))</f>
        <v>283.00000000000011</v>
      </c>
      <c r="FF108" s="17">
        <f>FE108*VLOOKUP('Données projet'!$B$16,Paramètres!$A$1:$I$89,3,0)*VLOOKUP('Données projet'!$B$16,Paramètres!$A$1:$I$89,5,0)</f>
        <v>273.71760000000012</v>
      </c>
      <c r="FG108" s="13">
        <f t="shared" si="101"/>
        <v>65.637608810456669</v>
      </c>
      <c r="FH108" s="20">
        <f t="shared" si="76"/>
        <v>591.04365534487897</v>
      </c>
      <c r="FI108" s="59">
        <f t="shared" si="77"/>
        <v>880.29047120752307</v>
      </c>
      <c r="FJ108" s="59">
        <f ca="1">AVERAGE(OFFSET($FI$3,0,0,'Données projet'!$E$16+1,1))-AVERAGE(OFFSET($H$3,0,0,'Données projet'!$E$16+1,1))</f>
        <v>422.28024471365825</v>
      </c>
      <c r="FK108" s="59">
        <f t="shared" si="102"/>
        <v>266.49730479813206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0</v>
      </c>
      <c r="FR108" s="21">
        <f>EXP(-LN(2)/25)*FR107+(1-EXP(-LN(2)/25))/(LN(2)/25)*Calculateur!FM108*Calculateur!FO108*VLOOKUP('Données projet'!$B$16,Paramètres!$A$1:$I$89,3,0)*0.475*44/12</f>
        <v>0.41501760063442783</v>
      </c>
      <c r="FS108" s="21">
        <f>EXP(-LN(2)/2)*FS107+(1-EXP(-LN(2)/2))/(LN(2)/2)*FM108*FP108*VLOOKUP('Données projet'!$B$16,Paramètres!$A$1:$I$89,3,0)*0.475*44/12</f>
        <v>3.4039545302635364E-11</v>
      </c>
      <c r="FT108" s="22">
        <f t="shared" si="78"/>
        <v>0.41501760066846738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68.885495235266575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3.4106051316484809E-13</v>
      </c>
      <c r="GA108" s="17">
        <f>FZ108*VLOOKUP('Données projet'!$B$17,Paramètres!$A$1:$I$89,3,0)*VLOOKUP('Données projet'!$B$17,Paramètres!$A$1:$I$89,5,0)</f>
        <v>2.6602720026858149E-13</v>
      </c>
      <c r="GB108" s="13">
        <f t="shared" si="103"/>
        <v>3.5662905043956649E-12</v>
      </c>
      <c r="GC108" s="20">
        <f t="shared" si="79"/>
        <v>6.6746200022902298E-12</v>
      </c>
      <c r="GD108" s="59">
        <f t="shared" si="80"/>
        <v>289.24681586265075</v>
      </c>
      <c r="GE108" s="59">
        <f ca="1">AVERAGE(OFFSET($GD$3,0,0,'Données projet'!$E$17+1,1))-AVERAGE(OFFSET($H$3,0,0,'Données projet'!$E$17+1,1))</f>
        <v>300.95722646933314</v>
      </c>
      <c r="GF108" s="59">
        <f t="shared" si="104"/>
        <v>269.52365224623759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>
        <f>EXP(-LN(2)/35)*GL107+(1-EXP(-LN(2)/35))/(LN(2)/35)*GH108*GI108*VLOOKUP('Données projet'!$B$17,Paramètres!$A$1:$I$89,3,0)*0.475*44/12</f>
        <v>0.20149168742393692</v>
      </c>
      <c r="GM108" s="21">
        <f>EXP(-LN(2)/25)*GM107+(1-EXP(-LN(2)/25))/(LN(2)/25)*Calculateur!GH108*Calculateur!GJ108*VLOOKUP('Données projet'!$B$17,Paramètres!$A$1:$I$89,3,0)*0.475*44/12</f>
        <v>0.77989396317269988</v>
      </c>
      <c r="GN108" s="21">
        <f>EXP(-LN(2)/2)*GN107+(1-EXP(-LN(2)/2))/(LN(2)/2)*GH108*GK108*VLOOKUP('Données projet'!$B$17,Paramètres!$A$1:$I$89,3,0)*0.475*44/12</f>
        <v>4.5578295613399574E-11</v>
      </c>
      <c r="GO108" s="21">
        <f t="shared" si="81"/>
        <v>0.98138565064221506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68.885495235266575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1.4000000000000001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5.1333333333333337</v>
      </c>
      <c r="H109" s="67">
        <f t="shared" si="56"/>
        <v>236.13333333333335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68.904829401275322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5.2</v>
      </c>
      <c r="N109" s="13">
        <f>IF('Données projet'!$A$36&gt;35,N108+M109-V108,IF(A109&lt;'Données projet'!$A$36,$K$205^A109,IF(A109='Données projet'!$A$36,'Données projet'!$B$36,N108+M109-V108)))</f>
        <v>337.1999999999997</v>
      </c>
      <c r="O109" s="13">
        <f>N109*VLOOKUP('Données projet'!$B$9,Paramètres!$A$1:$I$89,3,0)*VLOOKUP('Données projet'!$B$9,Paramètres!$A$1:$I$89,5,0)</f>
        <v>305.09855999999974</v>
      </c>
      <c r="P109" s="13">
        <f t="shared" si="87"/>
        <v>72.244266890878734</v>
      </c>
      <c r="Q109" s="20">
        <f t="shared" si="107"/>
        <v>657.20542350161338</v>
      </c>
      <c r="R109" s="59">
        <f t="shared" si="55"/>
        <v>946.52313130628954</v>
      </c>
      <c r="S109" s="59">
        <f ca="1">AVERAGE(OFFSET($R$3,0,0,'Données projet'!$E$9+1,1))-AVERAGE(OFFSET($H$3,0,0,'Données projet'!$E$9+1,1))</f>
        <v>479.46542424895119</v>
      </c>
      <c r="T109" s="59">
        <f t="shared" si="88"/>
        <v>337.96395820277337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0.53467644455018093</v>
      </c>
      <c r="AA109" s="21">
        <f>EXP(-LN(2)/25)*AA108+(1-EXP(-LN(2)/25))/(LN(2)/25)*Calculateur!V109*Calculateur!X109*VLOOKUP('Données projet'!$B$9,Paramètres!$A$1:$I$89,3,0)*0.475*44/12</f>
        <v>1.3717861422512732</v>
      </c>
      <c r="AB109" s="21">
        <f>EXP(-LN(2)/2)*AB108+(1-EXP(-LN(2)/2))/(LN(2)/2)*V109*Y109*VLOOKUP('Données projet'!$B$9,Paramètres!$A$1:$I$89,3,0)*0.475*44/12</f>
        <v>7.8410582406310578E-11</v>
      </c>
      <c r="AC109" s="22">
        <f t="shared" si="57"/>
        <v>1.9064625868798646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68.904829401275322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5.2</v>
      </c>
      <c r="AI109" s="13">
        <f>IF('Données projet'!$A$62&gt;35,AI108+AH109-AQ108,IF(A109&lt;'Données projet'!$A$62,$AF$205^A109,IF(A109='Données projet'!$A$62,'Données projet'!$B$62,AI108+AH109-AQ108)))</f>
        <v>337.1999999999997</v>
      </c>
      <c r="AJ109" s="13">
        <f>AI109*VLOOKUP('Données projet'!$B$10,Paramètres!$A$1:$I$89,3,0)*VLOOKUP('Données projet'!$B$10,Paramètres!$A$1:$I$89,5,0)</f>
        <v>326.13983999999971</v>
      </c>
      <c r="AK109" s="13">
        <f t="shared" si="89"/>
        <v>76.62945028727961</v>
      </c>
      <c r="AL109" s="20">
        <f t="shared" si="58"/>
        <v>701.48984725034472</v>
      </c>
      <c r="AM109" s="59">
        <f t="shared" si="59"/>
        <v>990.80755505502088</v>
      </c>
      <c r="AN109" s="59">
        <f ca="1">AVERAGE(OFFSET($AM$3,0,0,'Données projet'!$E$10+1,1))-AVERAGE(OFFSET($H$3,0,0,'Données projet'!$E$10+1,1))</f>
        <v>508.94560627895089</v>
      </c>
      <c r="AO109" s="59">
        <f t="shared" si="90"/>
        <v>357.86868650263034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0.57155068210536619</v>
      </c>
      <c r="AV109" s="21">
        <f>EXP(-LN(2)/25)*AV108+(1-EXP(-LN(2)/25))/(LN(2)/25)*Calculateur!AQ109*Calculateur!AS109*VLOOKUP('Données projet'!$B$10,Paramètres!$A$1:$I$89,3,0)*0.475*44/12</f>
        <v>1.4663920830961887</v>
      </c>
      <c r="AW109" s="21">
        <f>EXP(-LN(2)/2)*AW108+(1-EXP(-LN(2)/2))/(LN(2)/2)*AQ109*AT109*VLOOKUP('Données projet'!$B$10,Paramètres!$A$1:$I$89,3,0)*0.475*44/12</f>
        <v>8.3818208779159198E-11</v>
      </c>
      <c r="AX109" s="21">
        <f t="shared" si="60"/>
        <v>2.037942765285373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68.904829401275322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1.7053025658242404E-13</v>
      </c>
      <c r="BE109" s="13">
        <f>BD109*VLOOKUP('Données projet'!$B$11,Paramètres!$A$1:$I$89,3,0)*VLOOKUP('Données projet'!$B$11,Paramètres!$A$1:$I$89,5,0)</f>
        <v>1.3301360013429075E-13</v>
      </c>
      <c r="BF109" s="13">
        <f t="shared" si="91"/>
        <v>1.9329766731057041E-12</v>
      </c>
      <c r="BG109" s="20">
        <f t="shared" si="61"/>
        <v>3.5982663925596575E-12</v>
      </c>
      <c r="BH109" s="59">
        <f t="shared" si="62"/>
        <v>289.3177078046798</v>
      </c>
      <c r="BI109" s="59">
        <f ca="1">AVERAGE(OFFSET($BH$3,0,0,'Données projet'!$E$11+1,1))-AVERAGE(OFFSET($H$3,0,0,'Données projet'!$E$11+1,1))</f>
        <v>383.03154033422328</v>
      </c>
      <c r="BJ109" s="59">
        <f t="shared" si="92"/>
        <v>373.27897156169877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0.3210034072884399</v>
      </c>
      <c r="BQ109" s="21">
        <f>EXP(-LN(2)/25)*BQ108+(1-EXP(-LN(2)/25))/(LN(2)/25)*Calculateur!BL109*Calculateur!BN109*VLOOKUP('Données projet'!$B$11,Paramètres!$A$1:$I$89,3,0)*0.475*44/12</f>
        <v>1.0177280853667376</v>
      </c>
      <c r="BR109" s="21">
        <f>EXP(-LN(2)/2)*BR108+(1-EXP(-LN(2)/2))/(LN(2)/2)*BL109*BO109*VLOOKUP('Données projet'!$B$11,Paramètres!$A$1:$I$89,3,0)*0.475*44/12</f>
        <v>4.7552674356490881E-11</v>
      </c>
      <c r="BS109" s="22">
        <f t="shared" si="63"/>
        <v>1.3387314927027303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68.904829401275322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5.2</v>
      </c>
      <c r="BY109" s="12">
        <f>IF('Données projet'!$A$114&gt;35,BY108+BX109-CG108,IF(A109&lt;'Données projet'!$A$114,$BV$205^A109,IF(A109='Données projet'!$A$114,'Données projet'!$B$114,BY108+BX109-CG108)))</f>
        <v>337.1999999999997</v>
      </c>
      <c r="BZ109" s="13">
        <f>BY109*VLOOKUP('Données projet'!$B$12,Paramètres!$A$1:$I$89,3,0)*VLOOKUP('Données projet'!$B$12,Paramètres!$A$1:$I$89,5,0)</f>
        <v>284.05727999999976</v>
      </c>
      <c r="CA109" s="13">
        <f t="shared" si="93"/>
        <v>67.823709555728385</v>
      </c>
      <c r="CB109" s="20">
        <f t="shared" si="64"/>
        <v>612.85939014289318</v>
      </c>
      <c r="CC109" s="59">
        <f t="shared" si="65"/>
        <v>902.17709794756934</v>
      </c>
      <c r="CD109" s="59">
        <f ca="1">AVERAGE(OFFSET($CC$3,0,0,'Données projet'!$E$12+1,1))-AVERAGE(OFFSET($H$3,0,0,'Données projet'!$E$12+1,1))</f>
        <v>449.94334483948603</v>
      </c>
      <c r="CE109" s="59">
        <f t="shared" si="94"/>
        <v>318.02929110264176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0.49780220699499611</v>
      </c>
      <c r="CL109" s="21">
        <f>EXP(-LN(2)/25)*CL108+(1-EXP(-LN(2)/25))/(LN(2)/25)*Calculateur!CG109*Calculateur!CI109*VLOOKUP('Données projet'!$B$12,Paramètres!$A$1:$I$89,3,0)*0.475*44/12</f>
        <v>1.277180201406358</v>
      </c>
      <c r="CM109" s="21">
        <f>EXP(-LN(2)/2)*CM108+(1-EXP(-LN(2)/2))/(LN(2)/2)*CG109*CJ109*VLOOKUP('Données projet'!$B$12,Paramètres!$A$1:$I$89,3,0)*0.475*44/12</f>
        <v>7.3002956033461311E-11</v>
      </c>
      <c r="CN109" s="22">
        <f t="shared" si="66"/>
        <v>1.7749824084743571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68.904829401275322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6.5</v>
      </c>
      <c r="CT109" s="12">
        <f>IF('Données projet'!$A$140&gt;35,CT108+CS109-DB108,IF(A109&lt;'Données projet'!$A$140,$CQ$205^A109,IF(A109='Données projet'!$A$140,'Données projet'!$B$140,CT108+CS109-DB108)))</f>
        <v>415.00000000000011</v>
      </c>
      <c r="CU109" s="17">
        <f>CT109*VLOOKUP('Données projet'!$B$13,Paramètres!$A$1:$I$89,3,0)*VLOOKUP('Données projet'!$B$13,Paramètres!$A$1:$I$89,5,0)</f>
        <v>356.07000000000016</v>
      </c>
      <c r="CV109" s="13">
        <f t="shared" si="95"/>
        <v>82.811133778450127</v>
      </c>
      <c r="CW109" s="20">
        <f t="shared" si="67"/>
        <v>764.38464133080095</v>
      </c>
      <c r="CX109" s="59">
        <f t="shared" si="68"/>
        <v>1053.7023491354771</v>
      </c>
      <c r="CY109" s="59">
        <f ca="1">AVERAGE(OFFSET($CX$3,0,0,'Données projet'!$E$13+1,1))-AVERAGE(OFFSET($H$3,0,0,'Données projet'!$E$13+1,1))</f>
        <v>565.32667500225568</v>
      </c>
      <c r="CZ109" s="59">
        <f t="shared" si="96"/>
        <v>275.06957234480944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0</v>
      </c>
      <c r="DG109" s="21">
        <f>EXP(-LN(2)/25)*DG108+(1-EXP(-LN(2)/25))/(LN(2)/25)*Calculateur!DB109*Calculateur!DD109*VLOOKUP('Données projet'!$B$13,Paramètres!$A$1:$I$89,3,0)*0.475*44/12</f>
        <v>0.53268905786957987</v>
      </c>
      <c r="DH109" s="21">
        <f>EXP(-LN(2)/2)*DH108+(1-EXP(-LN(2)/2))/(LN(2)/2)*DB109*DE109*VLOOKUP('Données projet'!$B$13,Paramètres!$A$1:$I$89,3,0)*0.475*44/12</f>
        <v>2.5769725876307184E-11</v>
      </c>
      <c r="DI109" s="22">
        <f t="shared" si="69"/>
        <v>0.53268905789534959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68.904829401275322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-1.2505552149377763E-12</v>
      </c>
      <c r="DP109" s="17">
        <f>DO109*VLOOKUP('Données projet'!$B$14,Paramètres!$A$1:$I$89,3,0)*VLOOKUP('Données projet'!$B$14,Paramètres!$A$1:$I$89,5,0)</f>
        <v>-6.9906036515021697E-13</v>
      </c>
      <c r="DQ109" s="13" t="e">
        <f t="shared" si="97"/>
        <v>#NUM!</v>
      </c>
      <c r="DR109" s="20" t="e">
        <f t="shared" si="70"/>
        <v>#NUM!</v>
      </c>
      <c r="DS109" s="59" t="e">
        <f t="shared" si="71"/>
        <v>#NUM!</v>
      </c>
      <c r="DT109" s="59">
        <f ca="1">AVERAGE(OFFSET($DS$3,0,0,'Données projet'!$E$14+1,1))-AVERAGE(OFFSET($H$3,0,0,'Données projet'!$E$14+1,1))</f>
        <v>532.64469322244281</v>
      </c>
      <c r="DU109" s="59">
        <f t="shared" si="98"/>
        <v>525.88014011096413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2.5351038319189652</v>
      </c>
      <c r="EB109" s="21">
        <f>EXP(-LN(2)/25)*EB108+(1-EXP(-LN(2)/25))/(LN(2)/25)*Calculateur!DW109*Calculateur!DY109*VLOOKUP('Données projet'!$B$14,Paramètres!$A$1:$I$89,3,0)*0.475*44/12</f>
        <v>4.7124414996861885</v>
      </c>
      <c r="EC109" s="21">
        <f>EXP(-LN(2)/2)*EC108+(1-EXP(-LN(2)/2))/(LN(2)/2)*DW109*DZ109*VLOOKUP('Données projet'!$B$14,Paramètres!$A$1:$I$89,3,0)*0.475*44/12</f>
        <v>1.326839678041655E-10</v>
      </c>
      <c r="ED109" s="22">
        <f t="shared" si="72"/>
        <v>7.2475453317378378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68.904829401275322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4.4000000000000004</v>
      </c>
      <c r="EJ109" s="12">
        <f>IF('Données projet'!$A$192&gt;35,EJ108+EI109-ER108,IF(A109&lt;'Données projet'!$A$192,$EG$205^A109,IF(A109='Données projet'!$A$192,'Données projet'!$B$192,EJ108+EI109-ER108)))</f>
        <v>287.40000000000009</v>
      </c>
      <c r="EK109" s="17">
        <f>EJ109*VLOOKUP('Données projet'!$B$15,Paramètres!$A$1:$I$89,3,0)*VLOOKUP('Données projet'!$B$15,Paramètres!$A$1:$I$89,5,0)</f>
        <v>260.03952000000004</v>
      </c>
      <c r="EL109" s="13">
        <f t="shared" si="99"/>
        <v>62.730801948604871</v>
      </c>
      <c r="EM109" s="20">
        <f t="shared" si="73"/>
        <v>562.15831072715355</v>
      </c>
      <c r="EN109" s="59">
        <f t="shared" si="74"/>
        <v>851.47601853182982</v>
      </c>
      <c r="EO109" s="59">
        <f ca="1">AVERAGE(OFFSET($EN$3,0,0,'Données projet'!$E$15+1,1))-AVERAGE(OFFSET($H$3,0,0,'Données projet'!$E$15+1,1))</f>
        <v>398.27843768730202</v>
      </c>
      <c r="EP109" s="59">
        <f t="shared" si="100"/>
        <v>252.3617347568813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0</v>
      </c>
      <c r="EW109" s="21">
        <f>EXP(-LN(2)/25)*EW108+(1-EXP(-LN(2)/25))/(LN(2)/25)*Calculateur!ER109*Calculateur!ET109*VLOOKUP('Données projet'!$B$15,Paramètres!$A$1:$I$89,3,0)*0.475*44/12</f>
        <v>0.37762576622862332</v>
      </c>
      <c r="EX109" s="21">
        <f>EXP(-LN(2)/2)*EX108+(1-EXP(-LN(2)/2))/(LN(2)/2)*ER109*EU109*VLOOKUP('Données projet'!$B$15,Paramètres!$A$1:$I$89,3,0)*0.475*44/12</f>
        <v>2.2516716324129183E-11</v>
      </c>
      <c r="EY109" s="22">
        <f t="shared" si="75"/>
        <v>0.37762576625114003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68.904829401275322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4.4000000000000004</v>
      </c>
      <c r="FE109" s="12">
        <f>IF('Données projet'!$A$218&gt;35,FE108+FD109-FM108,IF(A109&lt;'Données projet'!$A$218,$FB$205^A109,IF(A109='Données projet'!$A$218,'Données projet'!$B$218,FE108+FD109-FM108)))</f>
        <v>287.40000000000009</v>
      </c>
      <c r="FF109" s="17">
        <f>FE109*VLOOKUP('Données projet'!$B$16,Paramètres!$A$1:$I$89,3,0)*VLOOKUP('Données projet'!$B$16,Paramètres!$A$1:$I$89,5,0)</f>
        <v>277.9732800000001</v>
      </c>
      <c r="FG109" s="13">
        <f t="shared" si="101"/>
        <v>66.538523764973192</v>
      </c>
      <c r="FH109" s="20">
        <f t="shared" si="76"/>
        <v>600.02472489066179</v>
      </c>
      <c r="FI109" s="59">
        <f t="shared" si="77"/>
        <v>889.34243269533795</v>
      </c>
      <c r="FJ109" s="59">
        <f ca="1">AVERAGE(OFFSET($FI$3,0,0,'Données projet'!$E$16+1,1))-AVERAGE(OFFSET($H$3,0,0,'Données projet'!$E$16+1,1))</f>
        <v>422.28024471365825</v>
      </c>
      <c r="FK109" s="59">
        <f t="shared" si="102"/>
        <v>266.49730479813206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0</v>
      </c>
      <c r="FR109" s="21">
        <f>EXP(-LN(2)/25)*FR108+(1-EXP(-LN(2)/25))/(LN(2)/25)*Calculateur!FM109*Calculateur!FO109*VLOOKUP('Données projet'!$B$16,Paramètres!$A$1:$I$89,3,0)*0.475*44/12</f>
        <v>0.40366892252025233</v>
      </c>
      <c r="FS109" s="21">
        <f>EXP(-LN(2)/2)*FS108+(1-EXP(-LN(2)/2))/(LN(2)/2)*FM109*FP109*VLOOKUP('Données projet'!$B$16,Paramètres!$A$1:$I$89,3,0)*0.475*44/12</f>
        <v>2.4069593312000156E-11</v>
      </c>
      <c r="FT109" s="22">
        <f t="shared" si="78"/>
        <v>0.40366892254432191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68.904829401275322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3.4106051316484809E-13</v>
      </c>
      <c r="GA109" s="17">
        <f>FZ109*VLOOKUP('Données projet'!$B$17,Paramètres!$A$1:$I$89,3,0)*VLOOKUP('Données projet'!$B$17,Paramètres!$A$1:$I$89,5,0)</f>
        <v>2.6602720026858149E-13</v>
      </c>
      <c r="GB109" s="13">
        <f t="shared" si="103"/>
        <v>3.5662905043956649E-12</v>
      </c>
      <c r="GC109" s="20">
        <f t="shared" si="79"/>
        <v>6.6746200022902298E-12</v>
      </c>
      <c r="GD109" s="59">
        <f t="shared" si="80"/>
        <v>289.31770780468287</v>
      </c>
      <c r="GE109" s="59">
        <f ca="1">AVERAGE(OFFSET($GD$3,0,0,'Données projet'!$E$17+1,1))-AVERAGE(OFFSET($H$3,0,0,'Données projet'!$E$17+1,1))</f>
        <v>300.95722646933314</v>
      </c>
      <c r="GF109" s="59">
        <f t="shared" si="104"/>
        <v>269.52365224623759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>
        <f>EXP(-LN(2)/35)*GL108+(1-EXP(-LN(2)/35))/(LN(2)/35)*GH109*GI109*VLOOKUP('Données projet'!$B$17,Paramètres!$A$1:$I$89,3,0)*0.475*44/12</f>
        <v>0.1975405583313477</v>
      </c>
      <c r="GM109" s="21">
        <f>EXP(-LN(2)/25)*GM108+(1-EXP(-LN(2)/25))/(LN(2)/25)*Calculateur!GH109*Calculateur!GJ109*VLOOKUP('Données projet'!$B$17,Paramètres!$A$1:$I$89,3,0)*0.475*44/12</f>
        <v>0.75856772173690135</v>
      </c>
      <c r="GN109" s="21">
        <f>EXP(-LN(2)/2)*GN108+(1-EXP(-LN(2)/2))/(LN(2)/2)*GH109*GK109*VLOOKUP('Données projet'!$B$17,Paramètres!$A$1:$I$89,3,0)*0.475*44/12</f>
        <v>3.2228721903159911E-11</v>
      </c>
      <c r="GO109" s="21">
        <f t="shared" si="81"/>
        <v>0.95610828010047777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68.904829401275322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1.4000000000000001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5.1333333333333337</v>
      </c>
      <c r="H110" s="67">
        <f t="shared" si="56"/>
        <v>236.13333333333335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68.92382816272854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5.2</v>
      </c>
      <c r="N110" s="13">
        <f>IF('Données projet'!$A$36&gt;35,N109+M110-V109,IF(A110&lt;'Données projet'!$A$36,$K$205^A110,IF(A110='Données projet'!$A$36,'Données projet'!$B$36,N109+M110-V109)))</f>
        <v>342.39999999999969</v>
      </c>
      <c r="O110" s="13">
        <f>N110*VLOOKUP('Données projet'!$B$9,Paramètres!$A$1:$I$89,3,0)*VLOOKUP('Données projet'!$B$9,Paramètres!$A$1:$I$89,5,0)</f>
        <v>309.80351999999971</v>
      </c>
      <c r="P110" s="13">
        <f t="shared" si="87"/>
        <v>73.227795813703693</v>
      </c>
      <c r="Q110" s="20">
        <f t="shared" si="107"/>
        <v>667.11287504220002</v>
      </c>
      <c r="R110" s="59">
        <f t="shared" si="55"/>
        <v>956.50024497220465</v>
      </c>
      <c r="S110" s="59">
        <f ca="1">AVERAGE(OFFSET($R$3,0,0,'Données projet'!$E$9+1,1))-AVERAGE(OFFSET($H$3,0,0,'Données projet'!$E$9+1,1))</f>
        <v>479.46542424895119</v>
      </c>
      <c r="T110" s="59">
        <f t="shared" si="88"/>
        <v>337.96395820277337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0.52419176559298131</v>
      </c>
      <c r="AA110" s="21">
        <f>EXP(-LN(2)/25)*AA109+(1-EXP(-LN(2)/25))/(LN(2)/25)*Calculateur!V110*Calculateur!X110*VLOOKUP('Données projet'!$B$9,Paramètres!$A$1:$I$89,3,0)*0.475*44/12</f>
        <v>1.3342745780523142</v>
      </c>
      <c r="AB110" s="21">
        <f>EXP(-LN(2)/2)*AB109+(1-EXP(-LN(2)/2))/(LN(2)/2)*V110*Y110*VLOOKUP('Données projet'!$B$9,Paramètres!$A$1:$I$89,3,0)*0.475*44/12</f>
        <v>5.5444654536288807E-11</v>
      </c>
      <c r="AC110" s="22">
        <f t="shared" si="57"/>
        <v>1.8584663437007403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68.92382816272854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5.2</v>
      </c>
      <c r="AI110" s="13">
        <f>IF('Données projet'!$A$62&gt;35,AI109+AH110-AQ109,IF(A110&lt;'Données projet'!$A$62,$AF$205^A110,IF(A110='Données projet'!$A$62,'Données projet'!$B$62,AI109+AH110-AQ109)))</f>
        <v>342.39999999999969</v>
      </c>
      <c r="AJ110" s="13">
        <f>AI110*VLOOKUP('Données projet'!$B$10,Paramètres!$A$1:$I$89,3,0)*VLOOKUP('Données projet'!$B$10,Paramètres!$A$1:$I$89,5,0)</f>
        <v>331.16927999999973</v>
      </c>
      <c r="AK110" s="13">
        <f t="shared" si="89"/>
        <v>77.672678822099698</v>
      </c>
      <c r="AL110" s="20">
        <f t="shared" si="58"/>
        <v>712.06641161515643</v>
      </c>
      <c r="AM110" s="59">
        <f t="shared" si="59"/>
        <v>1001.4537815451611</v>
      </c>
      <c r="AN110" s="59">
        <f ca="1">AVERAGE(OFFSET($AM$3,0,0,'Données projet'!$E$10+1,1))-AVERAGE(OFFSET($H$3,0,0,'Données projet'!$E$10+1,1))</f>
        <v>508.94560627895089</v>
      </c>
      <c r="AO110" s="59">
        <f t="shared" si="90"/>
        <v>357.86868650263034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0.5603429218407735</v>
      </c>
      <c r="AV110" s="21">
        <f>EXP(-LN(2)/25)*AV109+(1-EXP(-LN(2)/25))/(LN(2)/25)*Calculateur!AQ110*Calculateur!AS110*VLOOKUP('Données projet'!$B$10,Paramètres!$A$1:$I$89,3,0)*0.475*44/12</f>
        <v>1.4262935144697153</v>
      </c>
      <c r="AW110" s="21">
        <f>EXP(-LN(2)/2)*AW109+(1-EXP(-LN(2)/2))/(LN(2)/2)*AQ110*AT110*VLOOKUP('Données projet'!$B$10,Paramètres!$A$1:$I$89,3,0)*0.475*44/12</f>
        <v>5.9268423814653279E-11</v>
      </c>
      <c r="AX110" s="21">
        <f t="shared" si="60"/>
        <v>1.9866364363697573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68.92382816272854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1.7053025658242404E-13</v>
      </c>
      <c r="BE110" s="13">
        <f>BD110*VLOOKUP('Données projet'!$B$11,Paramètres!$A$1:$I$89,3,0)*VLOOKUP('Données projet'!$B$11,Paramètres!$A$1:$I$89,5,0)</f>
        <v>1.3301360013429075E-13</v>
      </c>
      <c r="BF110" s="13">
        <f t="shared" si="91"/>
        <v>1.9329766731057041E-12</v>
      </c>
      <c r="BG110" s="20">
        <f t="shared" si="61"/>
        <v>3.5982663925596575E-12</v>
      </c>
      <c r="BH110" s="59">
        <f t="shared" si="62"/>
        <v>289.38736993000822</v>
      </c>
      <c r="BI110" s="59">
        <f ca="1">AVERAGE(OFFSET($BH$3,0,0,'Données projet'!$E$11+1,1))-AVERAGE(OFFSET($H$3,0,0,'Données projet'!$E$11+1,1))</f>
        <v>383.03154033422328</v>
      </c>
      <c r="BJ110" s="59">
        <f t="shared" si="92"/>
        <v>373.27897156169877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0.31470872626425911</v>
      </c>
      <c r="BQ110" s="21">
        <f>EXP(-LN(2)/25)*BQ109+(1-EXP(-LN(2)/25))/(LN(2)/25)*Calculateur!BL110*Calculateur!BN110*VLOOKUP('Données projet'!$B$11,Paramètres!$A$1:$I$89,3,0)*0.475*44/12</f>
        <v>0.98989825735239023</v>
      </c>
      <c r="BR110" s="21">
        <f>EXP(-LN(2)/2)*BR109+(1-EXP(-LN(2)/2))/(LN(2)/2)*BL110*BO110*VLOOKUP('Données projet'!$B$11,Paramètres!$A$1:$I$89,3,0)*0.475*44/12</f>
        <v>3.3624818501030346E-11</v>
      </c>
      <c r="BS110" s="22">
        <f t="shared" si="63"/>
        <v>1.3046069836502743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68.92382816272854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5.2</v>
      </c>
      <c r="BY110" s="12">
        <f>IF('Données projet'!$A$114&gt;35,BY109+BX110-CG109,IF(A110&lt;'Données projet'!$A$114,$BV$205^A110,IF(A110='Données projet'!$A$114,'Données projet'!$B$114,BY109+BX110-CG109)))</f>
        <v>342.39999999999969</v>
      </c>
      <c r="BZ110" s="13">
        <f>BY110*VLOOKUP('Données projet'!$B$12,Paramètres!$A$1:$I$89,3,0)*VLOOKUP('Données projet'!$B$12,Paramètres!$A$1:$I$89,5,0)</f>
        <v>288.43775999999974</v>
      </c>
      <c r="CA110" s="13">
        <f t="shared" si="93"/>
        <v>68.747057287972595</v>
      </c>
      <c r="CB110" s="20">
        <f t="shared" si="64"/>
        <v>622.09689010988507</v>
      </c>
      <c r="CC110" s="59">
        <f t="shared" si="65"/>
        <v>911.4842600398897</v>
      </c>
      <c r="CD110" s="59">
        <f ca="1">AVERAGE(OFFSET($CC$3,0,0,'Données projet'!$E$12+1,1))-AVERAGE(OFFSET($H$3,0,0,'Données projet'!$E$12+1,1))</f>
        <v>449.94334483948603</v>
      </c>
      <c r="CE110" s="59">
        <f t="shared" si="94"/>
        <v>318.02929110264176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0.48804060934518961</v>
      </c>
      <c r="CL110" s="21">
        <f>EXP(-LN(2)/25)*CL109+(1-EXP(-LN(2)/25))/(LN(2)/25)*Calculateur!CG110*Calculateur!CI110*VLOOKUP('Données projet'!$B$12,Paramètres!$A$1:$I$89,3,0)*0.475*44/12</f>
        <v>1.2422556416349133</v>
      </c>
      <c r="CM110" s="21">
        <f>EXP(-LN(2)/2)*CM109+(1-EXP(-LN(2)/2))/(LN(2)/2)*CG110*CJ110*VLOOKUP('Données projet'!$B$12,Paramètres!$A$1:$I$89,3,0)*0.475*44/12</f>
        <v>5.1620885257923877E-11</v>
      </c>
      <c r="CN110" s="22">
        <f t="shared" si="66"/>
        <v>1.7302962510317239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68.92382816272854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6.5</v>
      </c>
      <c r="CT110" s="12">
        <f>IF('Données projet'!$A$140&gt;35,CT109+CS110-DB109,IF(A110&lt;'Données projet'!$A$140,$CQ$205^A110,IF(A110='Données projet'!$A$140,'Données projet'!$B$140,CT109+CS110-DB109)))</f>
        <v>421.50000000000011</v>
      </c>
      <c r="CU110" s="17">
        <f>CT110*VLOOKUP('Données projet'!$B$13,Paramètres!$A$1:$I$89,3,0)*VLOOKUP('Données projet'!$B$13,Paramètres!$A$1:$I$89,5,0)</f>
        <v>361.64700000000011</v>
      </c>
      <c r="CV110" s="13">
        <f t="shared" si="95"/>
        <v>83.956161284941132</v>
      </c>
      <c r="CW110" s="20">
        <f t="shared" si="67"/>
        <v>776.0921725712725</v>
      </c>
      <c r="CX110" s="59">
        <f t="shared" si="68"/>
        <v>1065.4795425012771</v>
      </c>
      <c r="CY110" s="59">
        <f ca="1">AVERAGE(OFFSET($CX$3,0,0,'Données projet'!$E$13+1,1))-AVERAGE(OFFSET($H$3,0,0,'Données projet'!$E$13+1,1))</f>
        <v>565.32667500225568</v>
      </c>
      <c r="CZ110" s="59">
        <f t="shared" si="96"/>
        <v>275.06957234480944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0</v>
      </c>
      <c r="DG110" s="21">
        <f>EXP(-LN(2)/25)*DG109+(1-EXP(-LN(2)/25))/(LN(2)/25)*Calculateur!DB110*Calculateur!DD110*VLOOKUP('Données projet'!$B$13,Paramètres!$A$1:$I$89,3,0)*0.475*44/12</f>
        <v>0.51812264756923609</v>
      </c>
      <c r="DH110" s="21">
        <f>EXP(-LN(2)/2)*DH109+(1-EXP(-LN(2)/2))/(LN(2)/2)*DB110*DE110*VLOOKUP('Données projet'!$B$13,Paramètres!$A$1:$I$89,3,0)*0.475*44/12</f>
        <v>1.8221947916455255E-11</v>
      </c>
      <c r="DI110" s="22">
        <f t="shared" si="69"/>
        <v>0.51812264758745807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68.92382816272854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-1.2505552149377763E-12</v>
      </c>
      <c r="DP110" s="17">
        <f>DO110*VLOOKUP('Données projet'!$B$14,Paramètres!$A$1:$I$89,3,0)*VLOOKUP('Données projet'!$B$14,Paramètres!$A$1:$I$89,5,0)</f>
        <v>-6.9906036515021697E-13</v>
      </c>
      <c r="DQ110" s="13" t="e">
        <f t="shared" si="97"/>
        <v>#NUM!</v>
      </c>
      <c r="DR110" s="20" t="e">
        <f t="shared" si="70"/>
        <v>#NUM!</v>
      </c>
      <c r="DS110" s="59" t="e">
        <f t="shared" si="71"/>
        <v>#NUM!</v>
      </c>
      <c r="DT110" s="59">
        <f ca="1">AVERAGE(OFFSET($DS$3,0,0,'Données projet'!$E$14+1,1))-AVERAGE(OFFSET($H$3,0,0,'Données projet'!$E$14+1,1))</f>
        <v>532.64469322244281</v>
      </c>
      <c r="DU110" s="59">
        <f t="shared" si="98"/>
        <v>525.88014011096413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2.4853919920356913</v>
      </c>
      <c r="EB110" s="21">
        <f>EXP(-LN(2)/25)*EB109+(1-EXP(-LN(2)/25))/(LN(2)/25)*Calculateur!DW110*Calculateur!DY110*VLOOKUP('Données projet'!$B$14,Paramètres!$A$1:$I$89,3,0)*0.475*44/12</f>
        <v>4.5835795390607412</v>
      </c>
      <c r="EC110" s="21">
        <f>EXP(-LN(2)/2)*EC109+(1-EXP(-LN(2)/2))/(LN(2)/2)*DW110*DZ110*VLOOKUP('Données projet'!$B$14,Paramètres!$A$1:$I$89,3,0)*0.475*44/12</f>
        <v>9.3821733389062971E-11</v>
      </c>
      <c r="ED110" s="22">
        <f t="shared" si="72"/>
        <v>7.0689715311902539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68.92382816272854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4.4000000000000004</v>
      </c>
      <c r="EJ110" s="12">
        <f>IF('Données projet'!$A$192&gt;35,EJ109+EI110-ER109,IF(A110&lt;'Données projet'!$A$192,$EG$205^A110,IF(A110='Données projet'!$A$192,'Données projet'!$B$192,EJ109+EI110-ER109)))</f>
        <v>291.80000000000007</v>
      </c>
      <c r="EK110" s="17">
        <f>EJ110*VLOOKUP('Données projet'!$B$15,Paramètres!$A$1:$I$89,3,0)*VLOOKUP('Données projet'!$B$15,Paramètres!$A$1:$I$89,5,0)</f>
        <v>264.02064000000007</v>
      </c>
      <c r="EL110" s="13">
        <f t="shared" si="99"/>
        <v>63.578648990959174</v>
      </c>
      <c r="EM110" s="20">
        <f t="shared" si="73"/>
        <v>570.56876165925394</v>
      </c>
      <c r="EN110" s="59">
        <f t="shared" si="74"/>
        <v>859.95613158925858</v>
      </c>
      <c r="EO110" s="59">
        <f ca="1">AVERAGE(OFFSET($EN$3,0,0,'Données projet'!$E$15+1,1))-AVERAGE(OFFSET($H$3,0,0,'Données projet'!$E$15+1,1))</f>
        <v>398.27843768730202</v>
      </c>
      <c r="EP110" s="59">
        <f t="shared" si="100"/>
        <v>252.3617347568813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0</v>
      </c>
      <c r="EW110" s="21">
        <f>EXP(-LN(2)/25)*EW109+(1-EXP(-LN(2)/25))/(LN(2)/25)*Calculateur!ER110*Calculateur!ET110*VLOOKUP('Données projet'!$B$15,Paramètres!$A$1:$I$89,3,0)*0.475*44/12</f>
        <v>0.36729956979262562</v>
      </c>
      <c r="EX110" s="21">
        <f>EXP(-LN(2)/2)*EX109+(1-EXP(-LN(2)/2))/(LN(2)/2)*ER110*EU110*VLOOKUP('Données projet'!$B$15,Paramètres!$A$1:$I$89,3,0)*0.475*44/12</f>
        <v>1.5921722802845577E-11</v>
      </c>
      <c r="EY110" s="22">
        <f t="shared" si="75"/>
        <v>0.36729956980854733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68.92382816272854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4.4000000000000004</v>
      </c>
      <c r="FE110" s="12">
        <f>IF('Données projet'!$A$218&gt;35,FE109+FD110-FM109,IF(A110&lt;'Données projet'!$A$218,$FB$205^A110,IF(A110='Données projet'!$A$218,'Données projet'!$B$218,FE109+FD110-FM109)))</f>
        <v>291.80000000000007</v>
      </c>
      <c r="FF110" s="17">
        <f>FE110*VLOOKUP('Données projet'!$B$16,Paramètres!$A$1:$I$89,3,0)*VLOOKUP('Données projet'!$B$16,Paramètres!$A$1:$I$89,5,0)</f>
        <v>282.22896000000009</v>
      </c>
      <c r="FG110" s="13">
        <f t="shared" si="101"/>
        <v>67.437834611070414</v>
      </c>
      <c r="FH110" s="20">
        <f t="shared" si="76"/>
        <v>609.00300061428106</v>
      </c>
      <c r="FI110" s="59">
        <f t="shared" si="77"/>
        <v>898.3903705442857</v>
      </c>
      <c r="FJ110" s="59">
        <f ca="1">AVERAGE(OFFSET($FI$3,0,0,'Données projet'!$E$16+1,1))-AVERAGE(OFFSET($H$3,0,0,'Données projet'!$E$16+1,1))</f>
        <v>422.28024471365825</v>
      </c>
      <c r="FK110" s="59">
        <f t="shared" si="102"/>
        <v>266.49730479813206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0</v>
      </c>
      <c r="FR110" s="21">
        <f>EXP(-LN(2)/25)*FR109+(1-EXP(-LN(2)/25))/(LN(2)/25)*Calculateur!FM110*Calculateur!FO110*VLOOKUP('Données projet'!$B$16,Paramètres!$A$1:$I$89,3,0)*0.475*44/12</f>
        <v>0.39263057460591</v>
      </c>
      <c r="FS110" s="21">
        <f>EXP(-LN(2)/2)*FS109+(1-EXP(-LN(2)/2))/(LN(2)/2)*FM110*FP110*VLOOKUP('Données projet'!$B$16,Paramètres!$A$1:$I$89,3,0)*0.475*44/12</f>
        <v>1.7019772651317682E-11</v>
      </c>
      <c r="FT110" s="22">
        <f t="shared" si="78"/>
        <v>0.39263057462292977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68.92382816272854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3.4106051316484809E-13</v>
      </c>
      <c r="GA110" s="17">
        <f>FZ110*VLOOKUP('Données projet'!$B$17,Paramètres!$A$1:$I$89,3,0)*VLOOKUP('Données projet'!$B$17,Paramètres!$A$1:$I$89,5,0)</f>
        <v>2.6602720026858149E-13</v>
      </c>
      <c r="GB110" s="13">
        <f t="shared" si="103"/>
        <v>3.5662905043956649E-12</v>
      </c>
      <c r="GC110" s="20">
        <f t="shared" si="79"/>
        <v>6.6746200022902298E-12</v>
      </c>
      <c r="GD110" s="59">
        <f t="shared" si="80"/>
        <v>289.38736993001129</v>
      </c>
      <c r="GE110" s="59">
        <f ca="1">AVERAGE(OFFSET($GD$3,0,0,'Données projet'!$E$17+1,1))-AVERAGE(OFFSET($H$3,0,0,'Données projet'!$E$17+1,1))</f>
        <v>300.95722646933314</v>
      </c>
      <c r="GF110" s="59">
        <f t="shared" si="104"/>
        <v>269.52365224623759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>
        <f>EXP(-LN(2)/35)*GL109+(1-EXP(-LN(2)/35))/(LN(2)/35)*GH110*GI110*VLOOKUP('Données projet'!$B$17,Paramètres!$A$1:$I$89,3,0)*0.475*44/12</f>
        <v>0.19366690847031337</v>
      </c>
      <c r="GM110" s="21">
        <f>EXP(-LN(2)/25)*GM109+(1-EXP(-LN(2)/25))/(LN(2)/25)*Calculateur!GH110*Calculateur!GJ110*VLOOKUP('Données projet'!$B$17,Paramètres!$A$1:$I$89,3,0)*0.475*44/12</f>
        <v>0.73782464749466303</v>
      </c>
      <c r="GN110" s="21">
        <f>EXP(-LN(2)/2)*GN109+(1-EXP(-LN(2)/2))/(LN(2)/2)*GH110*GK110*VLOOKUP('Données projet'!$B$17,Paramètres!$A$1:$I$89,3,0)*0.475*44/12</f>
        <v>2.2789147806699787E-11</v>
      </c>
      <c r="GO110" s="21">
        <f t="shared" si="81"/>
        <v>0.93149155598776545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68.92382816272854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1.4000000000000001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5.1333333333333337</v>
      </c>
      <c r="H111" s="67">
        <f t="shared" si="56"/>
        <v>236.13333333333335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68.942497338145415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5.2</v>
      </c>
      <c r="N111" s="13">
        <f>IF('Données projet'!$A$36&gt;35,N110+M111-V110,IF(A111&lt;'Données projet'!$A$36,$K$205^A111,IF(A111='Données projet'!$A$36,'Données projet'!$B$36,N110+M111-V110)))</f>
        <v>347.59999999999968</v>
      </c>
      <c r="O111" s="13">
        <f>N111*VLOOKUP('Données projet'!$B$9,Paramètres!$A$1:$I$89,3,0)*VLOOKUP('Données projet'!$B$9,Paramètres!$A$1:$I$89,5,0)</f>
        <v>314.50847999999968</v>
      </c>
      <c r="P111" s="13">
        <f t="shared" si="87"/>
        <v>74.209587561617383</v>
      </c>
      <c r="Q111" s="20">
        <f t="shared" si="107"/>
        <v>677.01730100314978</v>
      </c>
      <c r="R111" s="59">
        <f t="shared" si="55"/>
        <v>966.47312457634962</v>
      </c>
      <c r="S111" s="59">
        <f ca="1">AVERAGE(OFFSET($R$3,0,0,'Données projet'!$E$9+1,1))-AVERAGE(OFFSET($H$3,0,0,'Données projet'!$E$9+1,1))</f>
        <v>479.46542424895119</v>
      </c>
      <c r="T111" s="59">
        <f t="shared" si="88"/>
        <v>337.96395820277337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0.51391268479510965</v>
      </c>
      <c r="AA111" s="21">
        <f>EXP(-LN(2)/25)*AA110+(1-EXP(-LN(2)/25))/(LN(2)/25)*Calculateur!V111*Calculateur!X111*VLOOKUP('Données projet'!$B$9,Paramètres!$A$1:$I$89,3,0)*0.475*44/12</f>
        <v>1.2977887695490231</v>
      </c>
      <c r="AB111" s="21">
        <f>EXP(-LN(2)/2)*AB110+(1-EXP(-LN(2)/2))/(LN(2)/2)*V111*Y111*VLOOKUP('Données projet'!$B$9,Paramètres!$A$1:$I$89,3,0)*0.475*44/12</f>
        <v>3.9205291203155289E-11</v>
      </c>
      <c r="AC111" s="22">
        <f t="shared" si="57"/>
        <v>1.8117014543833381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68.942497338145415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5.2</v>
      </c>
      <c r="AI111" s="13">
        <f>IF('Données projet'!$A$62&gt;35,AI110+AH111-AQ110,IF(A111&lt;'Données projet'!$A$62,$AF$205^A111,IF(A111='Données projet'!$A$62,'Données projet'!$B$62,AI110+AH111-AQ110)))</f>
        <v>347.59999999999968</v>
      </c>
      <c r="AJ111" s="13">
        <f>AI111*VLOOKUP('Données projet'!$B$10,Paramètres!$A$1:$I$89,3,0)*VLOOKUP('Données projet'!$B$10,Paramètres!$A$1:$I$89,5,0)</f>
        <v>336.1987199999997</v>
      </c>
      <c r="AK111" s="13">
        <f t="shared" si="89"/>
        <v>78.71406473653974</v>
      </c>
      <c r="AL111" s="20">
        <f t="shared" si="58"/>
        <v>722.63976674947287</v>
      </c>
      <c r="AM111" s="59">
        <f t="shared" si="59"/>
        <v>1012.0955903226727</v>
      </c>
      <c r="AN111" s="59">
        <f ca="1">AVERAGE(OFFSET($AM$3,0,0,'Données projet'!$E$10+1,1))-AVERAGE(OFFSET($H$3,0,0,'Données projet'!$E$10+1,1))</f>
        <v>508.94560627895089</v>
      </c>
      <c r="AO111" s="59">
        <f t="shared" si="90"/>
        <v>357.86868650263034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0.54935493891891074</v>
      </c>
      <c r="AV111" s="21">
        <f>EXP(-LN(2)/25)*AV110+(1-EXP(-LN(2)/25))/(LN(2)/25)*Calculateur!AQ111*Calculateur!AS111*VLOOKUP('Données projet'!$B$10,Paramètres!$A$1:$I$89,3,0)*0.475*44/12</f>
        <v>1.3872914433110248</v>
      </c>
      <c r="AW111" s="21">
        <f>EXP(-LN(2)/2)*AW110+(1-EXP(-LN(2)/2))/(LN(2)/2)*AQ111*AT111*VLOOKUP('Données projet'!$B$10,Paramètres!$A$1:$I$89,3,0)*0.475*44/12</f>
        <v>4.1909104389579599E-11</v>
      </c>
      <c r="AX111" s="21">
        <f t="shared" si="60"/>
        <v>1.9366463822718447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68.942497338145415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1.7053025658242404E-13</v>
      </c>
      <c r="BE111" s="13">
        <f>BD111*VLOOKUP('Données projet'!$B$11,Paramètres!$A$1:$I$89,3,0)*VLOOKUP('Données projet'!$B$11,Paramètres!$A$1:$I$89,5,0)</f>
        <v>1.3301360013429075E-13</v>
      </c>
      <c r="BF111" s="13">
        <f t="shared" si="91"/>
        <v>1.9329766731057041E-12</v>
      </c>
      <c r="BG111" s="20">
        <f t="shared" si="61"/>
        <v>3.5982663925596575E-12</v>
      </c>
      <c r="BH111" s="59">
        <f t="shared" si="62"/>
        <v>289.45582357320347</v>
      </c>
      <c r="BI111" s="59">
        <f ca="1">AVERAGE(OFFSET($BH$3,0,0,'Données projet'!$E$11+1,1))-AVERAGE(OFFSET($H$3,0,0,'Données projet'!$E$11+1,1))</f>
        <v>383.03154033422328</v>
      </c>
      <c r="BJ111" s="59">
        <f t="shared" si="92"/>
        <v>373.27897156169877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0.30853748009558618</v>
      </c>
      <c r="BQ111" s="21">
        <f>EXP(-LN(2)/25)*BQ110+(1-EXP(-LN(2)/25))/(LN(2)/25)*Calculateur!BL111*Calculateur!BN111*VLOOKUP('Données projet'!$B$11,Paramètres!$A$1:$I$89,3,0)*0.475*44/12</f>
        <v>0.96282943744860217</v>
      </c>
      <c r="BR111" s="21">
        <f>EXP(-LN(2)/2)*BR110+(1-EXP(-LN(2)/2))/(LN(2)/2)*BL111*BO111*VLOOKUP('Données projet'!$B$11,Paramètres!$A$1:$I$89,3,0)*0.475*44/12</f>
        <v>2.377633717824544E-11</v>
      </c>
      <c r="BS111" s="22">
        <f t="shared" si="63"/>
        <v>1.2713669175679647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68.942497338145415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5.2</v>
      </c>
      <c r="BY111" s="12">
        <f>IF('Données projet'!$A$114&gt;35,BY110+BX111-CG110,IF(A111&lt;'Données projet'!$A$114,$BV$205^A111,IF(A111='Données projet'!$A$114,'Données projet'!$B$114,BY110+BX111-CG110)))</f>
        <v>347.59999999999968</v>
      </c>
      <c r="BZ111" s="13">
        <f>BY111*VLOOKUP('Données projet'!$B$12,Paramètres!$A$1:$I$89,3,0)*VLOOKUP('Données projet'!$B$12,Paramètres!$A$1:$I$89,5,0)</f>
        <v>292.81823999999978</v>
      </c>
      <c r="CA111" s="13">
        <f t="shared" si="93"/>
        <v>69.668774141370633</v>
      </c>
      <c r="CB111" s="20">
        <f t="shared" si="64"/>
        <v>631.33154962955348</v>
      </c>
      <c r="CC111" s="59">
        <f t="shared" si="65"/>
        <v>920.78737320275332</v>
      </c>
      <c r="CD111" s="59">
        <f ca="1">AVERAGE(OFFSET($CC$3,0,0,'Données projet'!$E$12+1,1))-AVERAGE(OFFSET($H$3,0,0,'Données projet'!$E$12+1,1))</f>
        <v>449.94334483948603</v>
      </c>
      <c r="CE111" s="59">
        <f t="shared" si="94"/>
        <v>318.02929110264176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0.47847043067130912</v>
      </c>
      <c r="CL111" s="21">
        <f>EXP(-LN(2)/25)*CL110+(1-EXP(-LN(2)/25))/(LN(2)/25)*Calculateur!CG111*Calculateur!CI111*VLOOKUP('Données projet'!$B$12,Paramètres!$A$1:$I$89,3,0)*0.475*44/12</f>
        <v>1.2082860957870216</v>
      </c>
      <c r="CM111" s="21">
        <f>EXP(-LN(2)/2)*CM110+(1-EXP(-LN(2)/2))/(LN(2)/2)*CG111*CJ111*VLOOKUP('Données projet'!$B$12,Paramètres!$A$1:$I$89,3,0)*0.475*44/12</f>
        <v>3.6501478016730655E-11</v>
      </c>
      <c r="CN111" s="22">
        <f t="shared" si="66"/>
        <v>1.6867565264948321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68.942497338145415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6.5</v>
      </c>
      <c r="CT111" s="12">
        <f>IF('Données projet'!$A$140&gt;35,CT110+CS111-DB110,IF(A111&lt;'Données projet'!$A$140,$CQ$205^A111,IF(A111='Données projet'!$A$140,'Données projet'!$B$140,CT110+CS111-DB110)))</f>
        <v>428.00000000000011</v>
      </c>
      <c r="CU111" s="17">
        <f>CT111*VLOOKUP('Données projet'!$B$13,Paramètres!$A$1:$I$89,3,0)*VLOOKUP('Données projet'!$B$13,Paramètres!$A$1:$I$89,5,0)</f>
        <v>367.22400000000016</v>
      </c>
      <c r="CV111" s="13">
        <f t="shared" si="95"/>
        <v>85.099135204211706</v>
      </c>
      <c r="CW111" s="20">
        <f t="shared" si="67"/>
        <v>787.7961271473356</v>
      </c>
      <c r="CX111" s="59">
        <f t="shared" si="68"/>
        <v>1077.2519507205354</v>
      </c>
      <c r="CY111" s="59">
        <f ca="1">AVERAGE(OFFSET($CX$3,0,0,'Données projet'!$E$13+1,1))-AVERAGE(OFFSET($H$3,0,0,'Données projet'!$E$13+1,1))</f>
        <v>565.32667500225568</v>
      </c>
      <c r="CZ111" s="59">
        <f t="shared" si="96"/>
        <v>275.06957234480944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0</v>
      </c>
      <c r="DG111" s="21">
        <f>EXP(-LN(2)/25)*DG110+(1-EXP(-LN(2)/25))/(LN(2)/25)*Calculateur!DB111*Calculateur!DD111*VLOOKUP('Données projet'!$B$13,Paramètres!$A$1:$I$89,3,0)*0.475*44/12</f>
        <v>0.50395455652456944</v>
      </c>
      <c r="DH111" s="21">
        <f>EXP(-LN(2)/2)*DH110+(1-EXP(-LN(2)/2))/(LN(2)/2)*DB111*DE111*VLOOKUP('Données projet'!$B$13,Paramètres!$A$1:$I$89,3,0)*0.475*44/12</f>
        <v>1.2884862938153592E-11</v>
      </c>
      <c r="DI111" s="22">
        <f t="shared" si="69"/>
        <v>0.50395455653745436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68.942497338145415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-1.2505552149377763E-12</v>
      </c>
      <c r="DP111" s="17">
        <f>DO111*VLOOKUP('Données projet'!$B$14,Paramètres!$A$1:$I$89,3,0)*VLOOKUP('Données projet'!$B$14,Paramètres!$A$1:$I$89,5,0)</f>
        <v>-6.9906036515021697E-13</v>
      </c>
      <c r="DQ111" s="13" t="e">
        <f t="shared" si="97"/>
        <v>#NUM!</v>
      </c>
      <c r="DR111" s="20" t="e">
        <f t="shared" si="70"/>
        <v>#NUM!</v>
      </c>
      <c r="DS111" s="59" t="e">
        <f t="shared" si="71"/>
        <v>#NUM!</v>
      </c>
      <c r="DT111" s="59">
        <f ca="1">AVERAGE(OFFSET($DS$3,0,0,'Données projet'!$E$14+1,1))-AVERAGE(OFFSET($H$3,0,0,'Données projet'!$E$14+1,1))</f>
        <v>532.64469322244281</v>
      </c>
      <c r="DU111" s="59">
        <f t="shared" si="98"/>
        <v>525.88014011096413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2.4366549710113001</v>
      </c>
      <c r="EB111" s="21">
        <f>EXP(-LN(2)/25)*EB110+(1-EXP(-LN(2)/25))/(LN(2)/25)*Calculateur!DW111*Calculateur!DY111*VLOOKUP('Données projet'!$B$14,Paramètres!$A$1:$I$89,3,0)*0.475*44/12</f>
        <v>4.4582413155251528</v>
      </c>
      <c r="EC111" s="21">
        <f>EXP(-LN(2)/2)*EC110+(1-EXP(-LN(2)/2))/(LN(2)/2)*DW111*DZ111*VLOOKUP('Données projet'!$B$14,Paramètres!$A$1:$I$89,3,0)*0.475*44/12</f>
        <v>6.6341983902082749E-11</v>
      </c>
      <c r="ED111" s="22">
        <f t="shared" si="72"/>
        <v>6.8948962866027941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68.942497338145415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4.4000000000000004</v>
      </c>
      <c r="EJ111" s="12">
        <f>IF('Données projet'!$A$192&gt;35,EJ110+EI111-ER110,IF(A111&lt;'Données projet'!$A$192,$EG$205^A111,IF(A111='Données projet'!$A$192,'Données projet'!$B$192,EJ110+EI111-ER110)))</f>
        <v>296.20000000000005</v>
      </c>
      <c r="EK111" s="17">
        <f>EJ111*VLOOKUP('Données projet'!$B$15,Paramètres!$A$1:$I$89,3,0)*VLOOKUP('Données projet'!$B$15,Paramètres!$A$1:$I$89,5,0)</f>
        <v>268.00176000000005</v>
      </c>
      <c r="EL111" s="13">
        <f t="shared" si="99"/>
        <v>64.425009159185578</v>
      </c>
      <c r="EM111" s="20">
        <f t="shared" si="73"/>
        <v>578.97662295224825</v>
      </c>
      <c r="EN111" s="59">
        <f t="shared" si="74"/>
        <v>868.43244652544809</v>
      </c>
      <c r="EO111" s="59">
        <f ca="1">AVERAGE(OFFSET($EN$3,0,0,'Données projet'!$E$15+1,1))-AVERAGE(OFFSET($H$3,0,0,'Données projet'!$E$15+1,1))</f>
        <v>398.27843768730202</v>
      </c>
      <c r="EP111" s="59">
        <f t="shared" si="100"/>
        <v>252.3617347568813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0</v>
      </c>
      <c r="EW111" s="21">
        <f>EXP(-LN(2)/25)*EW110+(1-EXP(-LN(2)/25))/(LN(2)/25)*Calculateur!ER111*Calculateur!ET111*VLOOKUP('Données projet'!$B$15,Paramètres!$A$1:$I$89,3,0)*0.475*44/12</f>
        <v>0.35725574374120139</v>
      </c>
      <c r="EX111" s="21">
        <f>EXP(-LN(2)/2)*EX110+(1-EXP(-LN(2)/2))/(LN(2)/2)*ER111*EU111*VLOOKUP('Données projet'!$B$15,Paramètres!$A$1:$I$89,3,0)*0.475*44/12</f>
        <v>1.1258358162064591E-11</v>
      </c>
      <c r="EY111" s="22">
        <f t="shared" si="75"/>
        <v>0.35725574375245978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68.942497338145415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4.4000000000000004</v>
      </c>
      <c r="FE111" s="12">
        <f>IF('Données projet'!$A$218&gt;35,FE110+FD111-FM110,IF(A111&lt;'Données projet'!$A$218,$FB$205^A111,IF(A111='Données projet'!$A$218,'Données projet'!$B$218,FE110+FD111-FM110)))</f>
        <v>296.20000000000005</v>
      </c>
      <c r="FF111" s="17">
        <f>FE111*VLOOKUP('Données projet'!$B$16,Paramètres!$A$1:$I$89,3,0)*VLOOKUP('Données projet'!$B$16,Paramètres!$A$1:$I$89,5,0)</f>
        <v>286.48464000000007</v>
      </c>
      <c r="FG111" s="13">
        <f t="shared" si="101"/>
        <v>68.33556833067756</v>
      </c>
      <c r="FH111" s="20">
        <f t="shared" si="76"/>
        <v>617.97852950926347</v>
      </c>
      <c r="FI111" s="59">
        <f t="shared" si="77"/>
        <v>907.4343530824633</v>
      </c>
      <c r="FJ111" s="59">
        <f ca="1">AVERAGE(OFFSET($FI$3,0,0,'Données projet'!$E$16+1,1))-AVERAGE(OFFSET($H$3,0,0,'Données projet'!$E$16+1,1))</f>
        <v>422.28024471365825</v>
      </c>
      <c r="FK111" s="59">
        <f t="shared" si="102"/>
        <v>266.49730479813206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0</v>
      </c>
      <c r="FR111" s="21">
        <f>EXP(-LN(2)/25)*FR110+(1-EXP(-LN(2)/25))/(LN(2)/25)*Calculateur!FM111*Calculateur!FO111*VLOOKUP('Données projet'!$B$16,Paramètres!$A$1:$I$89,3,0)*0.475*44/12</f>
        <v>0.38189407089576682</v>
      </c>
      <c r="FS111" s="21">
        <f>EXP(-LN(2)/2)*FS110+(1-EXP(-LN(2)/2))/(LN(2)/2)*FM111*FP111*VLOOKUP('Données projet'!$B$16,Paramètres!$A$1:$I$89,3,0)*0.475*44/12</f>
        <v>1.2034796656000078E-11</v>
      </c>
      <c r="FT111" s="22">
        <f t="shared" si="78"/>
        <v>0.38189407090780164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68.942497338145415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3.4106051316484809E-13</v>
      </c>
      <c r="GA111" s="17">
        <f>FZ111*VLOOKUP('Données projet'!$B$17,Paramètres!$A$1:$I$89,3,0)*VLOOKUP('Données projet'!$B$17,Paramètres!$A$1:$I$89,5,0)</f>
        <v>2.6602720026858149E-13</v>
      </c>
      <c r="GB111" s="13">
        <f t="shared" si="103"/>
        <v>3.5662905043956649E-12</v>
      </c>
      <c r="GC111" s="20">
        <f t="shared" si="79"/>
        <v>6.6746200022902298E-12</v>
      </c>
      <c r="GD111" s="59">
        <f t="shared" si="80"/>
        <v>289.45582357320654</v>
      </c>
      <c r="GE111" s="59">
        <f ca="1">AVERAGE(OFFSET($GD$3,0,0,'Données projet'!$E$17+1,1))-AVERAGE(OFFSET($H$3,0,0,'Données projet'!$E$17+1,1))</f>
        <v>300.95722646933314</v>
      </c>
      <c r="GF111" s="59">
        <f t="shared" si="104"/>
        <v>269.52365224623759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>
        <f>EXP(-LN(2)/35)*GL110+(1-EXP(-LN(2)/35))/(LN(2)/35)*GH111*GI111*VLOOKUP('Données projet'!$B$17,Paramètres!$A$1:$I$89,3,0)*0.475*44/12</f>
        <v>0.18986921852036079</v>
      </c>
      <c r="GM111" s="21">
        <f>EXP(-LN(2)/25)*GM110+(1-EXP(-LN(2)/25))/(LN(2)/25)*Calculateur!GH111*Calculateur!GJ111*VLOOKUP('Données projet'!$B$17,Paramètres!$A$1:$I$89,3,0)*0.475*44/12</f>
        <v>0.71764879370840962</v>
      </c>
      <c r="GN111" s="21">
        <f>EXP(-LN(2)/2)*GN110+(1-EXP(-LN(2)/2))/(LN(2)/2)*GH111*GK111*VLOOKUP('Données projet'!$B$17,Paramètres!$A$1:$I$89,3,0)*0.475*44/12</f>
        <v>1.6114360951579956E-11</v>
      </c>
      <c r="GO111" s="21">
        <f t="shared" si="81"/>
        <v>0.90751801224488471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68.942497338145415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1.4000000000000001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5.1333333333333337</v>
      </c>
      <c r="H112" s="67">
        <f t="shared" si="56"/>
        <v>236.13333333333335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68.960842645106823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5.2</v>
      </c>
      <c r="N112" s="13">
        <f>IF('Données projet'!$A$36&gt;35,N111+M112-V111,IF(A112&lt;'Données projet'!$A$36,$K$205^A112,IF(A112='Données projet'!$A$36,'Données projet'!$B$36,N111+M112-V111)))</f>
        <v>352.79999999999967</v>
      </c>
      <c r="O112" s="13">
        <f>N112*VLOOKUP('Données projet'!$B$9,Paramètres!$A$1:$I$89,3,0)*VLOOKUP('Données projet'!$B$9,Paramètres!$A$1:$I$89,5,0)</f>
        <v>319.21343999999971</v>
      </c>
      <c r="P112" s="13">
        <f t="shared" si="87"/>
        <v>75.189671124171639</v>
      </c>
      <c r="Q112" s="20">
        <f t="shared" si="107"/>
        <v>686.91875187459846</v>
      </c>
      <c r="R112" s="59">
        <f t="shared" si="55"/>
        <v>976.44184157332347</v>
      </c>
      <c r="S112" s="59">
        <f ca="1">AVERAGE(OFFSET($R$3,0,0,'Données projet'!$E$9+1,1))-AVERAGE(OFFSET($H$3,0,0,'Données projet'!$E$9+1,1))</f>
        <v>479.46542424895119</v>
      </c>
      <c r="T112" s="59">
        <f t="shared" si="88"/>
        <v>337.96395820277337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0.50383517050206406</v>
      </c>
      <c r="AA112" s="21">
        <f>EXP(-LN(2)/25)*AA111+(1-EXP(-LN(2)/25))/(LN(2)/25)*Calculateur!V112*Calculateur!X112*VLOOKUP('Données projet'!$B$9,Paramètres!$A$1:$I$89,3,0)*0.475*44/12</f>
        <v>1.2623006673979598</v>
      </c>
      <c r="AB112" s="21">
        <f>EXP(-LN(2)/2)*AB111+(1-EXP(-LN(2)/2))/(LN(2)/2)*V112*Y112*VLOOKUP('Données projet'!$B$9,Paramètres!$A$1:$I$89,3,0)*0.475*44/12</f>
        <v>2.7722327268144404E-11</v>
      </c>
      <c r="AC112" s="22">
        <f t="shared" si="57"/>
        <v>1.7661358379277461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68.960842645106823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5.2</v>
      </c>
      <c r="AI112" s="13">
        <f>IF('Données projet'!$A$62&gt;35,AI111+AH112-AQ111,IF(A112&lt;'Données projet'!$A$62,$AF$205^A112,IF(A112='Données projet'!$A$62,'Données projet'!$B$62,AI111+AH112-AQ111)))</f>
        <v>352.79999999999967</v>
      </c>
      <c r="AJ112" s="13">
        <f>AI112*VLOOKUP('Données projet'!$B$10,Paramètres!$A$1:$I$89,3,0)*VLOOKUP('Données projet'!$B$10,Paramètres!$A$1:$I$89,5,0)</f>
        <v>341.22815999999966</v>
      </c>
      <c r="AK112" s="13">
        <f t="shared" si="89"/>
        <v>79.753638779800099</v>
      </c>
      <c r="AL112" s="20">
        <f t="shared" si="58"/>
        <v>733.20996620815129</v>
      </c>
      <c r="AM112" s="59">
        <f t="shared" si="59"/>
        <v>1022.7330559068763</v>
      </c>
      <c r="AN112" s="59">
        <f ca="1">AVERAGE(OFFSET($AM$3,0,0,'Données projet'!$E$10+1,1))-AVERAGE(OFFSET($H$3,0,0,'Données projet'!$E$10+1,1))</f>
        <v>508.94560627895089</v>
      </c>
      <c r="AO112" s="59">
        <f t="shared" si="90"/>
        <v>357.86868650263034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0.53858242364013786</v>
      </c>
      <c r="AV112" s="21">
        <f>EXP(-LN(2)/25)*AV111+(1-EXP(-LN(2)/25))/(LN(2)/25)*Calculateur!AQ112*Calculateur!AS112*VLOOKUP('Données projet'!$B$10,Paramètres!$A$1:$I$89,3,0)*0.475*44/12</f>
        <v>1.3493558858391985</v>
      </c>
      <c r="AW112" s="21">
        <f>EXP(-LN(2)/2)*AW111+(1-EXP(-LN(2)/2))/(LN(2)/2)*AQ112*AT112*VLOOKUP('Données projet'!$B$10,Paramètres!$A$1:$I$89,3,0)*0.475*44/12</f>
        <v>2.9634211907326639E-11</v>
      </c>
      <c r="AX112" s="21">
        <f t="shared" si="60"/>
        <v>1.8879383095089708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68.960842645106823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1.7053025658242404E-13</v>
      </c>
      <c r="BE112" s="13">
        <f>BD112*VLOOKUP('Données projet'!$B$11,Paramètres!$A$1:$I$89,3,0)*VLOOKUP('Données projet'!$B$11,Paramètres!$A$1:$I$89,5,0)</f>
        <v>1.3301360013429075E-13</v>
      </c>
      <c r="BF112" s="13">
        <f t="shared" si="91"/>
        <v>1.9329766731057041E-12</v>
      </c>
      <c r="BG112" s="20">
        <f t="shared" si="61"/>
        <v>3.5982663925596575E-12</v>
      </c>
      <c r="BH112" s="59">
        <f t="shared" si="62"/>
        <v>289.5230896987286</v>
      </c>
      <c r="BI112" s="59">
        <f ca="1">AVERAGE(OFFSET($BH$3,0,0,'Données projet'!$E$11+1,1))-AVERAGE(OFFSET($H$3,0,0,'Données projet'!$E$11+1,1))</f>
        <v>383.03154033422328</v>
      </c>
      <c r="BJ112" s="59">
        <f t="shared" si="92"/>
        <v>373.27897156169877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0.30248724830019247</v>
      </c>
      <c r="BQ112" s="21">
        <f>EXP(-LN(2)/25)*BQ111+(1-EXP(-LN(2)/25))/(LN(2)/25)*Calculateur!BL112*Calculateur!BN112*VLOOKUP('Données projet'!$B$11,Paramètres!$A$1:$I$89,3,0)*0.475*44/12</f>
        <v>0.93650081584857059</v>
      </c>
      <c r="BR112" s="21">
        <f>EXP(-LN(2)/2)*BR111+(1-EXP(-LN(2)/2))/(LN(2)/2)*BL112*BO112*VLOOKUP('Données projet'!$B$11,Paramètres!$A$1:$I$89,3,0)*0.475*44/12</f>
        <v>1.6812409250515173E-11</v>
      </c>
      <c r="BS112" s="22">
        <f t="shared" si="63"/>
        <v>1.2389880641655755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68.960842645106823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5.2</v>
      </c>
      <c r="BY112" s="12">
        <f>IF('Données projet'!$A$114&gt;35,BY111+BX112-CG111,IF(A112&lt;'Données projet'!$A$114,$BV$205^A112,IF(A112='Données projet'!$A$114,'Données projet'!$B$114,BY111+BX112-CG111)))</f>
        <v>352.79999999999967</v>
      </c>
      <c r="BZ112" s="13">
        <f>BY112*VLOOKUP('Données projet'!$B$12,Paramètres!$A$1:$I$89,3,0)*VLOOKUP('Données projet'!$B$12,Paramètres!$A$1:$I$89,5,0)</f>
        <v>297.19871999999975</v>
      </c>
      <c r="CA112" s="13">
        <f t="shared" si="93"/>
        <v>70.588887331631497</v>
      </c>
      <c r="CB112" s="20">
        <f t="shared" si="64"/>
        <v>640.56341610259108</v>
      </c>
      <c r="CC112" s="59">
        <f t="shared" si="65"/>
        <v>930.08650580131609</v>
      </c>
      <c r="CD112" s="59">
        <f ca="1">AVERAGE(OFFSET($CC$3,0,0,'Données projet'!$E$12+1,1))-AVERAGE(OFFSET($H$3,0,0,'Données projet'!$E$12+1,1))</f>
        <v>449.94334483948603</v>
      </c>
      <c r="CE112" s="59">
        <f t="shared" si="94"/>
        <v>318.02929110264176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0.46908791736399086</v>
      </c>
      <c r="CL112" s="21">
        <f>EXP(-LN(2)/25)*CL111+(1-EXP(-LN(2)/25))/(LN(2)/25)*Calculateur!CG112*Calculateur!CI112*VLOOKUP('Données projet'!$B$12,Paramètres!$A$1:$I$89,3,0)*0.475*44/12</f>
        <v>1.1752454489567212</v>
      </c>
      <c r="CM112" s="21">
        <f>EXP(-LN(2)/2)*CM111+(1-EXP(-LN(2)/2))/(LN(2)/2)*CG112*CJ112*VLOOKUP('Données projet'!$B$12,Paramètres!$A$1:$I$89,3,0)*0.475*44/12</f>
        <v>2.5810442628961939E-11</v>
      </c>
      <c r="CN112" s="22">
        <f t="shared" si="66"/>
        <v>1.6443333663465225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68.960842645106823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6.5</v>
      </c>
      <c r="CT112" s="12">
        <f>IF('Données projet'!$A$140&gt;35,CT111+CS112-DB111,IF(A112&lt;'Données projet'!$A$140,$CQ$205^A112,IF(A112='Données projet'!$A$140,'Données projet'!$B$140,CT111+CS112-DB111)))</f>
        <v>434.50000000000011</v>
      </c>
      <c r="CU112" s="17">
        <f>CT112*VLOOKUP('Données projet'!$B$13,Paramètres!$A$1:$I$89,3,0)*VLOOKUP('Données projet'!$B$13,Paramètres!$A$1:$I$89,5,0)</f>
        <v>372.80100000000016</v>
      </c>
      <c r="CV112" s="13">
        <f t="shared" si="95"/>
        <v>86.240090326097956</v>
      </c>
      <c r="CW112" s="20">
        <f t="shared" si="67"/>
        <v>799.4965656512876</v>
      </c>
      <c r="CX112" s="59">
        <f t="shared" si="68"/>
        <v>1089.0196553500127</v>
      </c>
      <c r="CY112" s="59">
        <f ca="1">AVERAGE(OFFSET($CX$3,0,0,'Données projet'!$E$13+1,1))-AVERAGE(OFFSET($H$3,0,0,'Données projet'!$E$13+1,1))</f>
        <v>565.32667500225568</v>
      </c>
      <c r="CZ112" s="59">
        <f t="shared" si="96"/>
        <v>275.06957234480944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0</v>
      </c>
      <c r="DG112" s="21">
        <f>EXP(-LN(2)/25)*DG111+(1-EXP(-LN(2)/25))/(LN(2)/25)*Calculateur!DB112*Calculateur!DD112*VLOOKUP('Données projet'!$B$13,Paramètres!$A$1:$I$89,3,0)*0.475*44/12</f>
        <v>0.49017389267458678</v>
      </c>
      <c r="DH112" s="21">
        <f>EXP(-LN(2)/2)*DH111+(1-EXP(-LN(2)/2))/(LN(2)/2)*DB112*DE112*VLOOKUP('Données projet'!$B$13,Paramètres!$A$1:$I$89,3,0)*0.475*44/12</f>
        <v>9.1109739582276277E-12</v>
      </c>
      <c r="DI112" s="22">
        <f t="shared" si="69"/>
        <v>0.49017389268369777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68.960842645106823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-1.2505552149377763E-12</v>
      </c>
      <c r="DP112" s="17">
        <f>DO112*VLOOKUP('Données projet'!$B$14,Paramètres!$A$1:$I$89,3,0)*VLOOKUP('Données projet'!$B$14,Paramètres!$A$1:$I$89,5,0)</f>
        <v>-6.9906036515021697E-13</v>
      </c>
      <c r="DQ112" s="13" t="e">
        <f t="shared" si="97"/>
        <v>#NUM!</v>
      </c>
      <c r="DR112" s="20" t="e">
        <f t="shared" si="70"/>
        <v>#NUM!</v>
      </c>
      <c r="DS112" s="59" t="e">
        <f t="shared" si="71"/>
        <v>#NUM!</v>
      </c>
      <c r="DT112" s="59">
        <f ca="1">AVERAGE(OFFSET($DS$3,0,0,'Données projet'!$E$14+1,1))-AVERAGE(OFFSET($H$3,0,0,'Données projet'!$E$14+1,1))</f>
        <v>532.64469322244281</v>
      </c>
      <c r="DU112" s="59">
        <f t="shared" si="98"/>
        <v>525.88014011096413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2.3888736532425496</v>
      </c>
      <c r="EB112" s="21">
        <f>EXP(-LN(2)/25)*EB111+(1-EXP(-LN(2)/25))/(LN(2)/25)*Calculateur!DW112*Calculateur!DY112*VLOOKUP('Données projet'!$B$14,Paramètres!$A$1:$I$89,3,0)*0.475*44/12</f>
        <v>4.3363304723033957</v>
      </c>
      <c r="EC112" s="21">
        <f>EXP(-LN(2)/2)*EC111+(1-EXP(-LN(2)/2))/(LN(2)/2)*DW112*DZ112*VLOOKUP('Données projet'!$B$14,Paramètres!$A$1:$I$89,3,0)*0.475*44/12</f>
        <v>4.6910866694531485E-11</v>
      </c>
      <c r="ED112" s="22">
        <f t="shared" si="72"/>
        <v>6.7252041255928559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68.960842645106823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4.4000000000000004</v>
      </c>
      <c r="EJ112" s="12">
        <f>IF('Données projet'!$A$192&gt;35,EJ111+EI112-ER111,IF(A112&lt;'Données projet'!$A$192,$EG$205^A112,IF(A112='Données projet'!$A$192,'Données projet'!$B$192,EJ111+EI112-ER111)))</f>
        <v>300.60000000000002</v>
      </c>
      <c r="EK112" s="17">
        <f>EJ112*VLOOKUP('Données projet'!$B$15,Paramètres!$A$1:$I$89,3,0)*VLOOKUP('Données projet'!$B$15,Paramètres!$A$1:$I$89,5,0)</f>
        <v>271.98288000000002</v>
      </c>
      <c r="EL112" s="13">
        <f t="shared" si="99"/>
        <v>65.269907092018755</v>
      </c>
      <c r="EM112" s="20">
        <f t="shared" si="73"/>
        <v>587.38193751859933</v>
      </c>
      <c r="EN112" s="59">
        <f t="shared" si="74"/>
        <v>876.90502721732435</v>
      </c>
      <c r="EO112" s="59">
        <f ca="1">AVERAGE(OFFSET($EN$3,0,0,'Données projet'!$E$15+1,1))-AVERAGE(OFFSET($H$3,0,0,'Données projet'!$E$15+1,1))</f>
        <v>398.27843768730202</v>
      </c>
      <c r="EP112" s="59">
        <f t="shared" si="100"/>
        <v>252.3617347568813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0</v>
      </c>
      <c r="EW112" s="21">
        <f>EXP(-LN(2)/25)*EW111+(1-EXP(-LN(2)/25))/(LN(2)/25)*Calculateur!ER112*Calculateur!ET112*VLOOKUP('Données projet'!$B$15,Paramètres!$A$1:$I$89,3,0)*0.475*44/12</f>
        <v>0.3474865666413352</v>
      </c>
      <c r="EX112" s="21">
        <f>EXP(-LN(2)/2)*EX111+(1-EXP(-LN(2)/2))/(LN(2)/2)*ER112*EU112*VLOOKUP('Données projet'!$B$15,Paramètres!$A$1:$I$89,3,0)*0.475*44/12</f>
        <v>7.9608614014227883E-12</v>
      </c>
      <c r="EY112" s="22">
        <f t="shared" si="75"/>
        <v>0.34748656664929606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68.960842645106823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4.4000000000000004</v>
      </c>
      <c r="FE112" s="12">
        <f>IF('Données projet'!$A$218&gt;35,FE111+FD112-FM111,IF(A112&lt;'Données projet'!$A$218,$FB$205^A112,IF(A112='Données projet'!$A$218,'Données projet'!$B$218,FE111+FD112-FM111)))</f>
        <v>300.60000000000002</v>
      </c>
      <c r="FF112" s="17">
        <f>FE112*VLOOKUP('Données projet'!$B$16,Paramètres!$A$1:$I$89,3,0)*VLOOKUP('Données projet'!$B$16,Paramètres!$A$1:$I$89,5,0)</f>
        <v>290.74032000000005</v>
      </c>
      <c r="FG112" s="13">
        <f t="shared" si="101"/>
        <v>69.231751058085564</v>
      </c>
      <c r="FH112" s="20">
        <f t="shared" si="76"/>
        <v>626.95135709283238</v>
      </c>
      <c r="FI112" s="59">
        <f t="shared" si="77"/>
        <v>916.4744467915574</v>
      </c>
      <c r="FJ112" s="59">
        <f ca="1">AVERAGE(OFFSET($FI$3,0,0,'Données projet'!$E$16+1,1))-AVERAGE(OFFSET($H$3,0,0,'Données projet'!$E$16+1,1))</f>
        <v>422.28024471365825</v>
      </c>
      <c r="FK112" s="59">
        <f t="shared" si="102"/>
        <v>266.49730479813206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0</v>
      </c>
      <c r="FR112" s="21">
        <f>EXP(-LN(2)/25)*FR111+(1-EXP(-LN(2)/25))/(LN(2)/25)*Calculateur!FM112*Calculateur!FO112*VLOOKUP('Données projet'!$B$16,Paramètres!$A$1:$I$89,3,0)*0.475*44/12</f>
        <v>0.37145115744418572</v>
      </c>
      <c r="FS112" s="21">
        <f>EXP(-LN(2)/2)*FS111+(1-EXP(-LN(2)/2))/(LN(2)/2)*FM112*FP112*VLOOKUP('Données projet'!$B$16,Paramètres!$A$1:$I$89,3,0)*0.475*44/12</f>
        <v>8.509886325658841E-12</v>
      </c>
      <c r="FT112" s="22">
        <f t="shared" si="78"/>
        <v>0.37145115745269558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68.960842645106823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3.4106051316484809E-13</v>
      </c>
      <c r="GA112" s="17">
        <f>FZ112*VLOOKUP('Données projet'!$B$17,Paramètres!$A$1:$I$89,3,0)*VLOOKUP('Données projet'!$B$17,Paramètres!$A$1:$I$89,5,0)</f>
        <v>2.6602720026858149E-13</v>
      </c>
      <c r="GB112" s="13">
        <f t="shared" si="103"/>
        <v>3.5662905043956649E-12</v>
      </c>
      <c r="GC112" s="20">
        <f t="shared" si="79"/>
        <v>6.6746200022902298E-12</v>
      </c>
      <c r="GD112" s="59">
        <f t="shared" si="80"/>
        <v>289.52308969873167</v>
      </c>
      <c r="GE112" s="59">
        <f ca="1">AVERAGE(OFFSET($GD$3,0,0,'Données projet'!$E$17+1,1))-AVERAGE(OFFSET($H$3,0,0,'Données projet'!$E$17+1,1))</f>
        <v>300.95722646933314</v>
      </c>
      <c r="GF112" s="59">
        <f t="shared" si="104"/>
        <v>269.52365224623759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>
        <f>EXP(-LN(2)/35)*GL111+(1-EXP(-LN(2)/35))/(LN(2)/35)*GH112*GI112*VLOOKUP('Données projet'!$B$17,Paramètres!$A$1:$I$89,3,0)*0.475*44/12</f>
        <v>0.18614599895396464</v>
      </c>
      <c r="GM112" s="21">
        <f>EXP(-LN(2)/25)*GM111+(1-EXP(-LN(2)/25))/(LN(2)/25)*Calculateur!GH112*Calculateur!GJ112*VLOOKUP('Données projet'!$B$17,Paramètres!$A$1:$I$89,3,0)*0.475*44/12</f>
        <v>0.69802464970494327</v>
      </c>
      <c r="GN112" s="21">
        <f>EXP(-LN(2)/2)*GN111+(1-EXP(-LN(2)/2))/(LN(2)/2)*GH112*GK112*VLOOKUP('Données projet'!$B$17,Paramètres!$A$1:$I$89,3,0)*0.475*44/12</f>
        <v>1.1394573903349893E-11</v>
      </c>
      <c r="GO112" s="21">
        <f t="shared" si="81"/>
        <v>0.88417064867030248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68.960842645106823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1.4000000000000001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5.1333333333333337</v>
      </c>
      <c r="H113" s="67">
        <f t="shared" si="56"/>
        <v>236.13333333333335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68.978869702006406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>
        <f>VLOOKUP(A113,'Données projet'!$A$35:$I$55,2,0)</f>
        <v>358</v>
      </c>
      <c r="L113" s="12">
        <f>VLOOKUP(A113,'Données projet'!$A$35:$I$55,9,0)</f>
        <v>5.2</v>
      </c>
      <c r="M113" s="12">
        <f t="array" ref="M113">INDEX(L:L,MIN(IF(ISNUMBER(L113:L309),ROW(L113:L309),"")))</f>
        <v>5.2</v>
      </c>
      <c r="N113" s="13">
        <f>IF('Données projet'!$A$36&gt;35,N112+M113-V112,IF(A113&lt;'Données projet'!$A$36,$K$205^A113,IF(A113='Données projet'!$A$36,'Données projet'!$B$36,N112+M113-V112)))</f>
        <v>357.99999999999966</v>
      </c>
      <c r="O113" s="13">
        <f>N113*VLOOKUP('Données projet'!$B$9,Paramètres!$A$1:$I$89,3,0)*VLOOKUP('Données projet'!$B$9,Paramètres!$A$1:$I$89,5,0)</f>
        <v>323.91839999999968</v>
      </c>
      <c r="P113" s="13">
        <f t="shared" si="87"/>
        <v>76.168074587293034</v>
      </c>
      <c r="Q113" s="20">
        <f t="shared" si="107"/>
        <v>696.8172765728682</v>
      </c>
      <c r="R113" s="59">
        <f t="shared" si="55"/>
        <v>986.40646548022505</v>
      </c>
      <c r="S113" s="59">
        <f ca="1">AVERAGE(OFFSET($R$3,0,0,'Données projet'!$E$9+1,1))-AVERAGE(OFFSET($H$3,0,0,'Données projet'!$E$9+1,1))</f>
        <v>479.46542424895119</v>
      </c>
      <c r="T113" s="59">
        <f t="shared" si="88"/>
        <v>337.96395820277337</v>
      </c>
      <c r="U113" s="15">
        <f>IF(ISNA(VLOOKUP(A113,'Données projet'!$A$35:$I$55,3,0)),0,VLOOKUP(A113,'Données projet'!$A$35:$I$55,3,0))</f>
        <v>10</v>
      </c>
      <c r="V113" s="15">
        <f>IF(ISNA(VLOOKUP(A113,'Données projet'!$A$35:$I$55,4,0)),0,VLOOKUP(A113,'Données projet'!$A$35:$I$55,4,0))</f>
        <v>51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0.49395527011762835</v>
      </c>
      <c r="AA113" s="21">
        <f>EXP(-LN(2)/25)*AA112+(1-EXP(-LN(2)/25))/(LN(2)/25)*Calculateur!V113*Calculateur!X113*VLOOKUP('Données projet'!$B$9,Paramètres!$A$1:$I$89,3,0)*0.475*44/12</f>
        <v>1.2277829892664556</v>
      </c>
      <c r="AB113" s="21">
        <f>EXP(-LN(2)/2)*AB112+(1-EXP(-LN(2)/2))/(LN(2)/2)*V113*Y113*VLOOKUP('Données projet'!$B$9,Paramètres!$A$1:$I$89,3,0)*0.475*44/12</f>
        <v>1.9602645601577644E-11</v>
      </c>
      <c r="AC113" s="22">
        <f t="shared" si="57"/>
        <v>1.7217382594036865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68.978869702006406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>
        <f>VLOOKUP(A113,'Données projet'!$A$61:$I$81,2,0)</f>
        <v>358</v>
      </c>
      <c r="AG113" s="12">
        <f>VLOOKUP(A113,'Données projet'!$A$61:$I$81,9,0)</f>
        <v>5.2</v>
      </c>
      <c r="AH113" s="12">
        <f t="array" ref="AH113">INDEX(AG:AG,MIN(IF(ISNUMBER(AG113:AG309),ROW(AG113:AG309),"")))</f>
        <v>5.2</v>
      </c>
      <c r="AI113" s="13">
        <f>IF('Données projet'!$A$62&gt;35,AI112+AH113-AQ112,IF(A113&lt;'Données projet'!$A$62,$AF$205^A113,IF(A113='Données projet'!$A$62,'Données projet'!$B$62,AI112+AH113-AQ112)))</f>
        <v>357.99999999999966</v>
      </c>
      <c r="AJ113" s="13">
        <f>AI113*VLOOKUP('Données projet'!$B$10,Paramètres!$A$1:$I$89,3,0)*VLOOKUP('Données projet'!$B$10,Paramètres!$A$1:$I$89,5,0)</f>
        <v>346.25759999999968</v>
      </c>
      <c r="AK113" s="13">
        <f t="shared" si="89"/>
        <v>80.791430742606124</v>
      </c>
      <c r="AL113" s="20">
        <f t="shared" si="58"/>
        <v>743.77706187670503</v>
      </c>
      <c r="AM113" s="59">
        <f t="shared" si="59"/>
        <v>1033.3662507840618</v>
      </c>
      <c r="AN113" s="59">
        <f ca="1">AVERAGE(OFFSET($AM$3,0,0,'Données projet'!$E$10+1,1))-AVERAGE(OFFSET($H$3,0,0,'Données projet'!$E$10+1,1))</f>
        <v>508.94560627895089</v>
      </c>
      <c r="AO113" s="59">
        <f t="shared" si="90"/>
        <v>357.86868650263034</v>
      </c>
      <c r="AP113" s="15">
        <f>IF(ISNA(VLOOKUP(A113,'Données projet'!$A$61:$I$81,3,0)),0,VLOOKUP(A113,'Données projet'!$A$61:$I$81,3,0))</f>
        <v>10</v>
      </c>
      <c r="AQ113" s="15">
        <f>IF(ISNA(VLOOKUP(A113,'Données projet'!$A$61:$I$81,4,0)),0,VLOOKUP(A113,'Données projet'!$A$61:$I$81,4,0))</f>
        <v>51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0.52802115081539625</v>
      </c>
      <c r="AV113" s="21">
        <f>EXP(-LN(2)/25)*AV112+(1-EXP(-LN(2)/25))/(LN(2)/25)*Calculateur!AQ113*Calculateur!AS113*VLOOKUP('Données projet'!$B$10,Paramètres!$A$1:$I$89,3,0)*0.475*44/12</f>
        <v>1.3124576781813837</v>
      </c>
      <c r="AW113" s="21">
        <f>EXP(-LN(2)/2)*AW112+(1-EXP(-LN(2)/2))/(LN(2)/2)*AQ113*AT113*VLOOKUP('Données projet'!$B$10,Paramètres!$A$1:$I$89,3,0)*0.475*44/12</f>
        <v>2.09545521947898E-11</v>
      </c>
      <c r="AX113" s="21">
        <f t="shared" si="60"/>
        <v>1.8404788290177345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68.978869702006406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1.7053025658242404E-13</v>
      </c>
      <c r="BE113" s="13">
        <f>BD113*VLOOKUP('Données projet'!$B$11,Paramètres!$A$1:$I$89,3,0)*VLOOKUP('Données projet'!$B$11,Paramètres!$A$1:$I$89,5,0)</f>
        <v>1.3301360013429075E-13</v>
      </c>
      <c r="BF113" s="13">
        <f t="shared" si="91"/>
        <v>1.9329766731057041E-12</v>
      </c>
      <c r="BG113" s="20">
        <f t="shared" si="61"/>
        <v>3.5982663925596575E-12</v>
      </c>
      <c r="BH113" s="59">
        <f t="shared" si="62"/>
        <v>289.58918890736038</v>
      </c>
      <c r="BI113" s="59">
        <f ca="1">AVERAGE(OFFSET($BH$3,0,0,'Données projet'!$E$11+1,1))-AVERAGE(OFFSET($H$3,0,0,'Données projet'!$E$11+1,1))</f>
        <v>383.03154033422328</v>
      </c>
      <c r="BJ113" s="59">
        <f t="shared" si="92"/>
        <v>373.27897156169877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0.29655565786002941</v>
      </c>
      <c r="BQ113" s="21">
        <f>EXP(-LN(2)/25)*BQ112+(1-EXP(-LN(2)/25))/(LN(2)/25)*Calculateur!BL113*Calculateur!BN113*VLOOKUP('Données projet'!$B$11,Paramètres!$A$1:$I$89,3,0)*0.475*44/12</f>
        <v>0.91089215179075389</v>
      </c>
      <c r="BR113" s="21">
        <f>EXP(-LN(2)/2)*BR112+(1-EXP(-LN(2)/2))/(LN(2)/2)*BL113*BO113*VLOOKUP('Données projet'!$B$11,Paramètres!$A$1:$I$89,3,0)*0.475*44/12</f>
        <v>1.188816858912272E-11</v>
      </c>
      <c r="BS113" s="22">
        <f t="shared" si="63"/>
        <v>1.2074478096626715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68.978869702006406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>
        <f>VLOOKUP(A113,'Données projet'!$A$113:$I$133,2,0)</f>
        <v>358</v>
      </c>
      <c r="BW113" s="12">
        <f>VLOOKUP(A113,'Données projet'!$A$113:$I$133,9,0)</f>
        <v>5.2</v>
      </c>
      <c r="BX113" s="12">
        <f t="array" ref="BX113">INDEX(BW:BW,MIN(IF(ISNUMBER(BW113:BW309),ROW(BW113:BW309),"")))</f>
        <v>5.2</v>
      </c>
      <c r="BY113" s="12">
        <f>IF('Données projet'!$A$114&gt;35,BY112+BX113-CG112,IF(A113&lt;'Données projet'!$A$114,$BV$205^A113,IF(A113='Données projet'!$A$114,'Données projet'!$B$114,BY112+BX113-CG112)))</f>
        <v>357.99999999999966</v>
      </c>
      <c r="BZ113" s="13">
        <f>BY113*VLOOKUP('Données projet'!$B$12,Paramètres!$A$1:$I$89,3,0)*VLOOKUP('Données projet'!$B$12,Paramètres!$A$1:$I$89,5,0)</f>
        <v>301.57919999999973</v>
      </c>
      <c r="CA113" s="13">
        <f t="shared" si="93"/>
        <v>71.507423226130868</v>
      </c>
      <c r="CB113" s="20">
        <f t="shared" si="64"/>
        <v>649.79253545217739</v>
      </c>
      <c r="CC113" s="59">
        <f t="shared" si="65"/>
        <v>939.38172435953425</v>
      </c>
      <c r="CD113" s="59">
        <f ca="1">AVERAGE(OFFSET($CC$3,0,0,'Données projet'!$E$12+1,1))-AVERAGE(OFFSET($H$3,0,0,'Données projet'!$E$12+1,1))</f>
        <v>449.94334483948603</v>
      </c>
      <c r="CE113" s="59">
        <f t="shared" si="94"/>
        <v>318.02929110264176</v>
      </c>
      <c r="CF113" s="15">
        <f>IF(ISNA(VLOOKUP(A113,'Données projet'!$A$113:$I$133,3,0)),0,VLOOKUP(A113,'Données projet'!$A$113:$I$133,3,0))</f>
        <v>10</v>
      </c>
      <c r="CG113" s="15">
        <f>IF(ISNA(VLOOKUP(A113,'Données projet'!$A$113:$I$133,4,0)),0,VLOOKUP(A113,'Données projet'!$A$113:$I$133,4,0))</f>
        <v>51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0.45988938941986102</v>
      </c>
      <c r="CL113" s="21">
        <f>EXP(-LN(2)/25)*CL112+(1-EXP(-LN(2)/25))/(LN(2)/25)*Calculateur!CG113*Calculateur!CI113*VLOOKUP('Données projet'!$B$12,Paramètres!$A$1:$I$89,3,0)*0.475*44/12</f>
        <v>1.1431083003515277</v>
      </c>
      <c r="CM113" s="21">
        <f>EXP(-LN(2)/2)*CM112+(1-EXP(-LN(2)/2))/(LN(2)/2)*CG113*CJ113*VLOOKUP('Données projet'!$B$12,Paramètres!$A$1:$I$89,3,0)*0.475*44/12</f>
        <v>1.8250739008365328E-11</v>
      </c>
      <c r="CN113" s="22">
        <f t="shared" si="66"/>
        <v>1.6029976897896394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68.978869702006406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>
        <f>VLOOKUP(A113,'Données projet'!$A$139:$I$159,2,0)</f>
        <v>441</v>
      </c>
      <c r="CR113" s="12">
        <f>VLOOKUP(A113,'Données projet'!$A$139:$I$159,9,0)</f>
        <v>6.5</v>
      </c>
      <c r="CS113" s="12">
        <f t="array" ref="CS113">INDEX(CR:CR,MIN(IF(ISNUMBER(CR113:CR309),ROW(CR113:CR309),"")))</f>
        <v>6.5</v>
      </c>
      <c r="CT113" s="12">
        <f>IF('Données projet'!$A$140&gt;35,CT112+CS113-DB112,IF(A113&lt;'Données projet'!$A$140,$CQ$205^A113,IF(A113='Données projet'!$A$140,'Données projet'!$B$140,CT112+CS113-DB112)))</f>
        <v>441.00000000000011</v>
      </c>
      <c r="CU113" s="17">
        <f>CT113*VLOOKUP('Données projet'!$B$13,Paramètres!$A$1:$I$89,3,0)*VLOOKUP('Données projet'!$B$13,Paramètres!$A$1:$I$89,5,0)</f>
        <v>378.3780000000001</v>
      </c>
      <c r="CV113" s="13">
        <f t="shared" si="95"/>
        <v>87.379060339798997</v>
      </c>
      <c r="CW113" s="20">
        <f t="shared" si="67"/>
        <v>811.19354675848342</v>
      </c>
      <c r="CX113" s="59">
        <f t="shared" si="68"/>
        <v>1100.7827356658402</v>
      </c>
      <c r="CY113" s="59">
        <f ca="1">AVERAGE(OFFSET($CX$3,0,0,'Données projet'!$E$13+1,1))-AVERAGE(OFFSET($H$3,0,0,'Données projet'!$E$13+1,1))</f>
        <v>565.32667500225568</v>
      </c>
      <c r="CZ113" s="59">
        <f t="shared" si="96"/>
        <v>275.06957234480944</v>
      </c>
      <c r="DA113" s="15">
        <f>IF(ISNA(VLOOKUP(A113,'Données projet'!$A$139:$I$159,3,0)),0,VLOOKUP(A113,'Données projet'!$A$139:$I$159,3,0))</f>
        <v>9</v>
      </c>
      <c r="DB113" s="15">
        <f>IF(ISNA(VLOOKUP(A113,'Données projet'!$A$139:$I$159,4,0)),0,VLOOKUP(A113,'Données projet'!$A$139:$I$159,4,0))</f>
        <v>45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0</v>
      </c>
      <c r="DG113" s="21">
        <f>EXP(-LN(2)/25)*DG112+(1-EXP(-LN(2)/25))/(LN(2)/25)*Calculateur!DB113*Calculateur!DD113*VLOOKUP('Données projet'!$B$13,Paramètres!$A$1:$I$89,3,0)*0.475*44/12</f>
        <v>0.47677006180227549</v>
      </c>
      <c r="DH113" s="21">
        <f>EXP(-LN(2)/2)*DH112+(1-EXP(-LN(2)/2))/(LN(2)/2)*DB113*DE113*VLOOKUP('Données projet'!$B$13,Paramètres!$A$1:$I$89,3,0)*0.475*44/12</f>
        <v>6.442431469076796E-12</v>
      </c>
      <c r="DI113" s="22">
        <f t="shared" si="69"/>
        <v>0.47677006180871795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68.978869702006406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-1.2505552149377763E-12</v>
      </c>
      <c r="DP113" s="17">
        <f>DO113*VLOOKUP('Données projet'!$B$14,Paramètres!$A$1:$I$89,3,0)*VLOOKUP('Données projet'!$B$14,Paramètres!$A$1:$I$89,5,0)</f>
        <v>-6.9906036515021697E-13</v>
      </c>
      <c r="DQ113" s="13" t="e">
        <f t="shared" si="97"/>
        <v>#NUM!</v>
      </c>
      <c r="DR113" s="20" t="e">
        <f t="shared" si="70"/>
        <v>#NUM!</v>
      </c>
      <c r="DS113" s="59" t="e">
        <f t="shared" si="71"/>
        <v>#NUM!</v>
      </c>
      <c r="DT113" s="59">
        <f ca="1">AVERAGE(OFFSET($DS$3,0,0,'Données projet'!$E$14+1,1))-AVERAGE(OFFSET($H$3,0,0,'Données projet'!$E$14+1,1))</f>
        <v>532.64469322244281</v>
      </c>
      <c r="DU113" s="59">
        <f t="shared" si="98"/>
        <v>525.88014011096413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2.3420292979715183</v>
      </c>
      <c r="EB113" s="21">
        <f>EXP(-LN(2)/25)*EB112+(1-EXP(-LN(2)/25))/(LN(2)/25)*Calculateur!DW113*Calculateur!DY113*VLOOKUP('Données projet'!$B$14,Paramètres!$A$1:$I$89,3,0)*0.475*44/12</f>
        <v>4.2177532875005506</v>
      </c>
      <c r="EC113" s="21">
        <f>EXP(-LN(2)/2)*EC112+(1-EXP(-LN(2)/2))/(LN(2)/2)*DW113*DZ113*VLOOKUP('Données projet'!$B$14,Paramètres!$A$1:$I$89,3,0)*0.475*44/12</f>
        <v>3.3170991951041374E-11</v>
      </c>
      <c r="ED113" s="22">
        <f t="shared" si="72"/>
        <v>6.5597825855052401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68.978869702006406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>
        <f>VLOOKUP(A113,'Données projet'!$A$191:$I$211,2,0)</f>
        <v>305</v>
      </c>
      <c r="EH113" s="12">
        <f>VLOOKUP(A113,'Données projet'!$A$191:$I$211,9,0)</f>
        <v>4.4000000000000004</v>
      </c>
      <c r="EI113" s="12">
        <f t="array" ref="EI113">INDEX(EH:EH,MIN(IF(ISNUMBER(EH113:EH309),ROW(EH113:EH309),"")))</f>
        <v>4.4000000000000004</v>
      </c>
      <c r="EJ113" s="12">
        <f>IF('Données projet'!$A$192&gt;35,EJ112+EI113-ER112,IF(A113&lt;'Données projet'!$A$192,$EG$205^A113,IF(A113='Données projet'!$A$192,'Données projet'!$B$192,EJ112+EI113-ER112)))</f>
        <v>305</v>
      </c>
      <c r="EK113" s="17">
        <f>EJ113*VLOOKUP('Données projet'!$B$15,Paramètres!$A$1:$I$89,3,0)*VLOOKUP('Données projet'!$B$15,Paramètres!$A$1:$I$89,5,0)</f>
        <v>275.964</v>
      </c>
      <c r="EL113" s="13">
        <f t="shared" si="99"/>
        <v>66.113366665488911</v>
      </c>
      <c r="EM113" s="20">
        <f t="shared" si="73"/>
        <v>595.7847469423931</v>
      </c>
      <c r="EN113" s="59">
        <f t="shared" si="74"/>
        <v>885.37393584974984</v>
      </c>
      <c r="EO113" s="59">
        <f ca="1">AVERAGE(OFFSET($EN$3,0,0,'Données projet'!$E$15+1,1))-AVERAGE(OFFSET($H$3,0,0,'Données projet'!$E$15+1,1))</f>
        <v>398.27843768730202</v>
      </c>
      <c r="EP113" s="59">
        <f t="shared" si="100"/>
        <v>252.3617347568813</v>
      </c>
      <c r="EQ113" s="15">
        <f>IF(ISNA(VLOOKUP(A113,'Données projet'!$A$191:$I$211,3,0)),0,VLOOKUP(A113,'Données projet'!$A$191:$I$211,3,0))</f>
        <v>9</v>
      </c>
      <c r="ER113" s="15">
        <f>IF(ISNA(VLOOKUP(A113,'Données projet'!$A$191:$I$211,4,0)),0,VLOOKUP(A113,'Données projet'!$A$191:$I$211,4,0))</f>
        <v>39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0</v>
      </c>
      <c r="EW113" s="21">
        <f>EXP(-LN(2)/25)*EW112+(1-EXP(-LN(2)/25))/(LN(2)/25)*Calculateur!ER113*Calculateur!ET113*VLOOKUP('Données projet'!$B$15,Paramètres!$A$1:$I$89,3,0)*0.475*44/12</f>
        <v>0.33798452820300356</v>
      </c>
      <c r="EX113" s="21">
        <f>EXP(-LN(2)/2)*EX112+(1-EXP(-LN(2)/2))/(LN(2)/2)*ER113*EU113*VLOOKUP('Données projet'!$B$15,Paramètres!$A$1:$I$89,3,0)*0.475*44/12</f>
        <v>5.6291790810322957E-12</v>
      </c>
      <c r="EY113" s="22">
        <f t="shared" si="75"/>
        <v>0.33798452820863273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68.978869702006406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>
        <f>VLOOKUP(A113,'Données projet'!$A$217:$I$237,2,0)</f>
        <v>305</v>
      </c>
      <c r="FC113" s="12">
        <f>VLOOKUP(A113,'Données projet'!$A$217:$I$237,9,0)</f>
        <v>4.4000000000000004</v>
      </c>
      <c r="FD113" s="12">
        <f t="array" ref="FD113">INDEX(FC:FC,MIN(IF(ISNUMBER(FC113:FC309),ROW(FC113:FC309),"")))</f>
        <v>4.4000000000000004</v>
      </c>
      <c r="FE113" s="12">
        <f>IF('Données projet'!$A$218&gt;35,FE112+FD113-FM112,IF(A113&lt;'Données projet'!$A$218,$FB$205^A113,IF(A113='Données projet'!$A$218,'Données projet'!$B$218,FE112+FD113-FM112)))</f>
        <v>305</v>
      </c>
      <c r="FF113" s="17">
        <f>FE113*VLOOKUP('Données projet'!$B$16,Paramètres!$A$1:$I$89,3,0)*VLOOKUP('Données projet'!$B$16,Paramètres!$A$1:$I$89,5,0)</f>
        <v>294.99599999999998</v>
      </c>
      <c r="FG113" s="13">
        <f t="shared" si="101"/>
        <v>70.126408118585388</v>
      </c>
      <c r="FH113" s="20">
        <f t="shared" si="76"/>
        <v>635.9215274732029</v>
      </c>
      <c r="FI113" s="59">
        <f t="shared" si="77"/>
        <v>925.51071638055964</v>
      </c>
      <c r="FJ113" s="59">
        <f ca="1">AVERAGE(OFFSET($FI$3,0,0,'Données projet'!$E$16+1,1))-AVERAGE(OFFSET($H$3,0,0,'Données projet'!$E$16+1,1))</f>
        <v>422.28024471365825</v>
      </c>
      <c r="FK113" s="59">
        <f t="shared" si="102"/>
        <v>266.49730479813206</v>
      </c>
      <c r="FL113" s="15">
        <f>IF(ISNA(VLOOKUP(A113,'Données projet'!$A$217:$I$237,3,0)),0,VLOOKUP(A113,'Données projet'!$A$217:$I$237,3,0))</f>
        <v>9</v>
      </c>
      <c r="FM113" s="15">
        <f>IF(ISNA(VLOOKUP(A113,'Données projet'!$A$217:$I$237,4,0)),0,VLOOKUP(A113,'Données projet'!$A$217:$I$237,4,0))</f>
        <v>39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0</v>
      </c>
      <c r="FR113" s="21">
        <f>EXP(-LN(2)/25)*FR112+(1-EXP(-LN(2)/25))/(LN(2)/25)*Calculateur!FM113*Calculateur!FO113*VLOOKUP('Données projet'!$B$16,Paramètres!$A$1:$I$89,3,0)*0.475*44/12</f>
        <v>0.36129380601010708</v>
      </c>
      <c r="FS113" s="21">
        <f>EXP(-LN(2)/2)*FS112+(1-EXP(-LN(2)/2))/(LN(2)/2)*FM113*FP113*VLOOKUP('Données projet'!$B$16,Paramètres!$A$1:$I$89,3,0)*0.475*44/12</f>
        <v>6.0173983280000391E-12</v>
      </c>
      <c r="FT113" s="22">
        <f t="shared" si="78"/>
        <v>0.36129380601612449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68.978869702006406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3.4106051316484809E-13</v>
      </c>
      <c r="GA113" s="17">
        <f>FZ113*VLOOKUP('Données projet'!$B$17,Paramètres!$A$1:$I$89,3,0)*VLOOKUP('Données projet'!$B$17,Paramètres!$A$1:$I$89,5,0)</f>
        <v>2.6602720026858149E-13</v>
      </c>
      <c r="GB113" s="13">
        <f t="shared" si="103"/>
        <v>3.5662905043956649E-12</v>
      </c>
      <c r="GC113" s="20">
        <f t="shared" si="79"/>
        <v>6.6746200022902298E-12</v>
      </c>
      <c r="GD113" s="59">
        <f t="shared" si="80"/>
        <v>289.58918890736345</v>
      </c>
      <c r="GE113" s="59">
        <f ca="1">AVERAGE(OFFSET($GD$3,0,0,'Données projet'!$E$17+1,1))-AVERAGE(OFFSET($H$3,0,0,'Données projet'!$E$17+1,1))</f>
        <v>300.95722646933314</v>
      </c>
      <c r="GF113" s="59">
        <f t="shared" si="104"/>
        <v>269.52365224623759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>
        <f>EXP(-LN(2)/35)*GL112+(1-EXP(-LN(2)/35))/(LN(2)/35)*GH113*GI113*VLOOKUP('Données projet'!$B$17,Paramètres!$A$1:$I$89,3,0)*0.475*44/12</f>
        <v>0.18249578945232581</v>
      </c>
      <c r="GM113" s="21">
        <f>EXP(-LN(2)/25)*GM112+(1-EXP(-LN(2)/25))/(LN(2)/25)*Calculateur!GH113*Calculateur!GJ113*VLOOKUP('Données projet'!$B$17,Paramètres!$A$1:$I$89,3,0)*0.475*44/12</f>
        <v>0.67893712895124059</v>
      </c>
      <c r="GN113" s="21">
        <f>EXP(-LN(2)/2)*GN112+(1-EXP(-LN(2)/2))/(LN(2)/2)*GH113*GK113*VLOOKUP('Données projet'!$B$17,Paramètres!$A$1:$I$89,3,0)*0.475*44/12</f>
        <v>8.0571804757899778E-12</v>
      </c>
      <c r="GO113" s="21">
        <f t="shared" si="81"/>
        <v>0.86143291841162362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68.978869702006406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1.4000000000000001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5.1333333333333337</v>
      </c>
      <c r="H114" s="67">
        <f t="shared" si="56"/>
        <v>236.13333333333335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68.996584029771256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4.5</v>
      </c>
      <c r="N114" s="13">
        <f>IF('Données projet'!$A$36&gt;35,N113+M114-V113,IF(A114&lt;'Données projet'!$A$36,$K$205^A114,IF(A114='Données projet'!$A$36,'Données projet'!$B$36,N113+M114-V113)))</f>
        <v>311.49999999999966</v>
      </c>
      <c r="O114" s="13">
        <f>N114*VLOOKUP('Données projet'!$B$9,Paramètres!$A$1:$I$89,3,0)*VLOOKUP('Données projet'!$B$9,Paramètres!$A$1:$I$89,5,0)</f>
        <v>281.84519999999969</v>
      </c>
      <c r="P114" s="13">
        <f t="shared" si="87"/>
        <v>67.356803491560427</v>
      </c>
      <c r="Q114" s="20">
        <f t="shared" si="107"/>
        <v>608.19348941446708</v>
      </c>
      <c r="R114" s="59">
        <f t="shared" si="55"/>
        <v>897.8476308569617</v>
      </c>
      <c r="S114" s="59">
        <f ca="1">AVERAGE(OFFSET($R$3,0,0,'Données projet'!$E$9+1,1))-AVERAGE(OFFSET($H$3,0,0,'Données projet'!$E$9+1,1))</f>
        <v>479.46542424895119</v>
      </c>
      <c r="T114" s="59">
        <f t="shared" si="88"/>
        <v>337.96395820277337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0.48426910855358724</v>
      </c>
      <c r="AA114" s="21">
        <f>EXP(-LN(2)/25)*AA113+(1-EXP(-LN(2)/25))/(LN(2)/25)*Calculateur!V114*Calculateur!X114*VLOOKUP('Données projet'!$B$9,Paramètres!$A$1:$I$89,3,0)*0.475*44/12</f>
        <v>1.1942091988586632</v>
      </c>
      <c r="AB114" s="21">
        <f>EXP(-LN(2)/2)*AB113+(1-EXP(-LN(2)/2))/(LN(2)/2)*V114*Y114*VLOOKUP('Données projet'!$B$9,Paramètres!$A$1:$I$89,3,0)*0.475*44/12</f>
        <v>1.3861163634072202E-11</v>
      </c>
      <c r="AC114" s="22">
        <f t="shared" si="57"/>
        <v>1.6784783074261116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68.996584029771256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4.5</v>
      </c>
      <c r="AI114" s="13">
        <f>IF('Données projet'!$A$62&gt;35,AI113+AH114-AQ113,IF(A114&lt;'Données projet'!$A$62,$AF$205^A114,IF(A114='Données projet'!$A$62,'Données projet'!$B$62,AI113+AH114-AQ113)))</f>
        <v>311.49999999999966</v>
      </c>
      <c r="AJ114" s="13">
        <f>AI114*VLOOKUP('Données projet'!$B$10,Paramètres!$A$1:$I$89,3,0)*VLOOKUP('Données projet'!$B$10,Paramètres!$A$1:$I$89,5,0)</f>
        <v>301.28279999999967</v>
      </c>
      <c r="AK114" s="13">
        <f t="shared" si="89"/>
        <v>71.445320809508672</v>
      </c>
      <c r="AL114" s="20">
        <f t="shared" si="58"/>
        <v>649.16814374322701</v>
      </c>
      <c r="AM114" s="59">
        <f t="shared" si="59"/>
        <v>938.82228518572163</v>
      </c>
      <c r="AN114" s="59">
        <f ca="1">AVERAGE(OFFSET($AM$3,0,0,'Données projet'!$E$10+1,1))-AVERAGE(OFFSET($H$3,0,0,'Données projet'!$E$10+1,1))</f>
        <v>508.94560627895089</v>
      </c>
      <c r="AO114" s="59">
        <f t="shared" si="90"/>
        <v>357.86868650263034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0.51766697810900741</v>
      </c>
      <c r="AV114" s="21">
        <f>EXP(-LN(2)/25)*AV113+(1-EXP(-LN(2)/25))/(LN(2)/25)*Calculateur!AQ114*Calculateur!AS114*VLOOKUP('Données projet'!$B$10,Paramètres!$A$1:$I$89,3,0)*0.475*44/12</f>
        <v>1.2765684539523641</v>
      </c>
      <c r="AW114" s="21">
        <f>EXP(-LN(2)/2)*AW113+(1-EXP(-LN(2)/2))/(LN(2)/2)*AQ114*AT114*VLOOKUP('Données projet'!$B$10,Paramètres!$A$1:$I$89,3,0)*0.475*44/12</f>
        <v>1.481710595366332E-11</v>
      </c>
      <c r="AX114" s="21">
        <f t="shared" si="60"/>
        <v>1.7942354320761886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68.996584029771256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1.7053025658242404E-13</v>
      </c>
      <c r="BE114" s="13">
        <f>BD114*VLOOKUP('Données projet'!$B$11,Paramètres!$A$1:$I$89,3,0)*VLOOKUP('Données projet'!$B$11,Paramètres!$A$1:$I$89,5,0)</f>
        <v>1.3301360013429075E-13</v>
      </c>
      <c r="BF114" s="13">
        <f t="shared" si="91"/>
        <v>1.9329766731057041E-12</v>
      </c>
      <c r="BG114" s="20">
        <f t="shared" si="61"/>
        <v>3.5982663925596575E-12</v>
      </c>
      <c r="BH114" s="59">
        <f t="shared" si="62"/>
        <v>289.6541414424982</v>
      </c>
      <c r="BI114" s="59">
        <f ca="1">AVERAGE(OFFSET($BH$3,0,0,'Données projet'!$E$11+1,1))-AVERAGE(OFFSET($H$3,0,0,'Données projet'!$E$11+1,1))</f>
        <v>383.03154033422328</v>
      </c>
      <c r="BJ114" s="59">
        <f t="shared" si="92"/>
        <v>373.27897156169877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0.29074038229048499</v>
      </c>
      <c r="BQ114" s="21">
        <f>EXP(-LN(2)/25)*BQ113+(1-EXP(-LN(2)/25))/(LN(2)/25)*Calculateur!BL114*Calculateur!BN114*VLOOKUP('Données projet'!$B$11,Paramètres!$A$1:$I$89,3,0)*0.475*44/12</f>
        <v>0.88598375799829931</v>
      </c>
      <c r="BR114" s="21">
        <f>EXP(-LN(2)/2)*BR113+(1-EXP(-LN(2)/2))/(LN(2)/2)*BL114*BO114*VLOOKUP('Données projet'!$B$11,Paramètres!$A$1:$I$89,3,0)*0.475*44/12</f>
        <v>8.4062046252575865E-12</v>
      </c>
      <c r="BS114" s="22">
        <f t="shared" si="63"/>
        <v>1.1767241402971904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68.996584029771256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4.5</v>
      </c>
      <c r="BY114" s="12">
        <f>IF('Données projet'!$A$114&gt;35,BY113+BX114-CG113,IF(A114&lt;'Données projet'!$A$114,$BV$205^A114,IF(A114='Données projet'!$A$114,'Données projet'!$B$114,BY113+BX114-CG113)))</f>
        <v>311.49999999999966</v>
      </c>
      <c r="BZ114" s="13">
        <f>BY114*VLOOKUP('Données projet'!$B$12,Paramètres!$A$1:$I$89,3,0)*VLOOKUP('Données projet'!$B$12,Paramètres!$A$1:$I$89,5,0)</f>
        <v>262.40759999999977</v>
      </c>
      <c r="CA114" s="13">
        <f t="shared" si="93"/>
        <v>63.235305349754363</v>
      </c>
      <c r="CB114" s="20">
        <f t="shared" si="64"/>
        <v>567.16139348415504</v>
      </c>
      <c r="CC114" s="59">
        <f t="shared" si="65"/>
        <v>856.81553492664966</v>
      </c>
      <c r="CD114" s="59">
        <f ca="1">AVERAGE(OFFSET($CC$3,0,0,'Données projet'!$E$12+1,1))-AVERAGE(OFFSET($H$3,0,0,'Données projet'!$E$12+1,1))</f>
        <v>449.94334483948603</v>
      </c>
      <c r="CE114" s="59">
        <f t="shared" si="94"/>
        <v>318.02929110264176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0.45087123899816756</v>
      </c>
      <c r="CL114" s="21">
        <f>EXP(-LN(2)/25)*CL113+(1-EXP(-LN(2)/25))/(LN(2)/25)*Calculateur!CG114*Calculateur!CI114*VLOOKUP('Données projet'!$B$12,Paramètres!$A$1:$I$89,3,0)*0.475*44/12</f>
        <v>1.1118499437649623</v>
      </c>
      <c r="CM114" s="21">
        <f>EXP(-LN(2)/2)*CM113+(1-EXP(-LN(2)/2))/(LN(2)/2)*CG114*CJ114*VLOOKUP('Données projet'!$B$12,Paramètres!$A$1:$I$89,3,0)*0.475*44/12</f>
        <v>1.2905221314480969E-11</v>
      </c>
      <c r="CN114" s="22">
        <f t="shared" si="66"/>
        <v>1.562721182776035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68.996584029771256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5.8</v>
      </c>
      <c r="CT114" s="12">
        <f>IF('Données projet'!$A$140&gt;35,CT113+CS114-DB113,IF(A114&lt;'Données projet'!$A$140,$CQ$205^A114,IF(A114='Données projet'!$A$140,'Données projet'!$B$140,CT113+CS114-DB113)))</f>
        <v>401.80000000000013</v>
      </c>
      <c r="CU114" s="17">
        <f>CT114*VLOOKUP('Données projet'!$B$13,Paramètres!$A$1:$I$89,3,0)*VLOOKUP('Données projet'!$B$13,Paramètres!$A$1:$I$89,5,0)</f>
        <v>344.74440000000016</v>
      </c>
      <c r="CV114" s="13">
        <f t="shared" si="95"/>
        <v>80.47937753557926</v>
      </c>
      <c r="CW114" s="20">
        <f t="shared" si="67"/>
        <v>740.59807920780077</v>
      </c>
      <c r="CX114" s="59">
        <f t="shared" si="68"/>
        <v>1030.2522206502954</v>
      </c>
      <c r="CY114" s="59">
        <f ca="1">AVERAGE(OFFSET($CX$3,0,0,'Données projet'!$E$13+1,1))-AVERAGE(OFFSET($H$3,0,0,'Données projet'!$E$13+1,1))</f>
        <v>565.32667500225568</v>
      </c>
      <c r="CZ114" s="59">
        <f t="shared" si="96"/>
        <v>275.06957234480944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0</v>
      </c>
      <c r="DG114" s="21">
        <f>EXP(-LN(2)/25)*DG113+(1-EXP(-LN(2)/25))/(LN(2)/25)*Calculateur!DB114*Calculateur!DD114*VLOOKUP('Données projet'!$B$13,Paramètres!$A$1:$I$89,3,0)*0.475*44/12</f>
        <v>0.46373275939004438</v>
      </c>
      <c r="DH114" s="21">
        <f>EXP(-LN(2)/2)*DH113+(1-EXP(-LN(2)/2))/(LN(2)/2)*DB114*DE114*VLOOKUP('Données projet'!$B$13,Paramètres!$A$1:$I$89,3,0)*0.475*44/12</f>
        <v>4.5554869791138138E-12</v>
      </c>
      <c r="DI114" s="22">
        <f t="shared" si="69"/>
        <v>0.46373275939459985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68.996584029771256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-1.2505552149377763E-12</v>
      </c>
      <c r="DP114" s="17">
        <f>DO114*VLOOKUP('Données projet'!$B$14,Paramètres!$A$1:$I$89,3,0)*VLOOKUP('Données projet'!$B$14,Paramètres!$A$1:$I$89,5,0)</f>
        <v>-6.9906036515021697E-13</v>
      </c>
      <c r="DQ114" s="13" t="e">
        <f t="shared" si="97"/>
        <v>#NUM!</v>
      </c>
      <c r="DR114" s="20" t="e">
        <f t="shared" si="70"/>
        <v>#NUM!</v>
      </c>
      <c r="DS114" s="59" t="e">
        <f t="shared" si="71"/>
        <v>#NUM!</v>
      </c>
      <c r="DT114" s="59">
        <f ca="1">AVERAGE(OFFSET($DS$3,0,0,'Données projet'!$E$14+1,1))-AVERAGE(OFFSET($H$3,0,0,'Données projet'!$E$14+1,1))</f>
        <v>532.64469322244281</v>
      </c>
      <c r="DU114" s="59">
        <f t="shared" si="98"/>
        <v>525.88014011096413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2.2961035319351164</v>
      </c>
      <c r="EB114" s="21">
        <f>EXP(-LN(2)/25)*EB113+(1-EXP(-LN(2)/25))/(LN(2)/25)*Calculateur!DW114*Calculateur!DY114*VLOOKUP('Données projet'!$B$14,Paramètres!$A$1:$I$89,3,0)*0.475*44/12</f>
        <v>4.1024186020518423</v>
      </c>
      <c r="EC114" s="21">
        <f>EXP(-LN(2)/2)*EC113+(1-EXP(-LN(2)/2))/(LN(2)/2)*DW114*DZ114*VLOOKUP('Données projet'!$B$14,Paramètres!$A$1:$I$89,3,0)*0.475*44/12</f>
        <v>2.3455433347265743E-11</v>
      </c>
      <c r="ED114" s="22">
        <f t="shared" si="72"/>
        <v>6.3985221340104133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68.996584029771256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3.7</v>
      </c>
      <c r="EJ114" s="12">
        <f>IF('Données projet'!$A$192&gt;35,EJ113+EI114-ER113,IF(A114&lt;'Données projet'!$A$192,$EG$205^A114,IF(A114='Données projet'!$A$192,'Données projet'!$B$192,EJ113+EI114-ER113)))</f>
        <v>269.7</v>
      </c>
      <c r="EK114" s="17">
        <f>EJ114*VLOOKUP('Données projet'!$B$15,Paramètres!$A$1:$I$89,3,0)*VLOOKUP('Données projet'!$B$15,Paramètres!$A$1:$I$89,5,0)</f>
        <v>244.02455999999998</v>
      </c>
      <c r="EL114" s="13">
        <f t="shared" si="99"/>
        <v>59.304594314969279</v>
      </c>
      <c r="EM114" s="20">
        <f t="shared" si="73"/>
        <v>528.29827709857148</v>
      </c>
      <c r="EN114" s="59">
        <f t="shared" si="74"/>
        <v>817.95241854106609</v>
      </c>
      <c r="EO114" s="59">
        <f ca="1">AVERAGE(OFFSET($EN$3,0,0,'Données projet'!$E$15+1,1))-AVERAGE(OFFSET($H$3,0,0,'Données projet'!$E$15+1,1))</f>
        <v>398.27843768730202</v>
      </c>
      <c r="EP114" s="59">
        <f t="shared" si="100"/>
        <v>252.3617347568813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0</v>
      </c>
      <c r="EW114" s="21">
        <f>EXP(-LN(2)/25)*EW113+(1-EXP(-LN(2)/25))/(LN(2)/25)*Calculateur!ER114*Calculateur!ET114*VLOOKUP('Données projet'!$B$15,Paramètres!$A$1:$I$89,3,0)*0.475*44/12</f>
        <v>0.32874232350545857</v>
      </c>
      <c r="EX114" s="21">
        <f>EXP(-LN(2)/2)*EX113+(1-EXP(-LN(2)/2))/(LN(2)/2)*ER114*EU114*VLOOKUP('Données projet'!$B$15,Paramètres!$A$1:$I$89,3,0)*0.475*44/12</f>
        <v>3.9804307007113941E-12</v>
      </c>
      <c r="EY114" s="22">
        <f t="shared" si="75"/>
        <v>0.32874232350943899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68.996584029771256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3.7</v>
      </c>
      <c r="FE114" s="12">
        <f>IF('Données projet'!$A$218&gt;35,FE113+FD114-FM113,IF(A114&lt;'Données projet'!$A$218,$FB$205^A114,IF(A114='Données projet'!$A$218,'Données projet'!$B$218,FE113+FD114-FM113)))</f>
        <v>269.7</v>
      </c>
      <c r="FF114" s="17">
        <f>FE114*VLOOKUP('Données projet'!$B$16,Paramètres!$A$1:$I$89,3,0)*VLOOKUP('Données projet'!$B$16,Paramètres!$A$1:$I$89,5,0)</f>
        <v>260.85383999999999</v>
      </c>
      <c r="FG114" s="13">
        <f t="shared" si="101"/>
        <v>62.904347395903763</v>
      </c>
      <c r="FH114" s="20">
        <f t="shared" si="76"/>
        <v>563.87884304786564</v>
      </c>
      <c r="FI114" s="59">
        <f t="shared" si="77"/>
        <v>853.53298449036026</v>
      </c>
      <c r="FJ114" s="59">
        <f ca="1">AVERAGE(OFFSET($FI$3,0,0,'Données projet'!$E$16+1,1))-AVERAGE(OFFSET($H$3,0,0,'Données projet'!$E$16+1,1))</f>
        <v>422.28024471365825</v>
      </c>
      <c r="FK114" s="59">
        <f t="shared" si="102"/>
        <v>266.49730479813206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0</v>
      </c>
      <c r="FR114" s="21">
        <f>EXP(-LN(2)/25)*FR113+(1-EXP(-LN(2)/25))/(LN(2)/25)*Calculateur!FM114*Calculateur!FO114*VLOOKUP('Données projet'!$B$16,Paramètres!$A$1:$I$89,3,0)*0.475*44/12</f>
        <v>0.35141420788514521</v>
      </c>
      <c r="FS114" s="21">
        <f>EXP(-LN(2)/2)*FS113+(1-EXP(-LN(2)/2))/(LN(2)/2)*FM114*FP114*VLOOKUP('Données projet'!$B$16,Paramètres!$A$1:$I$89,3,0)*0.475*44/12</f>
        <v>4.2549431628294205E-12</v>
      </c>
      <c r="FT114" s="22">
        <f t="shared" si="78"/>
        <v>0.35141420788940014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68.996584029771256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3.4106051316484809E-13</v>
      </c>
      <c r="GA114" s="17">
        <f>FZ114*VLOOKUP('Données projet'!$B$17,Paramètres!$A$1:$I$89,3,0)*VLOOKUP('Données projet'!$B$17,Paramètres!$A$1:$I$89,5,0)</f>
        <v>2.6602720026858149E-13</v>
      </c>
      <c r="GB114" s="13">
        <f t="shared" si="103"/>
        <v>3.5662905043956649E-12</v>
      </c>
      <c r="GC114" s="20">
        <f t="shared" si="79"/>
        <v>6.6746200022902298E-12</v>
      </c>
      <c r="GD114" s="59">
        <f t="shared" si="80"/>
        <v>289.65414144250127</v>
      </c>
      <c r="GE114" s="59">
        <f ca="1">AVERAGE(OFFSET($GD$3,0,0,'Données projet'!$E$17+1,1))-AVERAGE(OFFSET($H$3,0,0,'Données projet'!$E$17+1,1))</f>
        <v>300.95722646933314</v>
      </c>
      <c r="GF114" s="59">
        <f t="shared" si="104"/>
        <v>269.52365224623759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>
        <f>EXP(-LN(2)/35)*GL113+(1-EXP(-LN(2)/35))/(LN(2)/35)*GH114*GI114*VLOOKUP('Données projet'!$B$17,Paramètres!$A$1:$I$89,3,0)*0.475*44/12</f>
        <v>0.17891715833260619</v>
      </c>
      <c r="GM114" s="21">
        <f>EXP(-LN(2)/25)*GM113+(1-EXP(-LN(2)/25))/(LN(2)/25)*Calculateur!GH114*Calculateur!GJ114*VLOOKUP('Données projet'!$B$17,Paramètres!$A$1:$I$89,3,0)*0.475*44/12</f>
        <v>0.66037155745631704</v>
      </c>
      <c r="GN114" s="21">
        <f>EXP(-LN(2)/2)*GN113+(1-EXP(-LN(2)/2))/(LN(2)/2)*GH114*GK114*VLOOKUP('Données projet'!$B$17,Paramètres!$A$1:$I$89,3,0)*0.475*44/12</f>
        <v>5.6972869516749467E-12</v>
      </c>
      <c r="GO114" s="21">
        <f t="shared" si="81"/>
        <v>0.83928871579462061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68.996584029771256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1.4000000000000001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5.1333333333333337</v>
      </c>
      <c r="H115" s="67">
        <f t="shared" si="56"/>
        <v>236.13333333333335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69.013991053552687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4.5</v>
      </c>
      <c r="N115" s="13">
        <f>IF('Données projet'!$A$36&gt;35,N114+M115-V114,IF(A115&lt;'Données projet'!$A$36,$K$205^A115,IF(A115='Données projet'!$A$36,'Données projet'!$B$36,N114+M115-V114)))</f>
        <v>315.99999999999966</v>
      </c>
      <c r="O115" s="13">
        <f>N115*VLOOKUP('Données projet'!$B$9,Paramètres!$A$1:$I$89,3,0)*VLOOKUP('Données projet'!$B$9,Paramètres!$A$1:$I$89,5,0)</f>
        <v>285.91679999999968</v>
      </c>
      <c r="P115" s="13">
        <f t="shared" si="87"/>
        <v>68.215872977287475</v>
      </c>
      <c r="Q115" s="20">
        <f t="shared" si="107"/>
        <v>616.7810721021084</v>
      </c>
      <c r="R115" s="59">
        <f t="shared" si="55"/>
        <v>906.49903929846823</v>
      </c>
      <c r="S115" s="59">
        <f ca="1">AVERAGE(OFFSET($R$3,0,0,'Données projet'!$E$9+1,1))-AVERAGE(OFFSET($H$3,0,0,'Données projet'!$E$9+1,1))</f>
        <v>479.46542424895119</v>
      </c>
      <c r="T115" s="59">
        <f t="shared" si="88"/>
        <v>337.96395820277337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0.47477288670984175</v>
      </c>
      <c r="AA115" s="21">
        <f>EXP(-LN(2)/25)*AA114+(1-EXP(-LN(2)/25))/(LN(2)/25)*Calculateur!V115*Calculateur!X115*VLOOKUP('Données projet'!$B$9,Paramètres!$A$1:$I$89,3,0)*0.475*44/12</f>
        <v>1.1615534855151406</v>
      </c>
      <c r="AB115" s="21">
        <f>EXP(-LN(2)/2)*AB114+(1-EXP(-LN(2)/2))/(LN(2)/2)*V115*Y115*VLOOKUP('Données projet'!$B$9,Paramètres!$A$1:$I$89,3,0)*0.475*44/12</f>
        <v>9.8013228007888222E-12</v>
      </c>
      <c r="AC115" s="22">
        <f t="shared" si="57"/>
        <v>1.6363263722347836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69.013991053552687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4.5</v>
      </c>
      <c r="AI115" s="13">
        <f>IF('Données projet'!$A$62&gt;35,AI114+AH115-AQ114,IF(A115&lt;'Données projet'!$A$62,$AF$205^A115,IF(A115='Données projet'!$A$62,'Données projet'!$B$62,AI114+AH115-AQ114)))</f>
        <v>315.99999999999966</v>
      </c>
      <c r="AJ115" s="13">
        <f>AI115*VLOOKUP('Données projet'!$B$10,Paramètres!$A$1:$I$89,3,0)*VLOOKUP('Données projet'!$B$10,Paramètres!$A$1:$I$89,5,0)</f>
        <v>305.63519999999966</v>
      </c>
      <c r="AK115" s="13">
        <f t="shared" si="89"/>
        <v>72.356535294517755</v>
      </c>
      <c r="AL115" s="20">
        <f t="shared" si="58"/>
        <v>658.33560563795118</v>
      </c>
      <c r="AM115" s="59">
        <f t="shared" si="59"/>
        <v>948.05357283431101</v>
      </c>
      <c r="AN115" s="59">
        <f ca="1">AVERAGE(OFFSET($AM$3,0,0,'Données projet'!$E$10+1,1))-AVERAGE(OFFSET($H$3,0,0,'Données projet'!$E$10+1,1))</f>
        <v>508.94560627895089</v>
      </c>
      <c r="AO115" s="59">
        <f t="shared" si="90"/>
        <v>357.86868650263034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0.50751584441396913</v>
      </c>
      <c r="AV115" s="21">
        <f>EXP(-LN(2)/25)*AV114+(1-EXP(-LN(2)/25))/(LN(2)/25)*Calculateur!AQ115*Calculateur!AS115*VLOOKUP('Données projet'!$B$10,Paramètres!$A$1:$I$89,3,0)*0.475*44/12</f>
        <v>1.2416606224472193</v>
      </c>
      <c r="AW115" s="21">
        <f>EXP(-LN(2)/2)*AW114+(1-EXP(-LN(2)/2))/(LN(2)/2)*AQ115*AT115*VLOOKUP('Données projet'!$B$10,Paramètres!$A$1:$I$89,3,0)*0.475*44/12</f>
        <v>1.04772760973949E-11</v>
      </c>
      <c r="AX115" s="21">
        <f t="shared" si="60"/>
        <v>1.7491764668716656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69.013991053552687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1.7053025658242404E-13</v>
      </c>
      <c r="BE115" s="13">
        <f>BD115*VLOOKUP('Données projet'!$B$11,Paramètres!$A$1:$I$89,3,0)*VLOOKUP('Données projet'!$B$11,Paramètres!$A$1:$I$89,5,0)</f>
        <v>1.3301360013429075E-13</v>
      </c>
      <c r="BF115" s="13">
        <f t="shared" si="91"/>
        <v>1.9329766731057041E-12</v>
      </c>
      <c r="BG115" s="20">
        <f t="shared" si="61"/>
        <v>3.5982663925596575E-12</v>
      </c>
      <c r="BH115" s="59">
        <f t="shared" si="62"/>
        <v>289.71796719636342</v>
      </c>
      <c r="BI115" s="59">
        <f ca="1">AVERAGE(OFFSET($BH$3,0,0,'Données projet'!$E$11+1,1))-AVERAGE(OFFSET($H$3,0,0,'Données projet'!$E$11+1,1))</f>
        <v>383.03154033422328</v>
      </c>
      <c r="BJ115" s="59">
        <f t="shared" si="92"/>
        <v>373.27897156169877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0.28503914072789149</v>
      </c>
      <c r="BQ115" s="21">
        <f>EXP(-LN(2)/25)*BQ114+(1-EXP(-LN(2)/25))/(LN(2)/25)*Calculateur!BL115*Calculateur!BN115*VLOOKUP('Données projet'!$B$11,Paramètres!$A$1:$I$89,3,0)*0.475*44/12</f>
        <v>0.86175648554397488</v>
      </c>
      <c r="BR115" s="21">
        <f>EXP(-LN(2)/2)*BR114+(1-EXP(-LN(2)/2))/(LN(2)/2)*BL115*BO115*VLOOKUP('Données projet'!$B$11,Paramètres!$A$1:$I$89,3,0)*0.475*44/12</f>
        <v>5.9440842945613601E-12</v>
      </c>
      <c r="BS115" s="22">
        <f t="shared" si="63"/>
        <v>1.1467956262778105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69.013991053552687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4.5</v>
      </c>
      <c r="BY115" s="12">
        <f>IF('Données projet'!$A$114&gt;35,BY114+BX115-CG114,IF(A115&lt;'Données projet'!$A$114,$BV$205^A115,IF(A115='Données projet'!$A$114,'Données projet'!$B$114,BY114+BX115-CG114)))</f>
        <v>315.99999999999966</v>
      </c>
      <c r="BZ115" s="13">
        <f>BY115*VLOOKUP('Données projet'!$B$12,Paramètres!$A$1:$I$89,3,0)*VLOOKUP('Données projet'!$B$12,Paramètres!$A$1:$I$89,5,0)</f>
        <v>266.19839999999971</v>
      </c>
      <c r="CA115" s="13">
        <f t="shared" si="93"/>
        <v>64.041809198373159</v>
      </c>
      <c r="CB115" s="20">
        <f t="shared" si="64"/>
        <v>575.16836435383277</v>
      </c>
      <c r="CC115" s="59">
        <f t="shared" si="65"/>
        <v>864.88633155019261</v>
      </c>
      <c r="CD115" s="59">
        <f ca="1">AVERAGE(OFFSET($CC$3,0,0,'Données projet'!$E$12+1,1))-AVERAGE(OFFSET($H$3,0,0,'Données projet'!$E$12+1,1))</f>
        <v>449.94334483948603</v>
      </c>
      <c r="CE115" s="59">
        <f t="shared" si="94"/>
        <v>318.02929110264176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0.44202992900571486</v>
      </c>
      <c r="CL115" s="21">
        <f>EXP(-LN(2)/25)*CL114+(1-EXP(-LN(2)/25))/(LN(2)/25)*Calculateur!CG115*Calculateur!CI115*VLOOKUP('Données projet'!$B$12,Paramètres!$A$1:$I$89,3,0)*0.475*44/12</f>
        <v>1.0814463485830621</v>
      </c>
      <c r="CM115" s="21">
        <f>EXP(-LN(2)/2)*CM114+(1-EXP(-LN(2)/2))/(LN(2)/2)*CG115*CJ115*VLOOKUP('Données projet'!$B$12,Paramètres!$A$1:$I$89,3,0)*0.475*44/12</f>
        <v>9.1253695041826638E-12</v>
      </c>
      <c r="CN115" s="22">
        <f t="shared" si="66"/>
        <v>1.5234762775979023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69.013991053552687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5.8</v>
      </c>
      <c r="CT115" s="12">
        <f>IF('Données projet'!$A$140&gt;35,CT114+CS115-DB114,IF(A115&lt;'Données projet'!$A$140,$CQ$205^A115,IF(A115='Données projet'!$A$140,'Données projet'!$B$140,CT114+CS115-DB114)))</f>
        <v>407.60000000000014</v>
      </c>
      <c r="CU115" s="17">
        <f>CT115*VLOOKUP('Données projet'!$B$13,Paramètres!$A$1:$I$89,3,0)*VLOOKUP('Données projet'!$B$13,Paramètres!$A$1:$I$89,5,0)</f>
        <v>349.72080000000017</v>
      </c>
      <c r="CV115" s="13">
        <f t="shared" si="95"/>
        <v>81.505018388531823</v>
      </c>
      <c r="CW115" s="20">
        <f t="shared" si="67"/>
        <v>751.0516336933598</v>
      </c>
      <c r="CX115" s="59">
        <f t="shared" si="68"/>
        <v>1040.7696008897196</v>
      </c>
      <c r="CY115" s="59">
        <f ca="1">AVERAGE(OFFSET($CX$3,0,0,'Données projet'!$E$13+1,1))-AVERAGE(OFFSET($H$3,0,0,'Données projet'!$E$13+1,1))</f>
        <v>565.32667500225568</v>
      </c>
      <c r="CZ115" s="59">
        <f t="shared" si="96"/>
        <v>275.06957234480944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0</v>
      </c>
      <c r="DG115" s="21">
        <f>EXP(-LN(2)/25)*DG114+(1-EXP(-LN(2)/25))/(LN(2)/25)*Calculateur!DB115*Calculateur!DD115*VLOOKUP('Données projet'!$B$13,Paramètres!$A$1:$I$89,3,0)*0.475*44/12</f>
        <v>0.45105196269787767</v>
      </c>
      <c r="DH115" s="21">
        <f>EXP(-LN(2)/2)*DH114+(1-EXP(-LN(2)/2))/(LN(2)/2)*DB115*DE115*VLOOKUP('Données projet'!$B$13,Paramètres!$A$1:$I$89,3,0)*0.475*44/12</f>
        <v>3.221215734538398E-12</v>
      </c>
      <c r="DI115" s="22">
        <f t="shared" si="69"/>
        <v>0.45105196270109887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69.013991053552687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-1.2505552149377763E-12</v>
      </c>
      <c r="DP115" s="17">
        <f>DO115*VLOOKUP('Données projet'!$B$14,Paramètres!$A$1:$I$89,3,0)*VLOOKUP('Données projet'!$B$14,Paramètres!$A$1:$I$89,5,0)</f>
        <v>-6.9906036515021697E-13</v>
      </c>
      <c r="DQ115" s="13" t="e">
        <f t="shared" si="97"/>
        <v>#NUM!</v>
      </c>
      <c r="DR115" s="20" t="e">
        <f t="shared" si="70"/>
        <v>#NUM!</v>
      </c>
      <c r="DS115" s="59" t="e">
        <f t="shared" si="71"/>
        <v>#NUM!</v>
      </c>
      <c r="DT115" s="59">
        <f ca="1">AVERAGE(OFFSET($DS$3,0,0,'Données projet'!$E$14+1,1))-AVERAGE(OFFSET($H$3,0,0,'Données projet'!$E$14+1,1))</f>
        <v>532.64469322244281</v>
      </c>
      <c r="DU115" s="59">
        <f t="shared" si="98"/>
        <v>525.88014011096413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2.251078342158737</v>
      </c>
      <c r="EB115" s="21">
        <f>EXP(-LN(2)/25)*EB114+(1-EXP(-LN(2)/25))/(LN(2)/25)*Calculateur!DW115*Calculateur!DY115*VLOOKUP('Données projet'!$B$14,Paramètres!$A$1:$I$89,3,0)*0.475*44/12</f>
        <v>3.9902377496419166</v>
      </c>
      <c r="EC115" s="21">
        <f>EXP(-LN(2)/2)*EC114+(1-EXP(-LN(2)/2))/(LN(2)/2)*DW115*DZ115*VLOOKUP('Données projet'!$B$14,Paramètres!$A$1:$I$89,3,0)*0.475*44/12</f>
        <v>1.6585495975520687E-11</v>
      </c>
      <c r="ED115" s="22">
        <f t="shared" si="72"/>
        <v>6.2413160918172395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69.013991053552687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3.7</v>
      </c>
      <c r="EJ115" s="12">
        <f>IF('Données projet'!$A$192&gt;35,EJ114+EI115-ER114,IF(A115&lt;'Données projet'!$A$192,$EG$205^A115,IF(A115='Données projet'!$A$192,'Données projet'!$B$192,EJ114+EI115-ER114)))</f>
        <v>273.39999999999998</v>
      </c>
      <c r="EK115" s="17">
        <f>EJ115*VLOOKUP('Données projet'!$B$15,Paramètres!$A$1:$I$89,3,0)*VLOOKUP('Données projet'!$B$15,Paramètres!$A$1:$I$89,5,0)</f>
        <v>247.37231999999997</v>
      </c>
      <c r="EL115" s="13">
        <f t="shared" si="99"/>
        <v>60.022917171131049</v>
      </c>
      <c r="EM115" s="20">
        <f t="shared" si="73"/>
        <v>535.38003807305324</v>
      </c>
      <c r="EN115" s="59">
        <f t="shared" si="74"/>
        <v>825.09800526941308</v>
      </c>
      <c r="EO115" s="59">
        <f ca="1">AVERAGE(OFFSET($EN$3,0,0,'Données projet'!$E$15+1,1))-AVERAGE(OFFSET($H$3,0,0,'Données projet'!$E$15+1,1))</f>
        <v>398.27843768730202</v>
      </c>
      <c r="EP115" s="59">
        <f t="shared" si="100"/>
        <v>252.3617347568813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0</v>
      </c>
      <c r="EW115" s="21">
        <f>EXP(-LN(2)/25)*EW114+(1-EXP(-LN(2)/25))/(LN(2)/25)*Calculateur!ER115*Calculateur!ET115*VLOOKUP('Données projet'!$B$15,Paramètres!$A$1:$I$89,3,0)*0.475*44/12</f>
        <v>0.31975284738139437</v>
      </c>
      <c r="EX115" s="21">
        <f>EXP(-LN(2)/2)*EX114+(1-EXP(-LN(2)/2))/(LN(2)/2)*ER115*EU115*VLOOKUP('Données projet'!$B$15,Paramètres!$A$1:$I$89,3,0)*0.475*44/12</f>
        <v>2.8145895405161479E-12</v>
      </c>
      <c r="EY115" s="22">
        <f t="shared" si="75"/>
        <v>0.31975284738420895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69.013991053552687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3.7</v>
      </c>
      <c r="FE115" s="12">
        <f>IF('Données projet'!$A$218&gt;35,FE114+FD115-FM114,IF(A115&lt;'Données projet'!$A$218,$FB$205^A115,IF(A115='Données projet'!$A$218,'Données projet'!$B$218,FE114+FD115-FM114)))</f>
        <v>273.39999999999998</v>
      </c>
      <c r="FF115" s="17">
        <f>FE115*VLOOKUP('Données projet'!$B$16,Paramètres!$A$1:$I$89,3,0)*VLOOKUP('Données projet'!$B$16,Paramètres!$A$1:$I$89,5,0)</f>
        <v>264.43248</v>
      </c>
      <c r="FG115" s="13">
        <f t="shared" si="101"/>
        <v>63.666272015882349</v>
      </c>
      <c r="FH115" s="20">
        <f t="shared" si="76"/>
        <v>571.43865976099494</v>
      </c>
      <c r="FI115" s="59">
        <f t="shared" si="77"/>
        <v>861.15662695735477</v>
      </c>
      <c r="FJ115" s="59">
        <f ca="1">AVERAGE(OFFSET($FI$3,0,0,'Données projet'!$E$16+1,1))-AVERAGE(OFFSET($H$3,0,0,'Données projet'!$E$16+1,1))</f>
        <v>422.28024471365825</v>
      </c>
      <c r="FK115" s="59">
        <f t="shared" si="102"/>
        <v>266.49730479813206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0</v>
      </c>
      <c r="FR115" s="21">
        <f>EXP(-LN(2)/25)*FR114+(1-EXP(-LN(2)/25))/(LN(2)/25)*Calculateur!FM115*Calculateur!FO115*VLOOKUP('Données projet'!$B$16,Paramètres!$A$1:$I$89,3,0)*0.475*44/12</f>
        <v>0.34180476789045589</v>
      </c>
      <c r="FS115" s="21">
        <f>EXP(-LN(2)/2)*FS114+(1-EXP(-LN(2)/2))/(LN(2)/2)*FM115*FP115*VLOOKUP('Données projet'!$B$16,Paramètres!$A$1:$I$89,3,0)*0.475*44/12</f>
        <v>3.0086991640000196E-12</v>
      </c>
      <c r="FT115" s="22">
        <f t="shared" si="78"/>
        <v>0.34180476789346459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69.013991053552687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3.4106051316484809E-13</v>
      </c>
      <c r="GA115" s="17">
        <f>FZ115*VLOOKUP('Données projet'!$B$17,Paramètres!$A$1:$I$89,3,0)*VLOOKUP('Données projet'!$B$17,Paramètres!$A$1:$I$89,5,0)</f>
        <v>2.6602720026858149E-13</v>
      </c>
      <c r="GB115" s="13">
        <f t="shared" si="103"/>
        <v>3.5662905043956649E-12</v>
      </c>
      <c r="GC115" s="20">
        <f t="shared" si="79"/>
        <v>6.6746200022902298E-12</v>
      </c>
      <c r="GD115" s="59">
        <f t="shared" si="80"/>
        <v>289.71796719636649</v>
      </c>
      <c r="GE115" s="59">
        <f ca="1">AVERAGE(OFFSET($GD$3,0,0,'Données projet'!$E$17+1,1))-AVERAGE(OFFSET($H$3,0,0,'Données projet'!$E$17+1,1))</f>
        <v>300.95722646933314</v>
      </c>
      <c r="GF115" s="59">
        <f t="shared" si="104"/>
        <v>269.52365224623759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>
        <f>EXP(-LN(2)/35)*GL114+(1-EXP(-LN(2)/35))/(LN(2)/35)*GH115*GI115*VLOOKUP('Données projet'!$B$17,Paramètres!$A$1:$I$89,3,0)*0.475*44/12</f>
        <v>0.1754087019863948</v>
      </c>
      <c r="GM115" s="21">
        <f>EXP(-LN(2)/25)*GM114+(1-EXP(-LN(2)/25))/(LN(2)/25)*Calculateur!GH115*Calculateur!GJ115*VLOOKUP('Données projet'!$B$17,Paramètres!$A$1:$I$89,3,0)*0.475*44/12</f>
        <v>0.64231366249024313</v>
      </c>
      <c r="GN115" s="21">
        <f>EXP(-LN(2)/2)*GN114+(1-EXP(-LN(2)/2))/(LN(2)/2)*GH115*GK115*VLOOKUP('Données projet'!$B$17,Paramètres!$A$1:$I$89,3,0)*0.475*44/12</f>
        <v>4.0285902378949889E-12</v>
      </c>
      <c r="GO115" s="21">
        <f t="shared" si="81"/>
        <v>0.81772236448066649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69.013991053552687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1.4000000000000001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5.1333333333333337</v>
      </c>
      <c r="H116" s="67">
        <f t="shared" si="56"/>
        <v>236.13333333333335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69.031096104387785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4.5</v>
      </c>
      <c r="N116" s="13">
        <f>IF('Données projet'!$A$36&gt;35,N115+M116-V115,IF(A116&lt;'Données projet'!$A$36,$K$205^A116,IF(A116='Données projet'!$A$36,'Données projet'!$B$36,N115+M116-V115)))</f>
        <v>320.49999999999966</v>
      </c>
      <c r="O116" s="13">
        <f>N116*VLOOKUP('Données projet'!$B$9,Paramètres!$A$1:$I$89,3,0)*VLOOKUP('Données projet'!$B$9,Paramètres!$A$1:$I$89,5,0)</f>
        <v>289.98839999999967</v>
      </c>
      <c r="P116" s="13">
        <f t="shared" si="87"/>
        <v>69.073519602481454</v>
      </c>
      <c r="Q116" s="20">
        <f t="shared" si="107"/>
        <v>625.36617664098787</v>
      </c>
      <c r="R116" s="59">
        <f t="shared" si="55"/>
        <v>915.14686235707643</v>
      </c>
      <c r="S116" s="59">
        <f ca="1">AVERAGE(OFFSET($R$3,0,0,'Données projet'!$E$9+1,1))-AVERAGE(OFFSET($H$3,0,0,'Données projet'!$E$9+1,1))</f>
        <v>479.46542424895119</v>
      </c>
      <c r="T116" s="59">
        <f t="shared" si="88"/>
        <v>337.96395820277337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0.46546287998432873</v>
      </c>
      <c r="AA116" s="21">
        <f>EXP(-LN(2)/25)*AA115+(1-EXP(-LN(2)/25))/(LN(2)/25)*Calculateur!V116*Calculateur!X116*VLOOKUP('Données projet'!$B$9,Paramètres!$A$1:$I$89,3,0)*0.475*44/12</f>
        <v>1.1297907443702859</v>
      </c>
      <c r="AB116" s="21">
        <f>EXP(-LN(2)/2)*AB115+(1-EXP(-LN(2)/2))/(LN(2)/2)*V116*Y116*VLOOKUP('Données projet'!$B$9,Paramètres!$A$1:$I$89,3,0)*0.475*44/12</f>
        <v>6.9305818170361009E-12</v>
      </c>
      <c r="AC116" s="22">
        <f t="shared" si="57"/>
        <v>1.5952536243615454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69.031096104387785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4.5</v>
      </c>
      <c r="AI116" s="13">
        <f>IF('Données projet'!$A$62&gt;35,AI115+AH116-AQ115,IF(A116&lt;'Données projet'!$A$62,$AF$205^A116,IF(A116='Données projet'!$A$62,'Données projet'!$B$62,AI115+AH116-AQ115)))</f>
        <v>320.49999999999966</v>
      </c>
      <c r="AJ116" s="13">
        <f>AI116*VLOOKUP('Données projet'!$B$10,Paramètres!$A$1:$I$89,3,0)*VLOOKUP('Données projet'!$B$10,Paramètres!$A$1:$I$89,5,0)</f>
        <v>309.98759999999965</v>
      </c>
      <c r="AK116" s="13">
        <f t="shared" si="89"/>
        <v>73.266240552218378</v>
      </c>
      <c r="AL116" s="20">
        <f t="shared" si="58"/>
        <v>667.50043896177965</v>
      </c>
      <c r="AM116" s="59">
        <f t="shared" si="59"/>
        <v>957.28112467786821</v>
      </c>
      <c r="AN116" s="59">
        <f ca="1">AVERAGE(OFFSET($AM$3,0,0,'Données projet'!$E$10+1,1))-AVERAGE(OFFSET($H$3,0,0,'Données projet'!$E$10+1,1))</f>
        <v>508.94560627895089</v>
      </c>
      <c r="AO116" s="59">
        <f t="shared" si="90"/>
        <v>357.86868650263034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0.49756376825911036</v>
      </c>
      <c r="AV116" s="21">
        <f>EXP(-LN(2)/25)*AV115+(1-EXP(-LN(2)/25))/(LN(2)/25)*Calculateur!AQ116*Calculateur!AS116*VLOOKUP('Données projet'!$B$10,Paramètres!$A$1:$I$89,3,0)*0.475*44/12</f>
        <v>1.2077073474303057</v>
      </c>
      <c r="AW116" s="21">
        <f>EXP(-LN(2)/2)*AW115+(1-EXP(-LN(2)/2))/(LN(2)/2)*AQ116*AT116*VLOOKUP('Données projet'!$B$10,Paramètres!$A$1:$I$89,3,0)*0.475*44/12</f>
        <v>7.4085529768316599E-12</v>
      </c>
      <c r="AX116" s="21">
        <f t="shared" si="60"/>
        <v>1.7052711156968245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69.031096104387785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1.7053025658242404E-13</v>
      </c>
      <c r="BE116" s="13">
        <f>BD116*VLOOKUP('Données projet'!$B$11,Paramètres!$A$1:$I$89,3,0)*VLOOKUP('Données projet'!$B$11,Paramètres!$A$1:$I$89,5,0)</f>
        <v>1.3301360013429075E-13</v>
      </c>
      <c r="BF116" s="13">
        <f t="shared" si="91"/>
        <v>1.9329766731057041E-12</v>
      </c>
      <c r="BG116" s="20">
        <f t="shared" si="61"/>
        <v>3.5982663925596575E-12</v>
      </c>
      <c r="BH116" s="59">
        <f t="shared" si="62"/>
        <v>289.78068571609214</v>
      </c>
      <c r="BI116" s="59">
        <f ca="1">AVERAGE(OFFSET($BH$3,0,0,'Données projet'!$E$11+1,1))-AVERAGE(OFFSET($H$3,0,0,'Données projet'!$E$11+1,1))</f>
        <v>383.03154033422328</v>
      </c>
      <c r="BJ116" s="59">
        <f t="shared" si="92"/>
        <v>373.27897156169877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0.27944969703492645</v>
      </c>
      <c r="BQ116" s="21">
        <f>EXP(-LN(2)/25)*BQ115+(1-EXP(-LN(2)/25))/(LN(2)/25)*Calculateur!BL116*Calculateur!BN116*VLOOKUP('Données projet'!$B$11,Paramètres!$A$1:$I$89,3,0)*0.475*44/12</f>
        <v>0.8381917091289709</v>
      </c>
      <c r="BR116" s="21">
        <f>EXP(-LN(2)/2)*BR115+(1-EXP(-LN(2)/2))/(LN(2)/2)*BL116*BO116*VLOOKUP('Données projet'!$B$11,Paramètres!$A$1:$I$89,3,0)*0.475*44/12</f>
        <v>4.2031023126287932E-12</v>
      </c>
      <c r="BS116" s="22">
        <f t="shared" si="63"/>
        <v>1.1176414061681004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69.031096104387785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4.5</v>
      </c>
      <c r="BY116" s="12">
        <f>IF('Données projet'!$A$114&gt;35,BY115+BX116-CG115,IF(A116&lt;'Données projet'!$A$114,$BV$205^A116,IF(A116='Données projet'!$A$114,'Données projet'!$B$114,BY115+BX116-CG115)))</f>
        <v>320.49999999999966</v>
      </c>
      <c r="BZ116" s="13">
        <f>BY116*VLOOKUP('Données projet'!$B$12,Paramètres!$A$1:$I$89,3,0)*VLOOKUP('Données projet'!$B$12,Paramètres!$A$1:$I$89,5,0)</f>
        <v>269.98919999999976</v>
      </c>
      <c r="CA116" s="13">
        <f t="shared" si="93"/>
        <v>64.846977249929026</v>
      </c>
      <c r="CB116" s="20">
        <f t="shared" si="64"/>
        <v>583.17300871029261</v>
      </c>
      <c r="CC116" s="59">
        <f t="shared" si="65"/>
        <v>872.95369442638116</v>
      </c>
      <c r="CD116" s="59">
        <f ca="1">AVERAGE(OFFSET($CC$3,0,0,'Données projet'!$E$12+1,1))-AVERAGE(OFFSET($H$3,0,0,'Données projet'!$E$12+1,1))</f>
        <v>449.94334483948603</v>
      </c>
      <c r="CE116" s="59">
        <f t="shared" si="94"/>
        <v>318.02929110264176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0.43336199170954753</v>
      </c>
      <c r="CL116" s="21">
        <f>EXP(-LN(2)/25)*CL115+(1-EXP(-LN(2)/25))/(LN(2)/25)*Calculateur!CG116*Calculateur!CI116*VLOOKUP('Données projet'!$B$12,Paramètres!$A$1:$I$89,3,0)*0.475*44/12</f>
        <v>1.0518741413102666</v>
      </c>
      <c r="CM116" s="21">
        <f>EXP(-LN(2)/2)*CM115+(1-EXP(-LN(2)/2))/(LN(2)/2)*CG116*CJ116*VLOOKUP('Données projet'!$B$12,Paramètres!$A$1:$I$89,3,0)*0.475*44/12</f>
        <v>6.4526106572404846E-12</v>
      </c>
      <c r="CN116" s="22">
        <f t="shared" si="66"/>
        <v>1.4852361330262667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69.031096104387785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5.8</v>
      </c>
      <c r="CT116" s="12">
        <f>IF('Données projet'!$A$140&gt;35,CT115+CS116-DB115,IF(A116&lt;'Données projet'!$A$140,$CQ$205^A116,IF(A116='Données projet'!$A$140,'Données projet'!$B$140,CT115+CS116-DB115)))</f>
        <v>413.40000000000015</v>
      </c>
      <c r="CU116" s="17">
        <f>CT116*VLOOKUP('Données projet'!$B$13,Paramètres!$A$1:$I$89,3,0)*VLOOKUP('Données projet'!$B$13,Paramètres!$A$1:$I$89,5,0)</f>
        <v>354.69720000000018</v>
      </c>
      <c r="CV116" s="13">
        <f t="shared" si="95"/>
        <v>82.52896178758094</v>
      </c>
      <c r="CW116" s="20">
        <f t="shared" si="67"/>
        <v>761.50223178003716</v>
      </c>
      <c r="CX116" s="59">
        <f t="shared" si="68"/>
        <v>1051.2829174961257</v>
      </c>
      <c r="CY116" s="59">
        <f ca="1">AVERAGE(OFFSET($CX$3,0,0,'Données projet'!$E$13+1,1))-AVERAGE(OFFSET($H$3,0,0,'Données projet'!$E$13+1,1))</f>
        <v>565.32667500225568</v>
      </c>
      <c r="CZ116" s="59">
        <f t="shared" si="96"/>
        <v>275.06957234480944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0</v>
      </c>
      <c r="DG116" s="21">
        <f>EXP(-LN(2)/25)*DG115+(1-EXP(-LN(2)/25))/(LN(2)/25)*Calculateur!DB116*Calculateur!DD116*VLOOKUP('Données projet'!$B$13,Paramètres!$A$1:$I$89,3,0)*0.475*44/12</f>
        <v>0.43871792305811236</v>
      </c>
      <c r="DH116" s="21">
        <f>EXP(-LN(2)/2)*DH115+(1-EXP(-LN(2)/2))/(LN(2)/2)*DB116*DE116*VLOOKUP('Données projet'!$B$13,Paramètres!$A$1:$I$89,3,0)*0.475*44/12</f>
        <v>2.2777434895569069E-12</v>
      </c>
      <c r="DI116" s="22">
        <f t="shared" si="69"/>
        <v>0.43871792306039009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69.031096104387785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-1.2505552149377763E-12</v>
      </c>
      <c r="DP116" s="17">
        <f>DO116*VLOOKUP('Données projet'!$B$14,Paramètres!$A$1:$I$89,3,0)*VLOOKUP('Données projet'!$B$14,Paramètres!$A$1:$I$89,5,0)</f>
        <v>-6.9906036515021697E-13</v>
      </c>
      <c r="DQ116" s="13" t="e">
        <f t="shared" si="97"/>
        <v>#NUM!</v>
      </c>
      <c r="DR116" s="20" t="e">
        <f t="shared" si="70"/>
        <v>#NUM!</v>
      </c>
      <c r="DS116" s="59" t="e">
        <f t="shared" si="71"/>
        <v>#NUM!</v>
      </c>
      <c r="DT116" s="59">
        <f ca="1">AVERAGE(OFFSET($DS$3,0,0,'Données projet'!$E$14+1,1))-AVERAGE(OFFSET($H$3,0,0,'Données projet'!$E$14+1,1))</f>
        <v>532.64469322244281</v>
      </c>
      <c r="DU116" s="59">
        <f t="shared" si="98"/>
        <v>525.88014011096413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2.2069360688912183</v>
      </c>
      <c r="EB116" s="21">
        <f>EXP(-LN(2)/25)*EB115+(1-EXP(-LN(2)/25))/(LN(2)/25)*Calculateur!DW116*Calculateur!DY116*VLOOKUP('Données projet'!$B$14,Paramètres!$A$1:$I$89,3,0)*0.475*44/12</f>
        <v>3.881124488540475</v>
      </c>
      <c r="EC116" s="21">
        <f>EXP(-LN(2)/2)*EC115+(1-EXP(-LN(2)/2))/(LN(2)/2)*DW116*DZ116*VLOOKUP('Données projet'!$B$14,Paramètres!$A$1:$I$89,3,0)*0.475*44/12</f>
        <v>1.1727716673632871E-11</v>
      </c>
      <c r="ED116" s="22">
        <f t="shared" si="72"/>
        <v>6.0880605574434208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69.031096104387785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3.7</v>
      </c>
      <c r="EJ116" s="12">
        <f>IF('Données projet'!$A$192&gt;35,EJ115+EI116-ER115,IF(A116&lt;'Données projet'!$A$192,$EG$205^A116,IF(A116='Données projet'!$A$192,'Données projet'!$B$192,EJ115+EI116-ER115)))</f>
        <v>277.09999999999997</v>
      </c>
      <c r="EK116" s="17">
        <f>EJ116*VLOOKUP('Données projet'!$B$15,Paramètres!$A$1:$I$89,3,0)*VLOOKUP('Données projet'!$B$15,Paramètres!$A$1:$I$89,5,0)</f>
        <v>250.72007999999994</v>
      </c>
      <c r="EL116" s="13">
        <f t="shared" si="99"/>
        <v>60.740109326032758</v>
      </c>
      <c r="EM116" s="20">
        <f t="shared" si="73"/>
        <v>542.45982974284027</v>
      </c>
      <c r="EN116" s="59">
        <f t="shared" si="74"/>
        <v>832.24051545892883</v>
      </c>
      <c r="EO116" s="59">
        <f ca="1">AVERAGE(OFFSET($EN$3,0,0,'Données projet'!$E$15+1,1))-AVERAGE(OFFSET($H$3,0,0,'Données projet'!$E$15+1,1))</f>
        <v>398.27843768730202</v>
      </c>
      <c r="EP116" s="59">
        <f t="shared" si="100"/>
        <v>252.3617347568813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0</v>
      </c>
      <c r="EW116" s="21">
        <f>EXP(-LN(2)/25)*EW115+(1-EXP(-LN(2)/25))/(LN(2)/25)*Calculateur!ER116*Calculateur!ET116*VLOOKUP('Données projet'!$B$15,Paramètres!$A$1:$I$89,3,0)*0.475*44/12</f>
        <v>0.31100918895467872</v>
      </c>
      <c r="EX116" s="21">
        <f>EXP(-LN(2)/2)*EX115+(1-EXP(-LN(2)/2))/(LN(2)/2)*ER116*EU116*VLOOKUP('Données projet'!$B$15,Paramètres!$A$1:$I$89,3,0)*0.475*44/12</f>
        <v>1.9902153503556971E-12</v>
      </c>
      <c r="EY116" s="22">
        <f t="shared" si="75"/>
        <v>0.31100918895666896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69.031096104387785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3.7</v>
      </c>
      <c r="FE116" s="12">
        <f>IF('Données projet'!$A$218&gt;35,FE115+FD116-FM115,IF(A116&lt;'Données projet'!$A$218,$FB$205^A116,IF(A116='Données projet'!$A$218,'Données projet'!$B$218,FE115+FD116-FM115)))</f>
        <v>277.09999999999997</v>
      </c>
      <c r="FF116" s="17">
        <f>FE116*VLOOKUP('Données projet'!$B$16,Paramètres!$A$1:$I$89,3,0)*VLOOKUP('Données projet'!$B$16,Paramètres!$A$1:$I$89,5,0)</f>
        <v>268.01111999999995</v>
      </c>
      <c r="FG116" s="13">
        <f t="shared" si="101"/>
        <v>64.426997301716909</v>
      </c>
      <c r="FH116" s="20">
        <f t="shared" si="76"/>
        <v>578.99638763382347</v>
      </c>
      <c r="FI116" s="59">
        <f t="shared" si="77"/>
        <v>868.77707334991203</v>
      </c>
      <c r="FJ116" s="59">
        <f ca="1">AVERAGE(OFFSET($FI$3,0,0,'Données projet'!$E$16+1,1))-AVERAGE(OFFSET($H$3,0,0,'Données projet'!$E$16+1,1))</f>
        <v>422.28024471365825</v>
      </c>
      <c r="FK116" s="59">
        <f t="shared" si="102"/>
        <v>266.49730479813206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0</v>
      </c>
      <c r="FR116" s="21">
        <f>EXP(-LN(2)/25)*FR115+(1-EXP(-LN(2)/25))/(LN(2)/25)*Calculateur!FM116*Calculateur!FO116*VLOOKUP('Données projet'!$B$16,Paramètres!$A$1:$I$89,3,0)*0.475*44/12</f>
        <v>0.33245809853775982</v>
      </c>
      <c r="FS116" s="21">
        <f>EXP(-LN(2)/2)*FS115+(1-EXP(-LN(2)/2))/(LN(2)/2)*FM116*FP116*VLOOKUP('Données projet'!$B$16,Paramètres!$A$1:$I$89,3,0)*0.475*44/12</f>
        <v>2.1274715814147102E-12</v>
      </c>
      <c r="FT116" s="22">
        <f t="shared" si="78"/>
        <v>0.33245809853988728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69.031096104387785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3.4106051316484809E-13</v>
      </c>
      <c r="GA116" s="17">
        <f>FZ116*VLOOKUP('Données projet'!$B$17,Paramètres!$A$1:$I$89,3,0)*VLOOKUP('Données projet'!$B$17,Paramètres!$A$1:$I$89,5,0)</f>
        <v>2.6602720026858149E-13</v>
      </c>
      <c r="GB116" s="13">
        <f t="shared" si="103"/>
        <v>3.5662905043956649E-12</v>
      </c>
      <c r="GC116" s="20">
        <f t="shared" si="79"/>
        <v>6.6746200022902298E-12</v>
      </c>
      <c r="GD116" s="59">
        <f t="shared" si="80"/>
        <v>289.78068571609521</v>
      </c>
      <c r="GE116" s="59">
        <f ca="1">AVERAGE(OFFSET($GD$3,0,0,'Données projet'!$E$17+1,1))-AVERAGE(OFFSET($H$3,0,0,'Données projet'!$E$17+1,1))</f>
        <v>300.95722646933314</v>
      </c>
      <c r="GF116" s="59">
        <f t="shared" si="104"/>
        <v>269.52365224623759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>
        <f>EXP(-LN(2)/35)*GL115+(1-EXP(-LN(2)/35))/(LN(2)/35)*GH116*GI116*VLOOKUP('Données projet'!$B$17,Paramètres!$A$1:$I$89,3,0)*0.475*44/12</f>
        <v>0.17196904432918556</v>
      </c>
      <c r="GM116" s="21">
        <f>EXP(-LN(2)/25)*GM115+(1-EXP(-LN(2)/25))/(LN(2)/25)*Calculateur!GH116*Calculateur!GJ116*VLOOKUP('Données projet'!$B$17,Paramètres!$A$1:$I$89,3,0)*0.475*44/12</f>
        <v>0.62474956161163997</v>
      </c>
      <c r="GN116" s="21">
        <f>EXP(-LN(2)/2)*GN115+(1-EXP(-LN(2)/2))/(LN(2)/2)*GH116*GK116*VLOOKUP('Données projet'!$B$17,Paramètres!$A$1:$I$89,3,0)*0.475*44/12</f>
        <v>2.8486434758374734E-12</v>
      </c>
      <c r="GO116" s="21">
        <f t="shared" si="81"/>
        <v>0.79671860594367416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69.031096104387785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1.4000000000000001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5.1333333333333337</v>
      </c>
      <c r="H117" s="67">
        <f t="shared" si="56"/>
        <v>236.13333333333335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69.047904420832054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4.5</v>
      </c>
      <c r="N117" s="13">
        <f>IF('Données projet'!$A$36&gt;35,N116+M117-V116,IF(A117&lt;'Données projet'!$A$36,$K$205^A117,IF(A117='Données projet'!$A$36,'Données projet'!$B$36,N116+M117-V116)))</f>
        <v>324.99999999999966</v>
      </c>
      <c r="O117" s="13">
        <f>N117*VLOOKUP('Données projet'!$B$9,Paramètres!$A$1:$I$89,3,0)*VLOOKUP('Données projet'!$B$9,Paramètres!$A$1:$I$89,5,0)</f>
        <v>294.05999999999972</v>
      </c>
      <c r="P117" s="13">
        <f t="shared" si="87"/>
        <v>69.929765653573313</v>
      </c>
      <c r="Q117" s="20">
        <f t="shared" si="107"/>
        <v>633.94884184663977</v>
      </c>
      <c r="R117" s="59">
        <f t="shared" si="55"/>
        <v>923.79115805635729</v>
      </c>
      <c r="S117" s="59">
        <f ca="1">AVERAGE(OFFSET($R$3,0,0,'Données projet'!$E$9+1,1))-AVERAGE(OFFSET($H$3,0,0,'Données projet'!$E$9+1,1))</f>
        <v>479.46542424895119</v>
      </c>
      <c r="T117" s="59">
        <f t="shared" si="88"/>
        <v>337.96395820277337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0.4563354368121596</v>
      </c>
      <c r="AA117" s="21">
        <f>EXP(-LN(2)/25)*AA116+(1-EXP(-LN(2)/25))/(LN(2)/25)*Calculateur!V117*Calculateur!X117*VLOOKUP('Données projet'!$B$9,Paramètres!$A$1:$I$89,3,0)*0.475*44/12</f>
        <v>1.0988965570523674</v>
      </c>
      <c r="AB117" s="21">
        <f>EXP(-LN(2)/2)*AB116+(1-EXP(-LN(2)/2))/(LN(2)/2)*V117*Y117*VLOOKUP('Données projet'!$B$9,Paramètres!$A$1:$I$89,3,0)*0.475*44/12</f>
        <v>4.9006614003944111E-12</v>
      </c>
      <c r="AC117" s="22">
        <f t="shared" si="57"/>
        <v>1.5552319938694279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69.047904420832054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4.5</v>
      </c>
      <c r="AI117" s="13">
        <f>IF('Données projet'!$A$62&gt;35,AI116+AH117-AQ116,IF(A117&lt;'Données projet'!$A$62,$AF$205^A117,IF(A117='Données projet'!$A$62,'Données projet'!$B$62,AI116+AH117-AQ116)))</f>
        <v>324.99999999999966</v>
      </c>
      <c r="AJ117" s="13">
        <f>AI117*VLOOKUP('Données projet'!$B$10,Paramètres!$A$1:$I$89,3,0)*VLOOKUP('Données projet'!$B$10,Paramètres!$A$1:$I$89,5,0)</f>
        <v>314.33999999999969</v>
      </c>
      <c r="AK117" s="13">
        <f t="shared" si="89"/>
        <v>74.174460221814144</v>
      </c>
      <c r="AL117" s="20">
        <f t="shared" si="58"/>
        <v>676.66268488632568</v>
      </c>
      <c r="AM117" s="59">
        <f t="shared" si="59"/>
        <v>966.5050010960432</v>
      </c>
      <c r="AN117" s="59">
        <f ca="1">AVERAGE(OFFSET($AM$3,0,0,'Données projet'!$E$10+1,1))-AVERAGE(OFFSET($H$3,0,0,'Données projet'!$E$10+1,1))</f>
        <v>508.94560627895089</v>
      </c>
      <c r="AO117" s="59">
        <f t="shared" si="90"/>
        <v>357.86868650263034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0.48780684624748127</v>
      </c>
      <c r="AV117" s="21">
        <f>EXP(-LN(2)/25)*AV116+(1-EXP(-LN(2)/25))/(LN(2)/25)*Calculateur!AQ117*Calculateur!AS117*VLOOKUP('Données projet'!$B$10,Paramètres!$A$1:$I$89,3,0)*0.475*44/12</f>
        <v>1.1746825265042549</v>
      </c>
      <c r="AW117" s="21">
        <f>EXP(-LN(2)/2)*AW116+(1-EXP(-LN(2)/2))/(LN(2)/2)*AQ117*AT117*VLOOKUP('Données projet'!$B$10,Paramètres!$A$1:$I$89,3,0)*0.475*44/12</f>
        <v>5.2386380486974499E-12</v>
      </c>
      <c r="AX117" s="21">
        <f t="shared" si="60"/>
        <v>1.6624893727569747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69.047904420832054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1.7053025658242404E-13</v>
      </c>
      <c r="BE117" s="13">
        <f>BD117*VLOOKUP('Données projet'!$B$11,Paramètres!$A$1:$I$89,3,0)*VLOOKUP('Données projet'!$B$11,Paramètres!$A$1:$I$89,5,0)</f>
        <v>1.3301360013429075E-13</v>
      </c>
      <c r="BF117" s="13">
        <f t="shared" si="91"/>
        <v>1.9329766731057041E-12</v>
      </c>
      <c r="BG117" s="20">
        <f t="shared" si="61"/>
        <v>3.5982663925596575E-12</v>
      </c>
      <c r="BH117" s="59">
        <f t="shared" si="62"/>
        <v>289.8423162097211</v>
      </c>
      <c r="BI117" s="59">
        <f ca="1">AVERAGE(OFFSET($BH$3,0,0,'Données projet'!$E$11+1,1))-AVERAGE(OFFSET($H$3,0,0,'Données projet'!$E$11+1,1))</f>
        <v>383.03154033422328</v>
      </c>
      <c r="BJ117" s="59">
        <f t="shared" si="92"/>
        <v>373.27897156169877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0.27396985892355646</v>
      </c>
      <c r="BQ117" s="21">
        <f>EXP(-LN(2)/25)*BQ116+(1-EXP(-LN(2)/25))/(LN(2)/25)*Calculateur!BL117*Calculateur!BN117*VLOOKUP('Données projet'!$B$11,Paramètres!$A$1:$I$89,3,0)*0.475*44/12</f>
        <v>0.81527131276425291</v>
      </c>
      <c r="BR117" s="21">
        <f>EXP(-LN(2)/2)*BR116+(1-EXP(-LN(2)/2))/(LN(2)/2)*BL117*BO117*VLOOKUP('Données projet'!$B$11,Paramètres!$A$1:$I$89,3,0)*0.475*44/12</f>
        <v>2.97204214728068E-12</v>
      </c>
      <c r="BS117" s="22">
        <f t="shared" si="63"/>
        <v>1.0892411716907815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69.047904420832054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4.5</v>
      </c>
      <c r="BY117" s="12">
        <f>IF('Données projet'!$A$114&gt;35,BY116+BX117-CG116,IF(A117&lt;'Données projet'!$A$114,$BV$205^A117,IF(A117='Données projet'!$A$114,'Données projet'!$B$114,BY116+BX117-CG116)))</f>
        <v>324.99999999999966</v>
      </c>
      <c r="BZ117" s="13">
        <f>BY117*VLOOKUP('Données projet'!$B$12,Paramètres!$A$1:$I$89,3,0)*VLOOKUP('Données projet'!$B$12,Paramètres!$A$1:$I$89,5,0)</f>
        <v>273.77999999999975</v>
      </c>
      <c r="CA117" s="13">
        <f t="shared" si="93"/>
        <v>65.650830427167435</v>
      </c>
      <c r="CB117" s="20">
        <f t="shared" si="64"/>
        <v>591.17536299398284</v>
      </c>
      <c r="CC117" s="59">
        <f t="shared" si="65"/>
        <v>881.01767920370037</v>
      </c>
      <c r="CD117" s="59">
        <f ca="1">AVERAGE(OFFSET($CC$3,0,0,'Données projet'!$E$12+1,1))-AVERAGE(OFFSET($H$3,0,0,'Données projet'!$E$12+1,1))</f>
        <v>449.94334483948603</v>
      </c>
      <c r="CE117" s="59">
        <f t="shared" si="94"/>
        <v>318.02929110264176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0.42486402737683837</v>
      </c>
      <c r="CL117" s="21">
        <f>EXP(-LN(2)/25)*CL116+(1-EXP(-LN(2)/25))/(LN(2)/25)*Calculateur!CG117*Calculateur!CI117*VLOOKUP('Données projet'!$B$12,Paramètres!$A$1:$I$89,3,0)*0.475*44/12</f>
        <v>1.0231105876004802</v>
      </c>
      <c r="CM117" s="21">
        <f>EXP(-LN(2)/2)*CM116+(1-EXP(-LN(2)/2))/(LN(2)/2)*CG117*CJ117*VLOOKUP('Données projet'!$B$12,Paramètres!$A$1:$I$89,3,0)*0.475*44/12</f>
        <v>4.5626847520913319E-12</v>
      </c>
      <c r="CN117" s="22">
        <f t="shared" si="66"/>
        <v>1.4479746149818815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69.047904420832054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5.8</v>
      </c>
      <c r="CT117" s="12">
        <f>IF('Données projet'!$A$140&gt;35,CT116+CS117-DB116,IF(A117&lt;'Données projet'!$A$140,$CQ$205^A117,IF(A117='Données projet'!$A$140,'Données projet'!$B$140,CT116+CS117-DB116)))</f>
        <v>419.20000000000016</v>
      </c>
      <c r="CU117" s="17">
        <f>CT117*VLOOKUP('Données projet'!$B$13,Paramètres!$A$1:$I$89,3,0)*VLOOKUP('Données projet'!$B$13,Paramètres!$A$1:$I$89,5,0)</f>
        <v>359.67360000000019</v>
      </c>
      <c r="CV117" s="13">
        <f t="shared" si="95"/>
        <v>83.55123430015017</v>
      </c>
      <c r="CW117" s="20">
        <f t="shared" si="67"/>
        <v>771.94991973942854</v>
      </c>
      <c r="CX117" s="59">
        <f t="shared" si="68"/>
        <v>1061.7922359491461</v>
      </c>
      <c r="CY117" s="59">
        <f ca="1">AVERAGE(OFFSET($CX$3,0,0,'Données projet'!$E$13+1,1))-AVERAGE(OFFSET($H$3,0,0,'Données projet'!$E$13+1,1))</f>
        <v>565.32667500225568</v>
      </c>
      <c r="CZ117" s="59">
        <f t="shared" si="96"/>
        <v>275.06957234480944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0</v>
      </c>
      <c r="DG117" s="21">
        <f>EXP(-LN(2)/25)*DG116+(1-EXP(-LN(2)/25))/(LN(2)/25)*Calculateur!DB117*Calculateur!DD117*VLOOKUP('Données projet'!$B$13,Paramètres!$A$1:$I$89,3,0)*0.475*44/12</f>
        <v>0.4267211583809154</v>
      </c>
      <c r="DH117" s="21">
        <f>EXP(-LN(2)/2)*DH116+(1-EXP(-LN(2)/2))/(LN(2)/2)*DB117*DE117*VLOOKUP('Données projet'!$B$13,Paramètres!$A$1:$I$89,3,0)*0.475*44/12</f>
        <v>1.610607867269199E-12</v>
      </c>
      <c r="DI117" s="22">
        <f t="shared" si="69"/>
        <v>0.426721158382526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69.047904420832054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-1.2505552149377763E-12</v>
      </c>
      <c r="DP117" s="17">
        <f>DO117*VLOOKUP('Données projet'!$B$14,Paramètres!$A$1:$I$89,3,0)*VLOOKUP('Données projet'!$B$14,Paramètres!$A$1:$I$89,5,0)</f>
        <v>-6.9906036515021697E-13</v>
      </c>
      <c r="DQ117" s="13" t="e">
        <f t="shared" si="97"/>
        <v>#NUM!</v>
      </c>
      <c r="DR117" s="20" t="e">
        <f t="shared" si="70"/>
        <v>#NUM!</v>
      </c>
      <c r="DS117" s="59" t="e">
        <f t="shared" si="71"/>
        <v>#NUM!</v>
      </c>
      <c r="DT117" s="59">
        <f ca="1">AVERAGE(OFFSET($DS$3,0,0,'Données projet'!$E$14+1,1))-AVERAGE(OFFSET($H$3,0,0,'Données projet'!$E$14+1,1))</f>
        <v>532.64469322244281</v>
      </c>
      <c r="DU117" s="59">
        <f t="shared" si="98"/>
        <v>525.88014011096413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2.1636593986783472</v>
      </c>
      <c r="EB117" s="21">
        <f>EXP(-LN(2)/25)*EB116+(1-EXP(-LN(2)/25))/(LN(2)/25)*Calculateur!DW117*Calculateur!DY117*VLOOKUP('Données projet'!$B$14,Paramètres!$A$1:$I$89,3,0)*0.475*44/12</f>
        <v>3.7749949353018692</v>
      </c>
      <c r="EC117" s="21">
        <f>EXP(-LN(2)/2)*EC116+(1-EXP(-LN(2)/2))/(LN(2)/2)*DW117*DZ117*VLOOKUP('Données projet'!$B$14,Paramètres!$A$1:$I$89,3,0)*0.475*44/12</f>
        <v>8.2927479877603436E-12</v>
      </c>
      <c r="ED117" s="22">
        <f t="shared" si="72"/>
        <v>5.9386543339885094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69.047904420832054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3.7</v>
      </c>
      <c r="EJ117" s="12">
        <f>IF('Données projet'!$A$192&gt;35,EJ116+EI117-ER116,IF(A117&lt;'Données projet'!$A$192,$EG$205^A117,IF(A117='Données projet'!$A$192,'Données projet'!$B$192,EJ116+EI117-ER116)))</f>
        <v>280.79999999999995</v>
      </c>
      <c r="EK117" s="17">
        <f>EJ117*VLOOKUP('Données projet'!$B$15,Paramètres!$A$1:$I$89,3,0)*VLOOKUP('Données projet'!$B$15,Paramètres!$A$1:$I$89,5,0)</f>
        <v>254.06783999999996</v>
      </c>
      <c r="EL117" s="13">
        <f t="shared" si="99"/>
        <v>61.456187622750718</v>
      </c>
      <c r="EM117" s="20">
        <f t="shared" si="73"/>
        <v>549.53768144295748</v>
      </c>
      <c r="EN117" s="59">
        <f t="shared" si="74"/>
        <v>839.379997652675</v>
      </c>
      <c r="EO117" s="59">
        <f ca="1">AVERAGE(OFFSET($EN$3,0,0,'Données projet'!$E$15+1,1))-AVERAGE(OFFSET($H$3,0,0,'Données projet'!$E$15+1,1))</f>
        <v>398.27843768730202</v>
      </c>
      <c r="EP117" s="59">
        <f t="shared" si="100"/>
        <v>252.3617347568813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0</v>
      </c>
      <c r="EW117" s="21">
        <f>EXP(-LN(2)/25)*EW116+(1-EXP(-LN(2)/25))/(LN(2)/25)*Calculateur!ER117*Calculateur!ET117*VLOOKUP('Données projet'!$B$15,Paramètres!$A$1:$I$89,3,0)*0.475*44/12</f>
        <v>0.30250462632745062</v>
      </c>
      <c r="EX117" s="21">
        <f>EXP(-LN(2)/2)*EX116+(1-EXP(-LN(2)/2))/(LN(2)/2)*ER117*EU117*VLOOKUP('Données projet'!$B$15,Paramètres!$A$1:$I$89,3,0)*0.475*44/12</f>
        <v>1.4072947702580739E-12</v>
      </c>
      <c r="EY117" s="22">
        <f t="shared" si="75"/>
        <v>0.30250462632885794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69.047904420832054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3.7</v>
      </c>
      <c r="FE117" s="12">
        <f>IF('Données projet'!$A$218&gt;35,FE116+FD117-FM116,IF(A117&lt;'Données projet'!$A$218,$FB$205^A117,IF(A117='Données projet'!$A$218,'Données projet'!$B$218,FE116+FD117-FM116)))</f>
        <v>280.79999999999995</v>
      </c>
      <c r="FF117" s="17">
        <f>FE117*VLOOKUP('Données projet'!$B$16,Paramètres!$A$1:$I$89,3,0)*VLOOKUP('Données projet'!$B$16,Paramètres!$A$1:$I$89,5,0)</f>
        <v>271.58975999999996</v>
      </c>
      <c r="FG117" s="13">
        <f t="shared" si="101"/>
        <v>65.186541118848126</v>
      </c>
      <c r="FH117" s="20">
        <f t="shared" si="76"/>
        <v>586.55205778199377</v>
      </c>
      <c r="FI117" s="59">
        <f t="shared" si="77"/>
        <v>876.39437399171129</v>
      </c>
      <c r="FJ117" s="59">
        <f ca="1">AVERAGE(OFFSET($FI$3,0,0,'Données projet'!$E$16+1,1))-AVERAGE(OFFSET($H$3,0,0,'Données projet'!$E$16+1,1))</f>
        <v>422.28024471365825</v>
      </c>
      <c r="FK117" s="59">
        <f t="shared" si="102"/>
        <v>266.49730479813206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0</v>
      </c>
      <c r="FR117" s="21">
        <f>EXP(-LN(2)/25)*FR116+(1-EXP(-LN(2)/25))/(LN(2)/25)*Calculateur!FM117*Calculateur!FO117*VLOOKUP('Données projet'!$B$16,Paramètres!$A$1:$I$89,3,0)*0.475*44/12</f>
        <v>0.32336701435003323</v>
      </c>
      <c r="FS117" s="21">
        <f>EXP(-LN(2)/2)*FS116+(1-EXP(-LN(2)/2))/(LN(2)/2)*FM117*FP117*VLOOKUP('Données projet'!$B$16,Paramètres!$A$1:$I$89,3,0)*0.475*44/12</f>
        <v>1.5043495820000098E-12</v>
      </c>
      <c r="FT117" s="22">
        <f t="shared" si="78"/>
        <v>0.32336701435153758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69.047904420832054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3.4106051316484809E-13</v>
      </c>
      <c r="GA117" s="17">
        <f>FZ117*VLOOKUP('Données projet'!$B$17,Paramètres!$A$1:$I$89,3,0)*VLOOKUP('Données projet'!$B$17,Paramètres!$A$1:$I$89,5,0)</f>
        <v>2.6602720026858149E-13</v>
      </c>
      <c r="GB117" s="13">
        <f t="shared" si="103"/>
        <v>3.5662905043956649E-12</v>
      </c>
      <c r="GC117" s="20">
        <f t="shared" si="79"/>
        <v>6.6746200022902298E-12</v>
      </c>
      <c r="GD117" s="59">
        <f t="shared" si="80"/>
        <v>289.84231620972417</v>
      </c>
      <c r="GE117" s="59">
        <f ca="1">AVERAGE(OFFSET($GD$3,0,0,'Données projet'!$E$17+1,1))-AVERAGE(OFFSET($H$3,0,0,'Données projet'!$E$17+1,1))</f>
        <v>300.95722646933314</v>
      </c>
      <c r="GF117" s="59">
        <f t="shared" si="104"/>
        <v>269.52365224623759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>
        <f>EXP(-LN(2)/35)*GL116+(1-EXP(-LN(2)/35))/(LN(2)/35)*GH117*GI117*VLOOKUP('Données projet'!$B$17,Paramètres!$A$1:$I$89,3,0)*0.475*44/12</f>
        <v>0.16859683626065017</v>
      </c>
      <c r="GM117" s="21">
        <f>EXP(-LN(2)/25)*GM116+(1-EXP(-LN(2)/25))/(LN(2)/25)*Calculateur!GH117*Calculateur!GJ117*VLOOKUP('Données projet'!$B$17,Paramètres!$A$1:$I$89,3,0)*0.475*44/12</f>
        <v>0.60766575199521811</v>
      </c>
      <c r="GN117" s="21">
        <f>EXP(-LN(2)/2)*GN116+(1-EXP(-LN(2)/2))/(LN(2)/2)*GH117*GK117*VLOOKUP('Données projet'!$B$17,Paramètres!$A$1:$I$89,3,0)*0.475*44/12</f>
        <v>2.0142951189474944E-12</v>
      </c>
      <c r="GO117" s="21">
        <f t="shared" si="81"/>
        <v>0.77626258825788252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69.047904420832054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1.4000000000000001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5.1333333333333337</v>
      </c>
      <c r="H118" s="67">
        <f t="shared" si="56"/>
        <v>236.13333333333335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69.064421150563788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4.5</v>
      </c>
      <c r="N118" s="13">
        <f>IF('Données projet'!$A$36&gt;35,N117+M118-V117,IF(A118&lt;'Données projet'!$A$36,$K$205^A118,IF(A118='Données projet'!$A$36,'Données projet'!$B$36,N117+M118-V117)))</f>
        <v>329.49999999999966</v>
      </c>
      <c r="O118" s="13">
        <f>N118*VLOOKUP('Données projet'!$B$9,Paramètres!$A$1:$I$89,3,0)*VLOOKUP('Données projet'!$B$9,Paramètres!$A$1:$I$89,5,0)</f>
        <v>298.13159999999965</v>
      </c>
      <c r="P118" s="13">
        <f t="shared" si="87"/>
        <v>70.784632764375971</v>
      </c>
      <c r="Q118" s="20">
        <f t="shared" si="107"/>
        <v>642.52910539795425</v>
      </c>
      <c r="R118" s="59">
        <f t="shared" si="55"/>
        <v>932.43198295002139</v>
      </c>
      <c r="S118" s="59">
        <f ca="1">AVERAGE(OFFSET($R$3,0,0,'Données projet'!$E$9+1,1))-AVERAGE(OFFSET($H$3,0,0,'Données projet'!$E$9+1,1))</f>
        <v>479.46542424895119</v>
      </c>
      <c r="T118" s="59">
        <f t="shared" si="88"/>
        <v>337.96395820277337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0.44738697723340609</v>
      </c>
      <c r="AA118" s="21">
        <f>EXP(-LN(2)/25)*AA117+(1-EXP(-LN(2)/25))/(LN(2)/25)*Calculateur!V118*Calculateur!X118*VLOOKUP('Données projet'!$B$9,Paramètres!$A$1:$I$89,3,0)*0.475*44/12</f>
        <v>1.068847172911312</v>
      </c>
      <c r="AB118" s="21">
        <f>EXP(-LN(2)/2)*AB117+(1-EXP(-LN(2)/2))/(LN(2)/2)*V118*Y118*VLOOKUP('Données projet'!$B$9,Paramètres!$A$1:$I$89,3,0)*0.475*44/12</f>
        <v>3.4652909085180505E-12</v>
      </c>
      <c r="AC118" s="22">
        <f t="shared" si="57"/>
        <v>1.5162341501481833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69.064421150563788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4.5</v>
      </c>
      <c r="AI118" s="13">
        <f>IF('Données projet'!$A$62&gt;35,AI117+AH118-AQ117,IF(A118&lt;'Données projet'!$A$62,$AF$205^A118,IF(A118='Données projet'!$A$62,'Données projet'!$B$62,AI117+AH118-AQ117)))</f>
        <v>329.49999999999966</v>
      </c>
      <c r="AJ118" s="13">
        <f>AI118*VLOOKUP('Données projet'!$B$10,Paramètres!$A$1:$I$89,3,0)*VLOOKUP('Données projet'!$B$10,Paramètres!$A$1:$I$89,5,0)</f>
        <v>318.69239999999968</v>
      </c>
      <c r="AK118" s="13">
        <f t="shared" si="89"/>
        <v>75.081217250277518</v>
      </c>
      <c r="AL118" s="20">
        <f t="shared" si="58"/>
        <v>685.8223833775661</v>
      </c>
      <c r="AM118" s="59">
        <f t="shared" si="59"/>
        <v>975.72526092963335</v>
      </c>
      <c r="AN118" s="59">
        <f ca="1">AVERAGE(OFFSET($AM$3,0,0,'Données projet'!$E$10+1,1))-AVERAGE(OFFSET($H$3,0,0,'Données projet'!$E$10+1,1))</f>
        <v>508.94560627895089</v>
      </c>
      <c r="AO118" s="59">
        <f t="shared" si="90"/>
        <v>357.86868650263034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0.47824125152536545</v>
      </c>
      <c r="AV118" s="21">
        <f>EXP(-LN(2)/25)*AV117+(1-EXP(-LN(2)/25))/(LN(2)/25)*Calculateur!AQ118*Calculateur!AS118*VLOOKUP('Données projet'!$B$10,Paramètres!$A$1:$I$89,3,0)*0.475*44/12</f>
        <v>1.1425607710431267</v>
      </c>
      <c r="AW118" s="21">
        <f>EXP(-LN(2)/2)*AW117+(1-EXP(-LN(2)/2))/(LN(2)/2)*AQ118*AT118*VLOOKUP('Données projet'!$B$10,Paramètres!$A$1:$I$89,3,0)*0.475*44/12</f>
        <v>3.7042764884158299E-12</v>
      </c>
      <c r="AX118" s="21">
        <f t="shared" si="60"/>
        <v>1.6208020225721966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69.064421150563788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1.7053025658242404E-13</v>
      </c>
      <c r="BE118" s="13">
        <f>BD118*VLOOKUP('Données projet'!$B$11,Paramètres!$A$1:$I$89,3,0)*VLOOKUP('Données projet'!$B$11,Paramètres!$A$1:$I$89,5,0)</f>
        <v>1.3301360013429075E-13</v>
      </c>
      <c r="BF118" s="13">
        <f t="shared" si="91"/>
        <v>1.9329766731057041E-12</v>
      </c>
      <c r="BG118" s="20">
        <f t="shared" si="61"/>
        <v>3.5982663925596575E-12</v>
      </c>
      <c r="BH118" s="59">
        <f t="shared" si="62"/>
        <v>289.90287755207078</v>
      </c>
      <c r="BI118" s="59">
        <f ca="1">AVERAGE(OFFSET($BH$3,0,0,'Données projet'!$E$11+1,1))-AVERAGE(OFFSET($H$3,0,0,'Données projet'!$E$11+1,1))</f>
        <v>383.03154033422328</v>
      </c>
      <c r="BJ118" s="59">
        <f t="shared" si="92"/>
        <v>373.27897156169877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0.26859747709517923</v>
      </c>
      <c r="BQ118" s="21">
        <f>EXP(-LN(2)/25)*BQ117+(1-EXP(-LN(2)/25))/(LN(2)/25)*Calculateur!BL118*Calculateur!BN118*VLOOKUP('Données projet'!$B$11,Paramètres!$A$1:$I$89,3,0)*0.475*44/12</f>
        <v>0.79297767584345935</v>
      </c>
      <c r="BR118" s="21">
        <f>EXP(-LN(2)/2)*BR117+(1-EXP(-LN(2)/2))/(LN(2)/2)*BL118*BO118*VLOOKUP('Données projet'!$B$11,Paramètres!$A$1:$I$89,3,0)*0.475*44/12</f>
        <v>2.1015511563143966E-12</v>
      </c>
      <c r="BS118" s="22">
        <f t="shared" si="63"/>
        <v>1.0615751529407402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69.064421150563788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4.5</v>
      </c>
      <c r="BY118" s="12">
        <f>IF('Données projet'!$A$114&gt;35,BY117+BX118-CG117,IF(A118&lt;'Données projet'!$A$114,$BV$205^A118,IF(A118='Données projet'!$A$114,'Données projet'!$B$114,BY117+BX118-CG117)))</f>
        <v>329.49999999999966</v>
      </c>
      <c r="BZ118" s="13">
        <f>BY118*VLOOKUP('Données projet'!$B$12,Paramètres!$A$1:$I$89,3,0)*VLOOKUP('Données projet'!$B$12,Paramètres!$A$1:$I$89,5,0)</f>
        <v>277.57079999999974</v>
      </c>
      <c r="CA118" s="13">
        <f t="shared" si="93"/>
        <v>66.453389040149148</v>
      </c>
      <c r="CB118" s="20">
        <f t="shared" si="64"/>
        <v>599.17546257825927</v>
      </c>
      <c r="CC118" s="59">
        <f t="shared" si="65"/>
        <v>889.07834013032652</v>
      </c>
      <c r="CD118" s="59">
        <f ca="1">AVERAGE(OFFSET($CC$3,0,0,'Données projet'!$E$12+1,1))-AVERAGE(OFFSET($H$3,0,0,'Données projet'!$E$12+1,1))</f>
        <v>449.94334483948603</v>
      </c>
      <c r="CE118" s="59">
        <f t="shared" si="94"/>
        <v>318.02929110264176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0.41653270294144717</v>
      </c>
      <c r="CL118" s="21">
        <f>EXP(-LN(2)/25)*CL117+(1-EXP(-LN(2)/25))/(LN(2)/25)*Calculateur!CG118*Calculateur!CI118*VLOOKUP('Données projet'!$B$12,Paramètres!$A$1:$I$89,3,0)*0.475*44/12</f>
        <v>0.9951335747794976</v>
      </c>
      <c r="CM118" s="21">
        <f>EXP(-LN(2)/2)*CM117+(1-EXP(-LN(2)/2))/(LN(2)/2)*CG118*CJ118*VLOOKUP('Données projet'!$B$12,Paramètres!$A$1:$I$89,3,0)*0.475*44/12</f>
        <v>3.2263053286202423E-12</v>
      </c>
      <c r="CN118" s="22">
        <f t="shared" si="66"/>
        <v>1.4116662777241711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69.064421150563788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5.8</v>
      </c>
      <c r="CT118" s="12">
        <f>IF('Données projet'!$A$140&gt;35,CT117+CS118-DB117,IF(A118&lt;'Données projet'!$A$140,$CQ$205^A118,IF(A118='Données projet'!$A$140,'Données projet'!$B$140,CT117+CS118-DB117)))</f>
        <v>425.00000000000017</v>
      </c>
      <c r="CU118" s="17">
        <f>CT118*VLOOKUP('Données projet'!$B$13,Paramètres!$A$1:$I$89,3,0)*VLOOKUP('Données projet'!$B$13,Paramètres!$A$1:$I$89,5,0)</f>
        <v>364.6500000000002</v>
      </c>
      <c r="CV118" s="13">
        <f t="shared" si="95"/>
        <v>84.571861716261665</v>
      </c>
      <c r="CW118" s="20">
        <f t="shared" si="67"/>
        <v>782.3947424891561</v>
      </c>
      <c r="CX118" s="59">
        <f t="shared" si="68"/>
        <v>1072.2976200412234</v>
      </c>
      <c r="CY118" s="59">
        <f ca="1">AVERAGE(OFFSET($CX$3,0,0,'Données projet'!$E$13+1,1))-AVERAGE(OFFSET($H$3,0,0,'Données projet'!$E$13+1,1))</f>
        <v>565.32667500225568</v>
      </c>
      <c r="CZ118" s="59">
        <f t="shared" si="96"/>
        <v>275.06957234480944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0</v>
      </c>
      <c r="DG118" s="21">
        <f>EXP(-LN(2)/25)*DG117+(1-EXP(-LN(2)/25))/(LN(2)/25)*Calculateur!DB118*Calculateur!DD118*VLOOKUP('Données projet'!$B$13,Paramètres!$A$1:$I$89,3,0)*0.475*44/12</f>
        <v>0.41505244586469886</v>
      </c>
      <c r="DH118" s="21">
        <f>EXP(-LN(2)/2)*DH117+(1-EXP(-LN(2)/2))/(LN(2)/2)*DB118*DE118*VLOOKUP('Données projet'!$B$13,Paramètres!$A$1:$I$89,3,0)*0.475*44/12</f>
        <v>1.1388717447784535E-12</v>
      </c>
      <c r="DI118" s="22">
        <f t="shared" si="69"/>
        <v>0.41505244586583773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69.064421150563788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-1.2505552149377763E-12</v>
      </c>
      <c r="DP118" s="17">
        <f>DO118*VLOOKUP('Données projet'!$B$14,Paramètres!$A$1:$I$89,3,0)*VLOOKUP('Données projet'!$B$14,Paramètres!$A$1:$I$89,5,0)</f>
        <v>-6.9906036515021697E-13</v>
      </c>
      <c r="DQ118" s="13" t="e">
        <f t="shared" si="97"/>
        <v>#NUM!</v>
      </c>
      <c r="DR118" s="20" t="e">
        <f t="shared" si="70"/>
        <v>#NUM!</v>
      </c>
      <c r="DS118" s="59" t="e">
        <f t="shared" si="71"/>
        <v>#NUM!</v>
      </c>
      <c r="DT118" s="59">
        <f ca="1">AVERAGE(OFFSET($DS$3,0,0,'Données projet'!$E$14+1,1))-AVERAGE(OFFSET($H$3,0,0,'Données projet'!$E$14+1,1))</f>
        <v>532.64469322244281</v>
      </c>
      <c r="DU118" s="59">
        <f t="shared" si="98"/>
        <v>525.88014011096413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2.1212313575721882</v>
      </c>
      <c r="EB118" s="21">
        <f>EXP(-LN(2)/25)*EB117+(1-EXP(-LN(2)/25))/(LN(2)/25)*Calculateur!DW118*Calculateur!DY118*VLOOKUP('Données projet'!$B$14,Paramètres!$A$1:$I$89,3,0)*0.475*44/12</f>
        <v>3.6717675002776837</v>
      </c>
      <c r="EC118" s="21">
        <f>EXP(-LN(2)/2)*EC117+(1-EXP(-LN(2)/2))/(LN(2)/2)*DW118*DZ118*VLOOKUP('Données projet'!$B$14,Paramètres!$A$1:$I$89,3,0)*0.475*44/12</f>
        <v>5.8638583368164357E-12</v>
      </c>
      <c r="ED118" s="22">
        <f t="shared" si="72"/>
        <v>5.7929988578557357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69.064421150563788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3.7</v>
      </c>
      <c r="EJ118" s="12">
        <f>IF('Données projet'!$A$192&gt;35,EJ117+EI118-ER117,IF(A118&lt;'Données projet'!$A$192,$EG$205^A118,IF(A118='Données projet'!$A$192,'Données projet'!$B$192,EJ117+EI118-ER117)))</f>
        <v>284.49999999999994</v>
      </c>
      <c r="EK118" s="17">
        <f>EJ118*VLOOKUP('Données projet'!$B$15,Paramètres!$A$1:$I$89,3,0)*VLOOKUP('Données projet'!$B$15,Paramètres!$A$1:$I$89,5,0)</f>
        <v>257.41559999999993</v>
      </c>
      <c r="EL118" s="13">
        <f t="shared" si="99"/>
        <v>62.171168434977119</v>
      </c>
      <c r="EM118" s="20">
        <f t="shared" si="73"/>
        <v>556.61362169091831</v>
      </c>
      <c r="EN118" s="59">
        <f t="shared" si="74"/>
        <v>846.51649924298545</v>
      </c>
      <c r="EO118" s="59">
        <f ca="1">AVERAGE(OFFSET($EN$3,0,0,'Données projet'!$E$15+1,1))-AVERAGE(OFFSET($H$3,0,0,'Données projet'!$E$15+1,1))</f>
        <v>398.27843768730202</v>
      </c>
      <c r="EP118" s="59">
        <f t="shared" si="100"/>
        <v>252.3617347568813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0</v>
      </c>
      <c r="EW118" s="21">
        <f>EXP(-LN(2)/25)*EW117+(1-EXP(-LN(2)/25))/(LN(2)/25)*Calculateur!ER118*Calculateur!ET118*VLOOKUP('Données projet'!$B$15,Paramètres!$A$1:$I$89,3,0)*0.475*44/12</f>
        <v>0.29423262141249956</v>
      </c>
      <c r="EX118" s="21">
        <f>EXP(-LN(2)/2)*EX117+(1-EXP(-LN(2)/2))/(LN(2)/2)*ER118*EU118*VLOOKUP('Données projet'!$B$15,Paramètres!$A$1:$I$89,3,0)*0.475*44/12</f>
        <v>9.9510767517784854E-13</v>
      </c>
      <c r="EY118" s="22">
        <f t="shared" si="75"/>
        <v>0.29423262141349465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69.064421150563788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3.7</v>
      </c>
      <c r="FE118" s="12">
        <f>IF('Données projet'!$A$218&gt;35,FE117+FD118-FM117,IF(A118&lt;'Données projet'!$A$218,$FB$205^A118,IF(A118='Données projet'!$A$218,'Données projet'!$B$218,FE117+FD118-FM117)))</f>
        <v>284.49999999999994</v>
      </c>
      <c r="FF118" s="17">
        <f>FE118*VLOOKUP('Données projet'!$B$16,Paramètres!$A$1:$I$89,3,0)*VLOOKUP('Données projet'!$B$16,Paramètres!$A$1:$I$89,5,0)</f>
        <v>275.16839999999996</v>
      </c>
      <c r="FG118" s="13">
        <f t="shared" si="101"/>
        <v>65.944920834841611</v>
      </c>
      <c r="FH118" s="20">
        <f t="shared" si="76"/>
        <v>594.10570045401585</v>
      </c>
      <c r="FI118" s="59">
        <f t="shared" si="77"/>
        <v>884.0085780060831</v>
      </c>
      <c r="FJ118" s="59">
        <f ca="1">AVERAGE(OFFSET($FI$3,0,0,'Données projet'!$E$16+1,1))-AVERAGE(OFFSET($H$3,0,0,'Données projet'!$E$16+1,1))</f>
        <v>422.28024471365825</v>
      </c>
      <c r="FK118" s="59">
        <f t="shared" si="102"/>
        <v>266.49730479813206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0</v>
      </c>
      <c r="FR118" s="21">
        <f>EXP(-LN(2)/25)*FR117+(1-EXP(-LN(2)/25))/(LN(2)/25)*Calculateur!FM118*Calculateur!FO118*VLOOKUP('Données projet'!$B$16,Paramètres!$A$1:$I$89,3,0)*0.475*44/12</f>
        <v>0.31452452633749933</v>
      </c>
      <c r="FS118" s="21">
        <f>EXP(-LN(2)/2)*FS117+(1-EXP(-LN(2)/2))/(LN(2)/2)*FM118*FP118*VLOOKUP('Données projet'!$B$16,Paramètres!$A$1:$I$89,3,0)*0.475*44/12</f>
        <v>1.0637357907073551E-12</v>
      </c>
      <c r="FT118" s="22">
        <f t="shared" si="78"/>
        <v>0.31452452633856309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69.064421150563788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3.4106051316484809E-13</v>
      </c>
      <c r="GA118" s="17">
        <f>FZ118*VLOOKUP('Données projet'!$B$17,Paramètres!$A$1:$I$89,3,0)*VLOOKUP('Données projet'!$B$17,Paramètres!$A$1:$I$89,5,0)</f>
        <v>2.6602720026858149E-13</v>
      </c>
      <c r="GB118" s="13">
        <f t="shared" si="103"/>
        <v>3.5662905043956649E-12</v>
      </c>
      <c r="GC118" s="20">
        <f t="shared" si="79"/>
        <v>6.6746200022902298E-12</v>
      </c>
      <c r="GD118" s="59">
        <f t="shared" si="80"/>
        <v>289.90287755207385</v>
      </c>
      <c r="GE118" s="59">
        <f ca="1">AVERAGE(OFFSET($GD$3,0,0,'Données projet'!$E$17+1,1))-AVERAGE(OFFSET($H$3,0,0,'Données projet'!$E$17+1,1))</f>
        <v>300.95722646933314</v>
      </c>
      <c r="GF118" s="59">
        <f t="shared" si="104"/>
        <v>269.52365224623759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>
        <f>EXP(-LN(2)/35)*GL117+(1-EXP(-LN(2)/35))/(LN(2)/35)*GH118*GI118*VLOOKUP('Données projet'!$B$17,Paramètres!$A$1:$I$89,3,0)*0.475*44/12</f>
        <v>0.16529075513549493</v>
      </c>
      <c r="GM118" s="21">
        <f>EXP(-LN(2)/25)*GM117+(1-EXP(-LN(2)/25))/(LN(2)/25)*Calculateur!GH118*Calculateur!GJ118*VLOOKUP('Données projet'!$B$17,Paramètres!$A$1:$I$89,3,0)*0.475*44/12</f>
        <v>0.59104910005115585</v>
      </c>
      <c r="GN118" s="21">
        <f>EXP(-LN(2)/2)*GN117+(1-EXP(-LN(2)/2))/(LN(2)/2)*GH118*GK118*VLOOKUP('Données projet'!$B$17,Paramètres!$A$1:$I$89,3,0)*0.475*44/12</f>
        <v>1.4243217379187367E-12</v>
      </c>
      <c r="GO118" s="21">
        <f t="shared" si="81"/>
        <v>0.75633985518807512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69.064421150563788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1.4000000000000001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5.1333333333333337</v>
      </c>
      <c r="H119" s="67">
        <f t="shared" si="56"/>
        <v>236.13333333333335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69.080651351960555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4.5</v>
      </c>
      <c r="N119" s="13">
        <f>IF('Données projet'!$A$36&gt;35,N118+M119-V118,IF(A119&lt;'Données projet'!$A$36,$K$205^A119,IF(A119='Données projet'!$A$36,'Données projet'!$B$36,N118+M119-V118)))</f>
        <v>333.99999999999966</v>
      </c>
      <c r="O119" s="13">
        <f>N119*VLOOKUP('Données projet'!$B$9,Paramètres!$A$1:$I$89,3,0)*VLOOKUP('Données projet'!$B$9,Paramètres!$A$1:$I$89,5,0)</f>
        <v>302.2031999999997</v>
      </c>
      <c r="P119" s="13">
        <f t="shared" si="87"/>
        <v>71.638141943842228</v>
      </c>
      <c r="Q119" s="20">
        <f t="shared" si="107"/>
        <v>651.1070038855247</v>
      </c>
      <c r="R119" s="59">
        <f t="shared" si="55"/>
        <v>941.06939217604668</v>
      </c>
      <c r="S119" s="59">
        <f ca="1">AVERAGE(OFFSET($R$3,0,0,'Données projet'!$E$9+1,1))-AVERAGE(OFFSET($H$3,0,0,'Données projet'!$E$9+1,1))</f>
        <v>479.46542424895119</v>
      </c>
      <c r="T119" s="59">
        <f t="shared" si="88"/>
        <v>337.96395820277337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0.43861399148897051</v>
      </c>
      <c r="AA119" s="21">
        <f>EXP(-LN(2)/25)*AA118+(1-EXP(-LN(2)/25))/(LN(2)/25)*Calculateur!V119*Calculateur!X119*VLOOKUP('Données projet'!$B$9,Paramètres!$A$1:$I$89,3,0)*0.475*44/12</f>
        <v>1.0396194907598222</v>
      </c>
      <c r="AB119" s="21">
        <f>EXP(-LN(2)/2)*AB118+(1-EXP(-LN(2)/2))/(LN(2)/2)*V119*Y119*VLOOKUP('Données projet'!$B$9,Paramètres!$A$1:$I$89,3,0)*0.475*44/12</f>
        <v>2.4503307001972056E-12</v>
      </c>
      <c r="AC119" s="22">
        <f t="shared" si="57"/>
        <v>1.4782334822512431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69.080651351960555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4.5</v>
      </c>
      <c r="AI119" s="13">
        <f>IF('Données projet'!$A$62&gt;35,AI118+AH119-AQ118,IF(A119&lt;'Données projet'!$A$62,$AF$205^A119,IF(A119='Données projet'!$A$62,'Données projet'!$B$62,AI118+AH119-AQ118)))</f>
        <v>333.99999999999966</v>
      </c>
      <c r="AJ119" s="13">
        <f>AI119*VLOOKUP('Données projet'!$B$10,Paramètres!$A$1:$I$89,3,0)*VLOOKUP('Données projet'!$B$10,Paramètres!$A$1:$I$89,5,0)</f>
        <v>323.04479999999967</v>
      </c>
      <c r="AK119" s="13">
        <f t="shared" si="89"/>
        <v>75.986533921791761</v>
      </c>
      <c r="AL119" s="20">
        <f t="shared" si="58"/>
        <v>694.97957324712013</v>
      </c>
      <c r="AM119" s="59">
        <f t="shared" si="59"/>
        <v>984.9419615376421</v>
      </c>
      <c r="AN119" s="59">
        <f ca="1">AVERAGE(OFFSET($AM$3,0,0,'Données projet'!$E$10+1,1))-AVERAGE(OFFSET($H$3,0,0,'Données projet'!$E$10+1,1))</f>
        <v>508.94560627895089</v>
      </c>
      <c r="AO119" s="59">
        <f t="shared" si="90"/>
        <v>357.86868650263034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0.46886323228131366</v>
      </c>
      <c r="AV119" s="21">
        <f>EXP(-LN(2)/25)*AV118+(1-EXP(-LN(2)/25))/(LN(2)/25)*Calculateur!AQ119*Calculateur!AS119*VLOOKUP('Données projet'!$B$10,Paramètres!$A$1:$I$89,3,0)*0.475*44/12</f>
        <v>1.1113173866742929</v>
      </c>
      <c r="AW119" s="21">
        <f>EXP(-LN(2)/2)*AW118+(1-EXP(-LN(2)/2))/(LN(2)/2)*AQ119*AT119*VLOOKUP('Données projet'!$B$10,Paramètres!$A$1:$I$89,3,0)*0.475*44/12</f>
        <v>2.619319024348725E-12</v>
      </c>
      <c r="AX119" s="21">
        <f t="shared" si="60"/>
        <v>1.5801806189582259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69.080651351960555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1.7053025658242404E-13</v>
      </c>
      <c r="BE119" s="13">
        <f>BD119*VLOOKUP('Données projet'!$B$11,Paramètres!$A$1:$I$89,3,0)*VLOOKUP('Données projet'!$B$11,Paramètres!$A$1:$I$89,5,0)</f>
        <v>1.3301360013429075E-13</v>
      </c>
      <c r="BF119" s="13">
        <f t="shared" si="91"/>
        <v>1.9329766731057041E-12</v>
      </c>
      <c r="BG119" s="20">
        <f t="shared" si="61"/>
        <v>3.5982663925596575E-12</v>
      </c>
      <c r="BH119" s="59">
        <f t="shared" si="62"/>
        <v>289.96238829052561</v>
      </c>
      <c r="BI119" s="59">
        <f ca="1">AVERAGE(OFFSET($BH$3,0,0,'Données projet'!$E$11+1,1))-AVERAGE(OFFSET($H$3,0,0,'Données projet'!$E$11+1,1))</f>
        <v>383.03154033422328</v>
      </c>
      <c r="BJ119" s="59">
        <f t="shared" si="92"/>
        <v>373.27897156169877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0.26333044439762709</v>
      </c>
      <c r="BQ119" s="21">
        <f>EXP(-LN(2)/25)*BQ118+(1-EXP(-LN(2)/25))/(LN(2)/25)*Calculateur!BL119*Calculateur!BN119*VLOOKUP('Données projet'!$B$11,Paramètres!$A$1:$I$89,3,0)*0.475*44/12</f>
        <v>0.77129365959663632</v>
      </c>
      <c r="BR119" s="21">
        <f>EXP(-LN(2)/2)*BR118+(1-EXP(-LN(2)/2))/(LN(2)/2)*BL119*BO119*VLOOKUP('Données projet'!$B$11,Paramètres!$A$1:$I$89,3,0)*0.475*44/12</f>
        <v>1.48602107364034E-12</v>
      </c>
      <c r="BS119" s="22">
        <f t="shared" si="63"/>
        <v>1.0346241039957493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69.080651351960555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4.5</v>
      </c>
      <c r="BY119" s="12">
        <f>IF('Données projet'!$A$114&gt;35,BY118+BX119-CG118,IF(A119&lt;'Données projet'!$A$114,$BV$205^A119,IF(A119='Données projet'!$A$114,'Données projet'!$B$114,BY118+BX119-CG118)))</f>
        <v>333.99999999999966</v>
      </c>
      <c r="BZ119" s="13">
        <f>BY119*VLOOKUP('Données projet'!$B$12,Paramètres!$A$1:$I$89,3,0)*VLOOKUP('Données projet'!$B$12,Paramètres!$A$1:$I$89,5,0)</f>
        <v>281.36159999999973</v>
      </c>
      <c r="CA119" s="13">
        <f t="shared" si="93"/>
        <v>67.254672812309238</v>
      </c>
      <c r="CB119" s="20">
        <f t="shared" si="64"/>
        <v>607.17334181477145</v>
      </c>
      <c r="CC119" s="59">
        <f t="shared" si="65"/>
        <v>897.13573010529353</v>
      </c>
      <c r="CD119" s="59">
        <f ca="1">AVERAGE(OFFSET($CC$3,0,0,'Données projet'!$E$12+1,1))-AVERAGE(OFFSET($H$3,0,0,'Données projet'!$E$12+1,1))</f>
        <v>449.94334483948603</v>
      </c>
      <c r="CE119" s="59">
        <f t="shared" si="94"/>
        <v>318.02929110264176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0.40836475069662787</v>
      </c>
      <c r="CL119" s="21">
        <f>EXP(-LN(2)/25)*CL118+(1-EXP(-LN(2)/25))/(LN(2)/25)*Calculateur!CG119*Calculateur!CI119*VLOOKUP('Données projet'!$B$12,Paramètres!$A$1:$I$89,3,0)*0.475*44/12</f>
        <v>0.9679215948453519</v>
      </c>
      <c r="CM119" s="21">
        <f>EXP(-LN(2)/2)*CM118+(1-EXP(-LN(2)/2))/(LN(2)/2)*CG119*CJ119*VLOOKUP('Données projet'!$B$12,Paramètres!$A$1:$I$89,3,0)*0.475*44/12</f>
        <v>2.281342376045666E-12</v>
      </c>
      <c r="CN119" s="22">
        <f t="shared" si="66"/>
        <v>1.3762863455442611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69.080651351960555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5.8</v>
      </c>
      <c r="CT119" s="12">
        <f>IF('Données projet'!$A$140&gt;35,CT118+CS119-DB118,IF(A119&lt;'Données projet'!$A$140,$CQ$205^A119,IF(A119='Données projet'!$A$140,'Données projet'!$B$140,CT118+CS119-DB118)))</f>
        <v>430.80000000000018</v>
      </c>
      <c r="CU119" s="17">
        <f>CT119*VLOOKUP('Données projet'!$B$13,Paramètres!$A$1:$I$89,3,0)*VLOOKUP('Données projet'!$B$13,Paramètres!$A$1:$I$89,5,0)</f>
        <v>369.62640000000016</v>
      </c>
      <c r="CV119" s="13">
        <f t="shared" si="95"/>
        <v>85.590869081575732</v>
      </c>
      <c r="CW119" s="20">
        <f t="shared" si="67"/>
        <v>792.83674365041134</v>
      </c>
      <c r="CX119" s="59">
        <f t="shared" si="68"/>
        <v>1082.7991319409334</v>
      </c>
      <c r="CY119" s="59">
        <f ca="1">AVERAGE(OFFSET($CX$3,0,0,'Données projet'!$E$13+1,1))-AVERAGE(OFFSET($H$3,0,0,'Données projet'!$E$13+1,1))</f>
        <v>565.32667500225568</v>
      </c>
      <c r="CZ119" s="59">
        <f t="shared" si="96"/>
        <v>275.06957234480944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0</v>
      </c>
      <c r="DG119" s="21">
        <f>EXP(-LN(2)/25)*DG118+(1-EXP(-LN(2)/25))/(LN(2)/25)*Calculateur!DB119*Calculateur!DD119*VLOOKUP('Données projet'!$B$13,Paramètres!$A$1:$I$89,3,0)*0.475*44/12</f>
        <v>0.40370281490586918</v>
      </c>
      <c r="DH119" s="21">
        <f>EXP(-LN(2)/2)*DH118+(1-EXP(-LN(2)/2))/(LN(2)/2)*DB119*DE119*VLOOKUP('Données projet'!$B$13,Paramètres!$A$1:$I$89,3,0)*0.475*44/12</f>
        <v>8.053039336345995E-13</v>
      </c>
      <c r="DI119" s="22">
        <f t="shared" si="69"/>
        <v>0.40370281490667448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69.080651351960555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-1.2505552149377763E-12</v>
      </c>
      <c r="DP119" s="17">
        <f>DO119*VLOOKUP('Données projet'!$B$14,Paramètres!$A$1:$I$89,3,0)*VLOOKUP('Données projet'!$B$14,Paramètres!$A$1:$I$89,5,0)</f>
        <v>-6.9906036515021697E-13</v>
      </c>
      <c r="DQ119" s="13" t="e">
        <f t="shared" si="97"/>
        <v>#NUM!</v>
      </c>
      <c r="DR119" s="20" t="e">
        <f t="shared" si="70"/>
        <v>#NUM!</v>
      </c>
      <c r="DS119" s="59" t="e">
        <f t="shared" si="71"/>
        <v>#NUM!</v>
      </c>
      <c r="DT119" s="59">
        <f ca="1">AVERAGE(OFFSET($DS$3,0,0,'Données projet'!$E$14+1,1))-AVERAGE(OFFSET($H$3,0,0,'Données projet'!$E$14+1,1))</f>
        <v>532.64469322244281</v>
      </c>
      <c r="DU119" s="59">
        <f t="shared" si="98"/>
        <v>525.88014011096413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2.0796353044735714</v>
      </c>
      <c r="EB119" s="21">
        <f>EXP(-LN(2)/25)*EB118+(1-EXP(-LN(2)/25))/(LN(2)/25)*Calculateur!DW119*Calculateur!DY119*VLOOKUP('Données projet'!$B$14,Paramètres!$A$1:$I$89,3,0)*0.475*44/12</f>
        <v>3.5713628248927294</v>
      </c>
      <c r="EC119" s="21">
        <f>EXP(-LN(2)/2)*EC118+(1-EXP(-LN(2)/2))/(LN(2)/2)*DW119*DZ119*VLOOKUP('Données projet'!$B$14,Paramètres!$A$1:$I$89,3,0)*0.475*44/12</f>
        <v>4.1463739938801718E-12</v>
      </c>
      <c r="ED119" s="22">
        <f t="shared" si="72"/>
        <v>5.6509981293704463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69.080651351960555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3.7</v>
      </c>
      <c r="EJ119" s="12">
        <f>IF('Données projet'!$A$192&gt;35,EJ118+EI119-ER118,IF(A119&lt;'Données projet'!$A$192,$EG$205^A119,IF(A119='Données projet'!$A$192,'Données projet'!$B$192,EJ118+EI119-ER118)))</f>
        <v>288.19999999999993</v>
      </c>
      <c r="EK119" s="17">
        <f>EJ119*VLOOKUP('Données projet'!$B$15,Paramètres!$A$1:$I$89,3,0)*VLOOKUP('Données projet'!$B$15,Paramètres!$A$1:$I$89,5,0)</f>
        <v>260.76335999999992</v>
      </c>
      <c r="EL119" s="13">
        <f t="shared" si="99"/>
        <v>62.885067686031952</v>
      </c>
      <c r="EM119" s="20">
        <f t="shared" si="73"/>
        <v>563.68767821983886</v>
      </c>
      <c r="EN119" s="59">
        <f t="shared" si="74"/>
        <v>853.65006651036083</v>
      </c>
      <c r="EO119" s="59">
        <f ca="1">AVERAGE(OFFSET($EN$3,0,0,'Données projet'!$E$15+1,1))-AVERAGE(OFFSET($H$3,0,0,'Données projet'!$E$15+1,1))</f>
        <v>398.27843768730202</v>
      </c>
      <c r="EP119" s="59">
        <f t="shared" si="100"/>
        <v>252.3617347568813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0</v>
      </c>
      <c r="EW119" s="21">
        <f>EXP(-LN(2)/25)*EW118+(1-EXP(-LN(2)/25))/(LN(2)/25)*Calculateur!ER119*Calculateur!ET119*VLOOKUP('Données projet'!$B$15,Paramètres!$A$1:$I$89,3,0)*0.475*44/12</f>
        <v>0.28618681490695369</v>
      </c>
      <c r="EX119" s="21">
        <f>EXP(-LN(2)/2)*EX118+(1-EXP(-LN(2)/2))/(LN(2)/2)*ER119*EU119*VLOOKUP('Données projet'!$B$15,Paramètres!$A$1:$I$89,3,0)*0.475*44/12</f>
        <v>7.0364738512903697E-13</v>
      </c>
      <c r="EY119" s="22">
        <f t="shared" si="75"/>
        <v>0.28618681490765735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69.080651351960555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3.7</v>
      </c>
      <c r="FE119" s="12">
        <f>IF('Données projet'!$A$218&gt;35,FE118+FD119-FM118,IF(A119&lt;'Données projet'!$A$218,$FB$205^A119,IF(A119='Données projet'!$A$218,'Données projet'!$B$218,FE118+FD119-FM118)))</f>
        <v>288.19999999999993</v>
      </c>
      <c r="FF119" s="17">
        <f>FE119*VLOOKUP('Données projet'!$B$16,Paramètres!$A$1:$I$89,3,0)*VLOOKUP('Données projet'!$B$16,Paramètres!$A$1:$I$89,5,0)</f>
        <v>278.74703999999997</v>
      </c>
      <c r="FG119" s="13">
        <f t="shared" si="101"/>
        <v>66.702153339553263</v>
      </c>
      <c r="FH119" s="20">
        <f t="shared" si="76"/>
        <v>601.65734506638853</v>
      </c>
      <c r="FI119" s="59">
        <f t="shared" si="77"/>
        <v>891.6197333569105</v>
      </c>
      <c r="FJ119" s="59">
        <f ca="1">AVERAGE(OFFSET($FI$3,0,0,'Données projet'!$E$16+1,1))-AVERAGE(OFFSET($H$3,0,0,'Données projet'!$E$16+1,1))</f>
        <v>422.28024471365825</v>
      </c>
      <c r="FK119" s="59">
        <f t="shared" si="102"/>
        <v>266.49730479813206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0</v>
      </c>
      <c r="FR119" s="21">
        <f>EXP(-LN(2)/25)*FR118+(1-EXP(-LN(2)/25))/(LN(2)/25)*Calculateur!FM119*Calculateur!FO119*VLOOKUP('Données projet'!$B$16,Paramètres!$A$1:$I$89,3,0)*0.475*44/12</f>
        <v>0.30592383662467443</v>
      </c>
      <c r="FS119" s="21">
        <f>EXP(-LN(2)/2)*FS118+(1-EXP(-LN(2)/2))/(LN(2)/2)*FM119*FP119*VLOOKUP('Données projet'!$B$16,Paramètres!$A$1:$I$89,3,0)*0.475*44/12</f>
        <v>7.5217479100000489E-13</v>
      </c>
      <c r="FT119" s="22">
        <f t="shared" si="78"/>
        <v>0.3059238366254266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69.080651351960555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3.4106051316484809E-13</v>
      </c>
      <c r="GA119" s="17">
        <f>FZ119*VLOOKUP('Données projet'!$B$17,Paramètres!$A$1:$I$89,3,0)*VLOOKUP('Données projet'!$B$17,Paramètres!$A$1:$I$89,5,0)</f>
        <v>2.6602720026858149E-13</v>
      </c>
      <c r="GB119" s="13">
        <f t="shared" si="103"/>
        <v>3.5662905043956649E-12</v>
      </c>
      <c r="GC119" s="20">
        <f t="shared" si="79"/>
        <v>6.6746200022902298E-12</v>
      </c>
      <c r="GD119" s="59">
        <f t="shared" si="80"/>
        <v>289.96238829052868</v>
      </c>
      <c r="GE119" s="59">
        <f ca="1">AVERAGE(OFFSET($GD$3,0,0,'Données projet'!$E$17+1,1))-AVERAGE(OFFSET($H$3,0,0,'Données projet'!$E$17+1,1))</f>
        <v>300.95722646933314</v>
      </c>
      <c r="GF119" s="59">
        <f t="shared" si="104"/>
        <v>269.52365224623759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>
        <f>EXP(-LN(2)/35)*GL118+(1-EXP(-LN(2)/35))/(LN(2)/35)*GH119*GI119*VLOOKUP('Données projet'!$B$17,Paramètres!$A$1:$I$89,3,0)*0.475*44/12</f>
        <v>0.16204950424469361</v>
      </c>
      <c r="GM119" s="21">
        <f>EXP(-LN(2)/25)*GM118+(1-EXP(-LN(2)/25))/(LN(2)/25)*Calculateur!GH119*Calculateur!GJ119*VLOOKUP('Données projet'!$B$17,Paramètres!$A$1:$I$89,3,0)*0.475*44/12</f>
        <v>0.57488683132833573</v>
      </c>
      <c r="GN119" s="21">
        <f>EXP(-LN(2)/2)*GN118+(1-EXP(-LN(2)/2))/(LN(2)/2)*GH119*GK119*VLOOKUP('Données projet'!$B$17,Paramètres!$A$1:$I$89,3,0)*0.475*44/12</f>
        <v>1.0071475594737472E-12</v>
      </c>
      <c r="GO119" s="21">
        <f t="shared" si="81"/>
        <v>0.73693633557403659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69.080651351960555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1.4000000000000001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5.1333333333333337</v>
      </c>
      <c r="H120" s="67">
        <f t="shared" si="56"/>
        <v>236.13333333333335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69.096599995648376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4.5</v>
      </c>
      <c r="N120" s="13">
        <f>IF('Données projet'!$A$36&gt;35,N119+M120-V119,IF(A120&lt;'Données projet'!$A$36,$K$205^A120,IF(A120='Données projet'!$A$36,'Données projet'!$B$36,N119+M120-V119)))</f>
        <v>338.49999999999966</v>
      </c>
      <c r="O120" s="13">
        <f>N120*VLOOKUP('Données projet'!$B$9,Paramètres!$A$1:$I$89,3,0)*VLOOKUP('Données projet'!$B$9,Paramètres!$A$1:$I$89,5,0)</f>
        <v>306.27479999999969</v>
      </c>
      <c r="P120" s="13">
        <f t="shared" si="87"/>
        <v>72.490313602282981</v>
      </c>
      <c r="Q120" s="20">
        <f t="shared" si="107"/>
        <v>659.68257285730897</v>
      </c>
      <c r="R120" s="59">
        <f t="shared" si="55"/>
        <v>949.70343950801976</v>
      </c>
      <c r="S120" s="59">
        <f ca="1">AVERAGE(OFFSET($R$3,0,0,'Données projet'!$E$9+1,1))-AVERAGE(OFFSET($H$3,0,0,'Données projet'!$E$9+1,1))</f>
        <v>479.46542424895119</v>
      </c>
      <c r="T120" s="59">
        <f t="shared" si="88"/>
        <v>337.96395820277337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0.43001303864399038</v>
      </c>
      <c r="AA120" s="21">
        <f>EXP(-LN(2)/25)*AA119+(1-EXP(-LN(2)/25))/(LN(2)/25)*Calculateur!V120*Calculateur!X120*VLOOKUP('Données projet'!$B$9,Paramètres!$A$1:$I$89,3,0)*0.475*44/12</f>
        <v>1.0111910411137819</v>
      </c>
      <c r="AB120" s="21">
        <f>EXP(-LN(2)/2)*AB119+(1-EXP(-LN(2)/2))/(LN(2)/2)*V120*Y120*VLOOKUP('Données projet'!$B$9,Paramètres!$A$1:$I$89,3,0)*0.475*44/12</f>
        <v>1.7326454542590252E-12</v>
      </c>
      <c r="AC120" s="22">
        <f t="shared" si="57"/>
        <v>1.4412040797595049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69.096599995648376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4.5</v>
      </c>
      <c r="AI120" s="13">
        <f>IF('Données projet'!$A$62&gt;35,AI119+AH120-AQ119,IF(A120&lt;'Données projet'!$A$62,$AF$205^A120,IF(A120='Données projet'!$A$62,'Données projet'!$B$62,AI119+AH120-AQ119)))</f>
        <v>338.49999999999966</v>
      </c>
      <c r="AJ120" s="13">
        <f>AI120*VLOOKUP('Données projet'!$B$10,Paramètres!$A$1:$I$89,3,0)*VLOOKUP('Données projet'!$B$10,Paramètres!$A$1:$I$89,5,0)</f>
        <v>327.39719999999966</v>
      </c>
      <c r="AK120" s="13">
        <f t="shared" si="89"/>
        <v>76.890431885561796</v>
      </c>
      <c r="AL120" s="20">
        <f t="shared" si="58"/>
        <v>704.1342922006861</v>
      </c>
      <c r="AM120" s="59">
        <f t="shared" si="59"/>
        <v>994.15515885139689</v>
      </c>
      <c r="AN120" s="59">
        <f ca="1">AVERAGE(OFFSET($AM$3,0,0,'Données projet'!$E$10+1,1))-AVERAGE(OFFSET($H$3,0,0,'Données projet'!$E$10+1,1))</f>
        <v>508.94560627895089</v>
      </c>
      <c r="AO120" s="59">
        <f t="shared" si="90"/>
        <v>357.86868650263034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0.45966911027461077</v>
      </c>
      <c r="AV120" s="21">
        <f>EXP(-LN(2)/25)*AV119+(1-EXP(-LN(2)/25))/(LN(2)/25)*Calculateur!AQ120*Calculateur!AS120*VLOOKUP('Données projet'!$B$10,Paramètres!$A$1:$I$89,3,0)*0.475*44/12</f>
        <v>1.0809283542940429</v>
      </c>
      <c r="AW120" s="21">
        <f>EXP(-LN(2)/2)*AW119+(1-EXP(-LN(2)/2))/(LN(2)/2)*AQ120*AT120*VLOOKUP('Données projet'!$B$10,Paramètres!$A$1:$I$89,3,0)*0.475*44/12</f>
        <v>1.852138244207915E-12</v>
      </c>
      <c r="AX120" s="21">
        <f t="shared" si="60"/>
        <v>1.5405974645705058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69.096599995648376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1.7053025658242404E-13</v>
      </c>
      <c r="BE120" s="13">
        <f>BD120*VLOOKUP('Données projet'!$B$11,Paramètres!$A$1:$I$89,3,0)*VLOOKUP('Données projet'!$B$11,Paramètres!$A$1:$I$89,5,0)</f>
        <v>1.3301360013429075E-13</v>
      </c>
      <c r="BF120" s="13">
        <f t="shared" si="91"/>
        <v>1.9329766731057041E-12</v>
      </c>
      <c r="BG120" s="20">
        <f t="shared" si="61"/>
        <v>3.5982663925596575E-12</v>
      </c>
      <c r="BH120" s="59">
        <f t="shared" si="62"/>
        <v>290.02086665071431</v>
      </c>
      <c r="BI120" s="59">
        <f ca="1">AVERAGE(OFFSET($BH$3,0,0,'Données projet'!$E$11+1,1))-AVERAGE(OFFSET($H$3,0,0,'Données projet'!$E$11+1,1))</f>
        <v>383.03154033422328</v>
      </c>
      <c r="BJ120" s="59">
        <f t="shared" si="92"/>
        <v>373.27897156169877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0.25816669499870121</v>
      </c>
      <c r="BQ120" s="21">
        <f>EXP(-LN(2)/25)*BQ119+(1-EXP(-LN(2)/25))/(LN(2)/25)*Calculateur!BL120*Calculateur!BN120*VLOOKUP('Données projet'!$B$11,Paramètres!$A$1:$I$89,3,0)*0.475*44/12</f>
        <v>0.75020259391439559</v>
      </c>
      <c r="BR120" s="21">
        <f>EXP(-LN(2)/2)*BR119+(1-EXP(-LN(2)/2))/(LN(2)/2)*BL120*BO120*VLOOKUP('Données projet'!$B$11,Paramètres!$A$1:$I$89,3,0)*0.475*44/12</f>
        <v>1.0507755781571983E-12</v>
      </c>
      <c r="BS120" s="22">
        <f t="shared" si="63"/>
        <v>1.0083692889141476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69.096599995648376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4.5</v>
      </c>
      <c r="BY120" s="12">
        <f>IF('Données projet'!$A$114&gt;35,BY119+BX120-CG119,IF(A120&lt;'Données projet'!$A$114,$BV$205^A120,IF(A120='Données projet'!$A$114,'Données projet'!$B$114,BY119+BX120-CG119)))</f>
        <v>338.49999999999966</v>
      </c>
      <c r="BZ120" s="13">
        <f>BY120*VLOOKUP('Données projet'!$B$12,Paramètres!$A$1:$I$89,3,0)*VLOOKUP('Données projet'!$B$12,Paramètres!$A$1:$I$89,5,0)</f>
        <v>285.15239999999972</v>
      </c>
      <c r="CA120" s="13">
        <f t="shared" si="93"/>
        <v>68.054700905071442</v>
      </c>
      <c r="CB120" s="20">
        <f t="shared" si="64"/>
        <v>615.1690340763322</v>
      </c>
      <c r="CC120" s="59">
        <f t="shared" si="65"/>
        <v>905.18990072704287</v>
      </c>
      <c r="CD120" s="59">
        <f ca="1">AVERAGE(OFFSET($CC$3,0,0,'Données projet'!$E$12+1,1))-AVERAGE(OFFSET($H$3,0,0,'Données projet'!$E$12+1,1))</f>
        <v>449.94334483948603</v>
      </c>
      <c r="CE120" s="59">
        <f t="shared" si="94"/>
        <v>318.02929110264176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0.40035696701337053</v>
      </c>
      <c r="CL120" s="21">
        <f>EXP(-LN(2)/25)*CL119+(1-EXP(-LN(2)/25))/(LN(2)/25)*Calculateur!CG120*Calculateur!CI120*VLOOKUP('Données projet'!$B$12,Paramètres!$A$1:$I$89,3,0)*0.475*44/12</f>
        <v>0.94145372793352133</v>
      </c>
      <c r="CM120" s="21">
        <f>EXP(-LN(2)/2)*CM119+(1-EXP(-LN(2)/2))/(LN(2)/2)*CG120*CJ120*VLOOKUP('Données projet'!$B$12,Paramètres!$A$1:$I$89,3,0)*0.475*44/12</f>
        <v>1.6131526643101212E-12</v>
      </c>
      <c r="CN120" s="22">
        <f t="shared" si="66"/>
        <v>1.3418106949485049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69.096599995648376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5.8</v>
      </c>
      <c r="CT120" s="12">
        <f>IF('Données projet'!$A$140&gt;35,CT119+CS120-DB119,IF(A120&lt;'Données projet'!$A$140,$CQ$205^A120,IF(A120='Données projet'!$A$140,'Données projet'!$B$140,CT119+CS120-DB119)))</f>
        <v>436.60000000000019</v>
      </c>
      <c r="CU120" s="17">
        <f>CT120*VLOOKUP('Données projet'!$B$13,Paramètres!$A$1:$I$89,3,0)*VLOOKUP('Données projet'!$B$13,Paramètres!$A$1:$I$89,5,0)</f>
        <v>374.60280000000023</v>
      </c>
      <c r="CV120" s="13">
        <f t="shared" si="95"/>
        <v>86.608280728602296</v>
      </c>
      <c r="CW120" s="20">
        <f t="shared" si="67"/>
        <v>803.27596560231598</v>
      </c>
      <c r="CX120" s="59">
        <f t="shared" si="68"/>
        <v>1093.2968322530267</v>
      </c>
      <c r="CY120" s="59">
        <f ca="1">AVERAGE(OFFSET($CX$3,0,0,'Données projet'!$E$13+1,1))-AVERAGE(OFFSET($H$3,0,0,'Données projet'!$E$13+1,1))</f>
        <v>565.32667500225568</v>
      </c>
      <c r="CZ120" s="59">
        <f t="shared" si="96"/>
        <v>275.06957234480944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0</v>
      </c>
      <c r="DG120" s="21">
        <f>EXP(-LN(2)/25)*DG119+(1-EXP(-LN(2)/25))/(LN(2)/25)*Calculateur!DB120*Calculateur!DD120*VLOOKUP('Données projet'!$B$13,Paramètres!$A$1:$I$89,3,0)*0.475*44/12</f>
        <v>0.3926635402024598</v>
      </c>
      <c r="DH120" s="21">
        <f>EXP(-LN(2)/2)*DH119+(1-EXP(-LN(2)/2))/(LN(2)/2)*DB120*DE120*VLOOKUP('Données projet'!$B$13,Paramètres!$A$1:$I$89,3,0)*0.475*44/12</f>
        <v>5.6943587238922673E-13</v>
      </c>
      <c r="DI120" s="22">
        <f t="shared" si="69"/>
        <v>0.39266354020302924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69.096599995648376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-1.2505552149377763E-12</v>
      </c>
      <c r="DP120" s="17">
        <f>DO120*VLOOKUP('Données projet'!$B$14,Paramètres!$A$1:$I$89,3,0)*VLOOKUP('Données projet'!$B$14,Paramètres!$A$1:$I$89,5,0)</f>
        <v>-6.9906036515021697E-13</v>
      </c>
      <c r="DQ120" s="13" t="e">
        <f t="shared" si="97"/>
        <v>#NUM!</v>
      </c>
      <c r="DR120" s="20" t="e">
        <f t="shared" si="70"/>
        <v>#NUM!</v>
      </c>
      <c r="DS120" s="59" t="e">
        <f t="shared" si="71"/>
        <v>#NUM!</v>
      </c>
      <c r="DT120" s="59">
        <f ca="1">AVERAGE(OFFSET($DS$3,0,0,'Données projet'!$E$14+1,1))-AVERAGE(OFFSET($H$3,0,0,'Données projet'!$E$14+1,1))</f>
        <v>532.64469322244281</v>
      </c>
      <c r="DU120" s="59">
        <f t="shared" si="98"/>
        <v>525.88014011096413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2.0388549246051313</v>
      </c>
      <c r="EB120" s="21">
        <f>EXP(-LN(2)/25)*EB119+(1-EXP(-LN(2)/25))/(LN(2)/25)*Calculateur!DW120*Calculateur!DY120*VLOOKUP('Données projet'!$B$14,Paramètres!$A$1:$I$89,3,0)*0.475*44/12</f>
        <v>3.4737037206362293</v>
      </c>
      <c r="EC120" s="21">
        <f>EXP(-LN(2)/2)*EC119+(1-EXP(-LN(2)/2))/(LN(2)/2)*DW120*DZ120*VLOOKUP('Données projet'!$B$14,Paramètres!$A$1:$I$89,3,0)*0.475*44/12</f>
        <v>2.9319291684082178E-12</v>
      </c>
      <c r="ED120" s="22">
        <f t="shared" si="72"/>
        <v>5.512558645244293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69.096599995648376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3.7</v>
      </c>
      <c r="EJ120" s="12">
        <f>IF('Données projet'!$A$192&gt;35,EJ119+EI120-ER119,IF(A120&lt;'Données projet'!$A$192,$EG$205^A120,IF(A120='Données projet'!$A$192,'Données projet'!$B$192,EJ119+EI120-ER119)))</f>
        <v>291.89999999999992</v>
      </c>
      <c r="EK120" s="17">
        <f>EJ120*VLOOKUP('Données projet'!$B$15,Paramètres!$A$1:$I$89,3,0)*VLOOKUP('Données projet'!$B$15,Paramètres!$A$1:$I$89,5,0)</f>
        <v>264.11111999999991</v>
      </c>
      <c r="EL120" s="13">
        <f t="shared" si="99"/>
        <v>63.59790086687066</v>
      </c>
      <c r="EM120" s="20">
        <f t="shared" si="73"/>
        <v>570.75987800979954</v>
      </c>
      <c r="EN120" s="59">
        <f t="shared" si="74"/>
        <v>860.78074466051021</v>
      </c>
      <c r="EO120" s="59">
        <f ca="1">AVERAGE(OFFSET($EN$3,0,0,'Données projet'!$E$15+1,1))-AVERAGE(OFFSET($H$3,0,0,'Données projet'!$E$15+1,1))</f>
        <v>398.27843768730202</v>
      </c>
      <c r="EP120" s="59">
        <f t="shared" si="100"/>
        <v>252.3617347568813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0</v>
      </c>
      <c r="EW120" s="21">
        <f>EXP(-LN(2)/25)*EW119+(1-EXP(-LN(2)/25))/(LN(2)/25)*Calculateur!ER120*Calculateur!ET120*VLOOKUP('Données projet'!$B$15,Paramètres!$A$1:$I$89,3,0)*0.475*44/12</f>
        <v>0.27836102140341251</v>
      </c>
      <c r="EX120" s="21">
        <f>EXP(-LN(2)/2)*EX119+(1-EXP(-LN(2)/2))/(LN(2)/2)*ER120*EU120*VLOOKUP('Données projet'!$B$15,Paramètres!$A$1:$I$89,3,0)*0.475*44/12</f>
        <v>4.9755383758892427E-13</v>
      </c>
      <c r="EY120" s="22">
        <f t="shared" si="75"/>
        <v>0.27836102140391006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69.096599995648376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3.7</v>
      </c>
      <c r="FE120" s="12">
        <f>IF('Données projet'!$A$218&gt;35,FE119+FD120-FM119,IF(A120&lt;'Données projet'!$A$218,$FB$205^A120,IF(A120='Données projet'!$A$218,'Données projet'!$B$218,FE119+FD120-FM119)))</f>
        <v>291.89999999999992</v>
      </c>
      <c r="FF120" s="17">
        <f>FE120*VLOOKUP('Données projet'!$B$16,Paramètres!$A$1:$I$89,3,0)*VLOOKUP('Données projet'!$B$16,Paramètres!$A$1:$I$89,5,0)</f>
        <v>282.32567999999992</v>
      </c>
      <c r="FG120" s="13">
        <f t="shared" si="101"/>
        <v>67.458255064230045</v>
      </c>
      <c r="FH120" s="20">
        <f t="shared" si="76"/>
        <v>609.20702023686715</v>
      </c>
      <c r="FI120" s="59">
        <f t="shared" si="77"/>
        <v>899.22788688757782</v>
      </c>
      <c r="FJ120" s="59">
        <f ca="1">AVERAGE(OFFSET($FI$3,0,0,'Données projet'!$E$16+1,1))-AVERAGE(OFFSET($H$3,0,0,'Données projet'!$E$16+1,1))</f>
        <v>422.28024471365825</v>
      </c>
      <c r="FK120" s="59">
        <f t="shared" si="102"/>
        <v>266.49730479813206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0</v>
      </c>
      <c r="FR120" s="21">
        <f>EXP(-LN(2)/25)*FR119+(1-EXP(-LN(2)/25))/(LN(2)/25)*Calculateur!FM120*Calculateur!FO120*VLOOKUP('Données projet'!$B$16,Paramètres!$A$1:$I$89,3,0)*0.475*44/12</f>
        <v>0.29755833322433733</v>
      </c>
      <c r="FS120" s="21">
        <f>EXP(-LN(2)/2)*FS119+(1-EXP(-LN(2)/2))/(LN(2)/2)*FM120*FP120*VLOOKUP('Données projet'!$B$16,Paramètres!$A$1:$I$89,3,0)*0.475*44/12</f>
        <v>5.3186789535367756E-13</v>
      </c>
      <c r="FT120" s="22">
        <f t="shared" si="78"/>
        <v>0.29755833322486919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69.096599995648376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3.4106051316484809E-13</v>
      </c>
      <c r="GA120" s="17">
        <f>FZ120*VLOOKUP('Données projet'!$B$17,Paramètres!$A$1:$I$89,3,0)*VLOOKUP('Données projet'!$B$17,Paramètres!$A$1:$I$89,5,0)</f>
        <v>2.6602720026858149E-13</v>
      </c>
      <c r="GB120" s="13">
        <f t="shared" si="103"/>
        <v>3.5662905043956649E-12</v>
      </c>
      <c r="GC120" s="20">
        <f t="shared" si="79"/>
        <v>6.6746200022902298E-12</v>
      </c>
      <c r="GD120" s="59">
        <f t="shared" si="80"/>
        <v>290.02086665071738</v>
      </c>
      <c r="GE120" s="59">
        <f ca="1">AVERAGE(OFFSET($GD$3,0,0,'Données projet'!$E$17+1,1))-AVERAGE(OFFSET($H$3,0,0,'Données projet'!$E$17+1,1))</f>
        <v>300.95722646933314</v>
      </c>
      <c r="GF120" s="59">
        <f t="shared" si="104"/>
        <v>269.52365224623759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>
        <f>EXP(-LN(2)/35)*GL119+(1-EXP(-LN(2)/35))/(LN(2)/35)*GH120*GI120*VLOOKUP('Données projet'!$B$17,Paramètres!$A$1:$I$89,3,0)*0.475*44/12</f>
        <v>0.15887181230689307</v>
      </c>
      <c r="GM120" s="21">
        <f>EXP(-LN(2)/25)*GM119+(1-EXP(-LN(2)/25))/(LN(2)/25)*Calculateur!GH120*Calculateur!GJ120*VLOOKUP('Données projet'!$B$17,Paramètres!$A$1:$I$89,3,0)*0.475*44/12</f>
        <v>0.55916652069367789</v>
      </c>
      <c r="GN120" s="21">
        <f>EXP(-LN(2)/2)*GN119+(1-EXP(-LN(2)/2))/(LN(2)/2)*GH120*GK120*VLOOKUP('Données projet'!$B$17,Paramètres!$A$1:$I$89,3,0)*0.475*44/12</f>
        <v>7.1216086895936834E-13</v>
      </c>
      <c r="GO120" s="21">
        <f t="shared" si="81"/>
        <v>0.71803833300128317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69.096599995648376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1.4000000000000001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5.1333333333333337</v>
      </c>
      <c r="H121" s="67">
        <f t="shared" si="56"/>
        <v>236.13333333333335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69.112271966024025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4.5</v>
      </c>
      <c r="N121" s="13">
        <f>IF('Données projet'!$A$36&gt;35,N120+M121-V120,IF(A121&lt;'Données projet'!$A$36,$K$205^A121,IF(A121='Données projet'!$A$36,'Données projet'!$B$36,N120+M121-V120)))</f>
        <v>342.99999999999966</v>
      </c>
      <c r="O121" s="13">
        <f>N121*VLOOKUP('Données projet'!$B$9,Paramètres!$A$1:$I$89,3,0)*VLOOKUP('Données projet'!$B$9,Paramètres!$A$1:$I$89,5,0)</f>
        <v>310.34639999999968</v>
      </c>
      <c r="P121" s="13">
        <f t="shared" si="87"/>
        <v>73.341167576152998</v>
      </c>
      <c r="Q121" s="20">
        <f t="shared" si="107"/>
        <v>668.25584686179923</v>
      </c>
      <c r="R121" s="59">
        <f t="shared" si="55"/>
        <v>958.33417740388722</v>
      </c>
      <c r="S121" s="59">
        <f ca="1">AVERAGE(OFFSET($R$3,0,0,'Données projet'!$E$9+1,1))-AVERAGE(OFFSET($H$3,0,0,'Données projet'!$E$9+1,1))</f>
        <v>479.46542424895119</v>
      </c>
      <c r="T121" s="59">
        <f t="shared" si="88"/>
        <v>337.96395820277337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0.42158074523823708</v>
      </c>
      <c r="AA121" s="21">
        <f>EXP(-LN(2)/25)*AA120+(1-EXP(-LN(2)/25))/(LN(2)/25)*Calculateur!V121*Calculateur!X121*VLOOKUP('Données projet'!$B$9,Paramètres!$A$1:$I$89,3,0)*0.475*44/12</f>
        <v>0.98353996891829976</v>
      </c>
      <c r="AB121" s="21">
        <f>EXP(-LN(2)/2)*AB120+(1-EXP(-LN(2)/2))/(LN(2)/2)*V121*Y121*VLOOKUP('Données projet'!$B$9,Paramètres!$A$1:$I$89,3,0)*0.475*44/12</f>
        <v>1.2251653500986028E-12</v>
      </c>
      <c r="AC121" s="22">
        <f t="shared" si="57"/>
        <v>1.405120714157762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69.112271966024025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4.5</v>
      </c>
      <c r="AI121" s="13">
        <f>IF('Données projet'!$A$62&gt;35,AI120+AH121-AQ120,IF(A121&lt;'Données projet'!$A$62,$AF$205^A121,IF(A121='Données projet'!$A$62,'Données projet'!$B$62,AI120+AH121-AQ120)))</f>
        <v>342.99999999999966</v>
      </c>
      <c r="AJ121" s="13">
        <f>AI121*VLOOKUP('Données projet'!$B$10,Paramètres!$A$1:$I$89,3,0)*VLOOKUP('Données projet'!$B$10,Paramètres!$A$1:$I$89,5,0)</f>
        <v>331.7495999999997</v>
      </c>
      <c r="AK121" s="13">
        <f t="shared" si="89"/>
        <v>77.792932182102746</v>
      </c>
      <c r="AL121" s="20">
        <f t="shared" si="58"/>
        <v>713.28657688382839</v>
      </c>
      <c r="AM121" s="59">
        <f t="shared" si="59"/>
        <v>1003.3649074259165</v>
      </c>
      <c r="AN121" s="59">
        <f ca="1">AVERAGE(OFFSET($AM$3,0,0,'Données projet'!$E$10+1,1))-AVERAGE(OFFSET($H$3,0,0,'Données projet'!$E$10+1,1))</f>
        <v>508.94560627895089</v>
      </c>
      <c r="AO121" s="59">
        <f t="shared" si="90"/>
        <v>357.86868650263034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0.45065527939259864</v>
      </c>
      <c r="AV121" s="21">
        <f>EXP(-LN(2)/25)*AV120+(1-EXP(-LN(2)/25))/(LN(2)/25)*Calculateur!AQ121*Calculateur!AS121*VLOOKUP('Données projet'!$B$10,Paramètres!$A$1:$I$89,3,0)*0.475*44/12</f>
        <v>1.0513703116023205</v>
      </c>
      <c r="AW121" s="21">
        <f>EXP(-LN(2)/2)*AW120+(1-EXP(-LN(2)/2))/(LN(2)/2)*AQ121*AT121*VLOOKUP('Données projet'!$B$10,Paramètres!$A$1:$I$89,3,0)*0.475*44/12</f>
        <v>1.3096595121743625E-12</v>
      </c>
      <c r="AX121" s="21">
        <f t="shared" si="60"/>
        <v>1.5020255909962288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69.112271966024025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1.7053025658242404E-13</v>
      </c>
      <c r="BE121" s="13">
        <f>BD121*VLOOKUP('Données projet'!$B$11,Paramètres!$A$1:$I$89,3,0)*VLOOKUP('Données projet'!$B$11,Paramètres!$A$1:$I$89,5,0)</f>
        <v>1.3301360013429075E-13</v>
      </c>
      <c r="BF121" s="13">
        <f t="shared" si="91"/>
        <v>1.9329766731057041E-12</v>
      </c>
      <c r="BG121" s="20">
        <f t="shared" si="61"/>
        <v>3.5982663925596575E-12</v>
      </c>
      <c r="BH121" s="59">
        <f t="shared" si="62"/>
        <v>290.07833054209163</v>
      </c>
      <c r="BI121" s="59">
        <f ca="1">AVERAGE(OFFSET($BH$3,0,0,'Données projet'!$E$11+1,1))-AVERAGE(OFFSET($H$3,0,0,'Données projet'!$E$11+1,1))</f>
        <v>383.03154033422328</v>
      </c>
      <c r="BJ121" s="59">
        <f t="shared" si="92"/>
        <v>373.27897156169877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0.25310420357591212</v>
      </c>
      <c r="BQ121" s="21">
        <f>EXP(-LN(2)/25)*BQ120+(1-EXP(-LN(2)/25))/(LN(2)/25)*Calculateur!BL121*Calculateur!BN121*VLOOKUP('Données projet'!$B$11,Paramètres!$A$1:$I$89,3,0)*0.475*44/12</f>
        <v>0.72968826453236668</v>
      </c>
      <c r="BR121" s="21">
        <f>EXP(-LN(2)/2)*BR120+(1-EXP(-LN(2)/2))/(LN(2)/2)*BL121*BO121*VLOOKUP('Données projet'!$B$11,Paramètres!$A$1:$I$89,3,0)*0.475*44/12</f>
        <v>7.4301053682017001E-13</v>
      </c>
      <c r="BS121" s="22">
        <f t="shared" si="63"/>
        <v>0.98279246810902177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69.112271966024025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4.5</v>
      </c>
      <c r="BY121" s="12">
        <f>IF('Données projet'!$A$114&gt;35,BY120+BX121-CG120,IF(A121&lt;'Données projet'!$A$114,$BV$205^A121,IF(A121='Données projet'!$A$114,'Données projet'!$B$114,BY120+BX121-CG120)))</f>
        <v>342.99999999999966</v>
      </c>
      <c r="BZ121" s="13">
        <f>BY121*VLOOKUP('Données projet'!$B$12,Paramètres!$A$1:$I$89,3,0)*VLOOKUP('Données projet'!$B$12,Paramètres!$A$1:$I$89,5,0)</f>
        <v>288.94319999999976</v>
      </c>
      <c r="CA121" s="13">
        <f t="shared" si="93"/>
        <v>68.853491941116658</v>
      </c>
      <c r="CB121" s="20">
        <f t="shared" si="64"/>
        <v>623.16257179744446</v>
      </c>
      <c r="CC121" s="59">
        <f t="shared" si="65"/>
        <v>913.24090233953257</v>
      </c>
      <c r="CD121" s="59">
        <f ca="1">AVERAGE(OFFSET($CC$3,0,0,'Données projet'!$E$12+1,1))-AVERAGE(OFFSET($H$3,0,0,'Données projet'!$E$12+1,1))</f>
        <v>449.94334483948603</v>
      </c>
      <c r="CE121" s="59">
        <f t="shared" si="94"/>
        <v>318.02929110264176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0.39250621108387612</v>
      </c>
      <c r="CL121" s="21">
        <f>EXP(-LN(2)/25)*CL120+(1-EXP(-LN(2)/25))/(LN(2)/25)*Calculateur!CG121*Calculateur!CI121*VLOOKUP('Données projet'!$B$12,Paramètres!$A$1:$I$89,3,0)*0.475*44/12</f>
        <v>0.91570962623427932</v>
      </c>
      <c r="CM121" s="21">
        <f>EXP(-LN(2)/2)*CM120+(1-EXP(-LN(2)/2))/(LN(2)/2)*CG121*CJ121*VLOOKUP('Données projet'!$B$12,Paramètres!$A$1:$I$89,3,0)*0.475*44/12</f>
        <v>1.140671188022833E-12</v>
      </c>
      <c r="CN121" s="22">
        <f t="shared" si="66"/>
        <v>1.308215837319296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69.112271966024025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5.8</v>
      </c>
      <c r="CT121" s="12">
        <f>IF('Données projet'!$A$140&gt;35,CT120+CS121-DB120,IF(A121&lt;'Données projet'!$A$140,$CQ$205^A121,IF(A121='Données projet'!$A$140,'Données projet'!$B$140,CT120+CS121-DB120)))</f>
        <v>442.4000000000002</v>
      </c>
      <c r="CU121" s="17">
        <f>CT121*VLOOKUP('Données projet'!$B$13,Paramètres!$A$1:$I$89,3,0)*VLOOKUP('Données projet'!$B$13,Paramètres!$A$1:$I$89,5,0)</f>
        <v>379.57920000000024</v>
      </c>
      <c r="CV121" s="13">
        <f t="shared" si="95"/>
        <v>87.624120306204901</v>
      </c>
      <c r="CW121" s="20">
        <f t="shared" si="67"/>
        <v>813.71244953330722</v>
      </c>
      <c r="CX121" s="59">
        <f t="shared" si="68"/>
        <v>1103.7907800753953</v>
      </c>
      <c r="CY121" s="59">
        <f ca="1">AVERAGE(OFFSET($CX$3,0,0,'Données projet'!$E$13+1,1))-AVERAGE(OFFSET($H$3,0,0,'Données projet'!$E$13+1,1))</f>
        <v>565.32667500225568</v>
      </c>
      <c r="CZ121" s="59">
        <f t="shared" si="96"/>
        <v>275.06957234480944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0</v>
      </c>
      <c r="DG121" s="21">
        <f>EXP(-LN(2)/25)*DG120+(1-EXP(-LN(2)/25))/(LN(2)/25)*Calculateur!DB121*Calculateur!DD121*VLOOKUP('Données projet'!$B$13,Paramètres!$A$1:$I$89,3,0)*0.475*44/12</f>
        <v>0.38192613504634543</v>
      </c>
      <c r="DH121" s="21">
        <f>EXP(-LN(2)/2)*DH120+(1-EXP(-LN(2)/2))/(LN(2)/2)*DB121*DE121*VLOOKUP('Données projet'!$B$13,Paramètres!$A$1:$I$89,3,0)*0.475*44/12</f>
        <v>4.0265196681729975E-13</v>
      </c>
      <c r="DI121" s="22">
        <f t="shared" si="69"/>
        <v>0.38192613504674811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69.112271966024025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-1.2505552149377763E-12</v>
      </c>
      <c r="DP121" s="17">
        <f>DO121*VLOOKUP('Données projet'!$B$14,Paramètres!$A$1:$I$89,3,0)*VLOOKUP('Données projet'!$B$14,Paramètres!$A$1:$I$89,5,0)</f>
        <v>-6.9906036515021697E-13</v>
      </c>
      <c r="DQ121" s="13" t="e">
        <f t="shared" si="97"/>
        <v>#NUM!</v>
      </c>
      <c r="DR121" s="20" t="e">
        <f t="shared" si="70"/>
        <v>#NUM!</v>
      </c>
      <c r="DS121" s="59" t="e">
        <f t="shared" si="71"/>
        <v>#NUM!</v>
      </c>
      <c r="DT121" s="59">
        <f ca="1">AVERAGE(OFFSET($DS$3,0,0,'Données projet'!$E$14+1,1))-AVERAGE(OFFSET($H$3,0,0,'Données projet'!$E$14+1,1))</f>
        <v>532.64469322244281</v>
      </c>
      <c r="DU121" s="59">
        <f t="shared" si="98"/>
        <v>525.88014011096413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1.9988742231123355</v>
      </c>
      <c r="EB121" s="21">
        <f>EXP(-LN(2)/25)*EB120+(1-EXP(-LN(2)/25))/(LN(2)/25)*Calculateur!DW121*Calculateur!DY121*VLOOKUP('Données projet'!$B$14,Paramètres!$A$1:$I$89,3,0)*0.475*44/12</f>
        <v>3.3787151097212922</v>
      </c>
      <c r="EC121" s="21">
        <f>EXP(-LN(2)/2)*EC120+(1-EXP(-LN(2)/2))/(LN(2)/2)*DW121*DZ121*VLOOKUP('Données projet'!$B$14,Paramètres!$A$1:$I$89,3,0)*0.475*44/12</f>
        <v>2.0731869969400859E-12</v>
      </c>
      <c r="ED121" s="22">
        <f t="shared" si="72"/>
        <v>5.3775893328357007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69.112271966024025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3.7</v>
      </c>
      <c r="EJ121" s="12">
        <f>IF('Données projet'!$A$192&gt;35,EJ120+EI121-ER120,IF(A121&lt;'Données projet'!$A$192,$EG$205^A121,IF(A121='Données projet'!$A$192,'Données projet'!$B$192,EJ120+EI121-ER120)))</f>
        <v>295.59999999999991</v>
      </c>
      <c r="EK121" s="17">
        <f>EJ121*VLOOKUP('Données projet'!$B$15,Paramètres!$A$1:$I$89,3,0)*VLOOKUP('Données projet'!$B$15,Paramètres!$A$1:$I$89,5,0)</f>
        <v>267.45887999999991</v>
      </c>
      <c r="EL121" s="13">
        <f t="shared" si="99"/>
        <v>64.309683053152384</v>
      </c>
      <c r="EM121" s="20">
        <f t="shared" si="73"/>
        <v>577.83024731757359</v>
      </c>
      <c r="EN121" s="59">
        <f t="shared" si="74"/>
        <v>867.90857785966159</v>
      </c>
      <c r="EO121" s="59">
        <f ca="1">AVERAGE(OFFSET($EN$3,0,0,'Données projet'!$E$15+1,1))-AVERAGE(OFFSET($H$3,0,0,'Données projet'!$E$15+1,1))</f>
        <v>398.27843768730202</v>
      </c>
      <c r="EP121" s="59">
        <f t="shared" si="100"/>
        <v>252.3617347568813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0</v>
      </c>
      <c r="EW121" s="21">
        <f>EXP(-LN(2)/25)*EW120+(1-EXP(-LN(2)/25))/(LN(2)/25)*Calculateur!ER121*Calculateur!ET121*VLOOKUP('Données projet'!$B$15,Paramètres!$A$1:$I$89,3,0)*0.475*44/12</f>
        <v>0.27074922463476631</v>
      </c>
      <c r="EX121" s="21">
        <f>EXP(-LN(2)/2)*EX120+(1-EXP(-LN(2)/2))/(LN(2)/2)*ER121*EU121*VLOOKUP('Données projet'!$B$15,Paramètres!$A$1:$I$89,3,0)*0.475*44/12</f>
        <v>3.5182369256451848E-13</v>
      </c>
      <c r="EY121" s="22">
        <f t="shared" si="75"/>
        <v>0.27074922463511814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69.112271966024025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3.7</v>
      </c>
      <c r="FE121" s="12">
        <f>IF('Données projet'!$A$218&gt;35,FE120+FD121-FM120,IF(A121&lt;'Données projet'!$A$218,$FB$205^A121,IF(A121='Données projet'!$A$218,'Données projet'!$B$218,FE120+FD121-FM120)))</f>
        <v>295.59999999999991</v>
      </c>
      <c r="FF121" s="17">
        <f>FE121*VLOOKUP('Données projet'!$B$16,Paramètres!$A$1:$I$89,3,0)*VLOOKUP('Données projet'!$B$16,Paramètres!$A$1:$I$89,5,0)</f>
        <v>285.90431999999993</v>
      </c>
      <c r="FG121" s="13">
        <f t="shared" si="101"/>
        <v>68.21324199961451</v>
      </c>
      <c r="FH121" s="20">
        <f t="shared" si="76"/>
        <v>616.75475381599517</v>
      </c>
      <c r="FI121" s="59">
        <f t="shared" si="77"/>
        <v>906.83308435808317</v>
      </c>
      <c r="FJ121" s="59">
        <f ca="1">AVERAGE(OFFSET($FI$3,0,0,'Données projet'!$E$16+1,1))-AVERAGE(OFFSET($H$3,0,0,'Données projet'!$E$16+1,1))</f>
        <v>422.28024471365825</v>
      </c>
      <c r="FK121" s="59">
        <f t="shared" si="102"/>
        <v>266.49730479813206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0</v>
      </c>
      <c r="FR121" s="21">
        <f>EXP(-LN(2)/25)*FR120+(1-EXP(-LN(2)/25))/(LN(2)/25)*Calculateur!FM121*Calculateur!FO121*VLOOKUP('Données projet'!$B$16,Paramètres!$A$1:$I$89,3,0)*0.475*44/12</f>
        <v>0.28942158495440518</v>
      </c>
      <c r="FS121" s="21">
        <f>EXP(-LN(2)/2)*FS120+(1-EXP(-LN(2)/2))/(LN(2)/2)*FM121*FP121*VLOOKUP('Données projet'!$B$16,Paramètres!$A$1:$I$89,3,0)*0.475*44/12</f>
        <v>3.7608739550000244E-13</v>
      </c>
      <c r="FT121" s="22">
        <f t="shared" si="78"/>
        <v>0.28942158495478126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69.112271966024025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3.4106051316484809E-13</v>
      </c>
      <c r="GA121" s="17">
        <f>FZ121*VLOOKUP('Données projet'!$B$17,Paramètres!$A$1:$I$89,3,0)*VLOOKUP('Données projet'!$B$17,Paramètres!$A$1:$I$89,5,0)</f>
        <v>2.6602720026858149E-13</v>
      </c>
      <c r="GB121" s="13">
        <f t="shared" si="103"/>
        <v>3.5662905043956649E-12</v>
      </c>
      <c r="GC121" s="20">
        <f t="shared" si="79"/>
        <v>6.6746200022902298E-12</v>
      </c>
      <c r="GD121" s="59">
        <f t="shared" si="80"/>
        <v>290.0783305420947</v>
      </c>
      <c r="GE121" s="59">
        <f ca="1">AVERAGE(OFFSET($GD$3,0,0,'Données projet'!$E$17+1,1))-AVERAGE(OFFSET($H$3,0,0,'Données projet'!$E$17+1,1))</f>
        <v>300.95722646933314</v>
      </c>
      <c r="GF121" s="59">
        <f t="shared" si="104"/>
        <v>269.52365224623759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>
        <f>EXP(-LN(2)/35)*GL120+(1-EXP(-LN(2)/35))/(LN(2)/35)*GH121*GI121*VLOOKUP('Données projet'!$B$17,Paramètres!$A$1:$I$89,3,0)*0.475*44/12</f>
        <v>0.15575643296979211</v>
      </c>
      <c r="GM121" s="21">
        <f>EXP(-LN(2)/25)*GM120+(1-EXP(-LN(2)/25))/(LN(2)/25)*Calculateur!GH121*Calculateur!GJ121*VLOOKUP('Données projet'!$B$17,Paramètres!$A$1:$I$89,3,0)*0.475*44/12</f>
        <v>0.54387608278001998</v>
      </c>
      <c r="GN121" s="21">
        <f>EXP(-LN(2)/2)*GN120+(1-EXP(-LN(2)/2))/(LN(2)/2)*GH121*GK121*VLOOKUP('Données projet'!$B$17,Paramètres!$A$1:$I$89,3,0)*0.475*44/12</f>
        <v>5.0357377973687361E-13</v>
      </c>
      <c r="GO121" s="21">
        <f t="shared" si="81"/>
        <v>0.69963251575031571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69.112271966024025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1.4000000000000001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5.1333333333333337</v>
      </c>
      <c r="H122" s="67">
        <f t="shared" si="56"/>
        <v>236.13333333333335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69.12767206275096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4.5</v>
      </c>
      <c r="N122" s="13">
        <f>IF('Données projet'!$A$36&gt;35,N121+M122-V121,IF(A122&lt;'Données projet'!$A$36,$K$205^A122,IF(A122='Données projet'!$A$36,'Données projet'!$B$36,N121+M122-V121)))</f>
        <v>347.49999999999966</v>
      </c>
      <c r="O122" s="13">
        <f>N122*VLOOKUP('Données projet'!$B$9,Paramètres!$A$1:$I$89,3,0)*VLOOKUP('Données projet'!$B$9,Paramètres!$A$1:$I$89,5,0)</f>
        <v>314.41799999999967</v>
      </c>
      <c r="P122" s="13">
        <f t="shared" si="87"/>
        <v>74.190723151497266</v>
      </c>
      <c r="Q122" s="20">
        <f t="shared" si="107"/>
        <v>676.82685948885705</v>
      </c>
      <c r="R122" s="59">
        <f t="shared" si="55"/>
        <v>966.96165705227725</v>
      </c>
      <c r="S122" s="59">
        <f ca="1">AVERAGE(OFFSET($R$3,0,0,'Données projet'!$E$9+1,1))-AVERAGE(OFFSET($H$3,0,0,'Données projet'!$E$9+1,1))</f>
        <v>479.46542424895119</v>
      </c>
      <c r="T122" s="59">
        <f t="shared" si="88"/>
        <v>337.96395820277337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0.41331380396297951</v>
      </c>
      <c r="AA122" s="21">
        <f>EXP(-LN(2)/25)*AA121+(1-EXP(-LN(2)/25))/(LN(2)/25)*Calculateur!V122*Calculateur!X122*VLOOKUP('Données projet'!$B$9,Paramètres!$A$1:$I$89,3,0)*0.475*44/12</f>
        <v>0.9566450167461098</v>
      </c>
      <c r="AB122" s="21">
        <f>EXP(-LN(2)/2)*AB121+(1-EXP(-LN(2)/2))/(LN(2)/2)*V122*Y122*VLOOKUP('Données projet'!$B$9,Paramètres!$A$1:$I$89,3,0)*0.475*44/12</f>
        <v>8.6632272712951262E-13</v>
      </c>
      <c r="AC122" s="22">
        <f t="shared" si="57"/>
        <v>1.3699588207099558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69.12767206275096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4.5</v>
      </c>
      <c r="AI122" s="13">
        <f>IF('Données projet'!$A$62&gt;35,AI121+AH122-AQ121,IF(A122&lt;'Données projet'!$A$62,$AF$205^A122,IF(A122='Données projet'!$A$62,'Données projet'!$B$62,AI121+AH122-AQ121)))</f>
        <v>347.49999999999966</v>
      </c>
      <c r="AJ122" s="13">
        <f>AI122*VLOOKUP('Données projet'!$B$10,Paramètres!$A$1:$I$89,3,0)*VLOOKUP('Données projet'!$B$10,Paramètres!$A$1:$I$89,5,0)</f>
        <v>336.10199999999969</v>
      </c>
      <c r="AK122" s="13">
        <f t="shared" si="89"/>
        <v>78.694055268111242</v>
      </c>
      <c r="AL122" s="20">
        <f t="shared" si="58"/>
        <v>722.4364629252932</v>
      </c>
      <c r="AM122" s="59">
        <f t="shared" si="59"/>
        <v>1012.5712604887134</v>
      </c>
      <c r="AN122" s="59">
        <f ca="1">AVERAGE(OFFSET($AM$3,0,0,'Données projet'!$E$10+1,1))-AVERAGE(OFFSET($H$3,0,0,'Données projet'!$E$10+1,1))</f>
        <v>508.94560627895089</v>
      </c>
      <c r="AO122" s="59">
        <f t="shared" si="90"/>
        <v>357.86868650263034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0.44181820423628881</v>
      </c>
      <c r="AV122" s="21">
        <f>EXP(-LN(2)/25)*AV121+(1-EXP(-LN(2)/25))/(LN(2)/25)*Calculateur!AQ122*Calculateur!AS122*VLOOKUP('Données projet'!$B$10,Paramètres!$A$1:$I$89,3,0)*0.475*44/12</f>
        <v>1.0226205351423934</v>
      </c>
      <c r="AW122" s="21">
        <f>EXP(-LN(2)/2)*AW121+(1-EXP(-LN(2)/2))/(LN(2)/2)*AQ122*AT122*VLOOKUP('Données projet'!$B$10,Paramètres!$A$1:$I$89,3,0)*0.475*44/12</f>
        <v>9.2606912210395748E-13</v>
      </c>
      <c r="AX122" s="21">
        <f t="shared" si="60"/>
        <v>1.4644387393796083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69.12767206275096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1.7053025658242404E-13</v>
      </c>
      <c r="BE122" s="13">
        <f>BD122*VLOOKUP('Données projet'!$B$11,Paramètres!$A$1:$I$89,3,0)*VLOOKUP('Données projet'!$B$11,Paramètres!$A$1:$I$89,5,0)</f>
        <v>1.3301360013429075E-13</v>
      </c>
      <c r="BF122" s="13">
        <f t="shared" si="91"/>
        <v>1.9329766731057041E-12</v>
      </c>
      <c r="BG122" s="20">
        <f t="shared" si="61"/>
        <v>3.5982663925596575E-12</v>
      </c>
      <c r="BH122" s="59">
        <f t="shared" si="62"/>
        <v>290.13479756342377</v>
      </c>
      <c r="BI122" s="59">
        <f ca="1">AVERAGE(OFFSET($BH$3,0,0,'Données projet'!$E$11+1,1))-AVERAGE(OFFSET($H$3,0,0,'Données projet'!$E$11+1,1))</f>
        <v>383.03154033422328</v>
      </c>
      <c r="BJ122" s="59">
        <f t="shared" si="92"/>
        <v>373.27897156169877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0.24814098452210909</v>
      </c>
      <c r="BQ122" s="21">
        <f>EXP(-LN(2)/25)*BQ121+(1-EXP(-LN(2)/25))/(LN(2)/25)*Calculateur!BL122*Calculateur!BN122*VLOOKUP('Données projet'!$B$11,Paramètres!$A$1:$I$89,3,0)*0.475*44/12</f>
        <v>0.70973490056609101</v>
      </c>
      <c r="BR122" s="21">
        <f>EXP(-LN(2)/2)*BR121+(1-EXP(-LN(2)/2))/(LN(2)/2)*BL122*BO122*VLOOKUP('Données projet'!$B$11,Paramètres!$A$1:$I$89,3,0)*0.475*44/12</f>
        <v>5.2538778907859916E-13</v>
      </c>
      <c r="BS122" s="22">
        <f t="shared" si="63"/>
        <v>0.95787588508872545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69.12767206275096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4.5</v>
      </c>
      <c r="BY122" s="12">
        <f>IF('Données projet'!$A$114&gt;35,BY121+BX122-CG121,IF(A122&lt;'Données projet'!$A$114,$BV$205^A122,IF(A122='Données projet'!$A$114,'Données projet'!$B$114,BY121+BX122-CG121)))</f>
        <v>347.49999999999966</v>
      </c>
      <c r="BZ122" s="13">
        <f>BY122*VLOOKUP('Données projet'!$B$12,Paramètres!$A$1:$I$89,3,0)*VLOOKUP('Données projet'!$B$12,Paramètres!$A$1:$I$89,5,0)</f>
        <v>292.73399999999975</v>
      </c>
      <c r="CA122" s="13">
        <f t="shared" si="93"/>
        <v>69.651064026395574</v>
      </c>
      <c r="CB122" s="20">
        <f t="shared" si="64"/>
        <v>631.15398651263843</v>
      </c>
      <c r="CC122" s="59">
        <f t="shared" si="65"/>
        <v>921.28878407605862</v>
      </c>
      <c r="CD122" s="59">
        <f ca="1">AVERAGE(OFFSET($CC$3,0,0,'Données projet'!$E$12+1,1))-AVERAGE(OFFSET($H$3,0,0,'Données projet'!$E$12+1,1))</f>
        <v>449.94334483948603</v>
      </c>
      <c r="CE122" s="59">
        <f t="shared" si="94"/>
        <v>318.02929110264176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0.38480940368967076</v>
      </c>
      <c r="CL122" s="21">
        <f>EXP(-LN(2)/25)*CL121+(1-EXP(-LN(2)/25))/(LN(2)/25)*Calculateur!CG122*Calculateur!CI122*VLOOKUP('Données projet'!$B$12,Paramètres!$A$1:$I$89,3,0)*0.475*44/12</f>
        <v>0.89066949834982656</v>
      </c>
      <c r="CM122" s="21">
        <f>EXP(-LN(2)/2)*CM121+(1-EXP(-LN(2)/2))/(LN(2)/2)*CG122*CJ122*VLOOKUP('Données projet'!$B$12,Paramètres!$A$1:$I$89,3,0)*0.475*44/12</f>
        <v>8.0657633215506058E-13</v>
      </c>
      <c r="CN122" s="22">
        <f t="shared" si="66"/>
        <v>1.2754789020403039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69.12767206275096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5.8</v>
      </c>
      <c r="CT122" s="12">
        <f>IF('Données projet'!$A$140&gt;35,CT121+CS122-DB121,IF(A122&lt;'Données projet'!$A$140,$CQ$205^A122,IF(A122='Données projet'!$A$140,'Données projet'!$B$140,CT121+CS122-DB121)))</f>
        <v>448.20000000000022</v>
      </c>
      <c r="CU122" s="17">
        <f>CT122*VLOOKUP('Données projet'!$B$13,Paramètres!$A$1:$I$89,3,0)*VLOOKUP('Données projet'!$B$13,Paramètres!$A$1:$I$89,5,0)</f>
        <v>384.5556000000002</v>
      </c>
      <c r="CV122" s="13">
        <f t="shared" si="95"/>
        <v>88.6384108075151</v>
      </c>
      <c r="CW122" s="20">
        <f t="shared" si="67"/>
        <v>824.14623548975567</v>
      </c>
      <c r="CX122" s="59">
        <f t="shared" si="68"/>
        <v>1114.2810330531759</v>
      </c>
      <c r="CY122" s="59">
        <f ca="1">AVERAGE(OFFSET($CX$3,0,0,'Données projet'!$E$13+1,1))-AVERAGE(OFFSET($H$3,0,0,'Données projet'!$E$13+1,1))</f>
        <v>565.32667500225568</v>
      </c>
      <c r="CZ122" s="59">
        <f t="shared" si="96"/>
        <v>275.06957234480944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0</v>
      </c>
      <c r="DG122" s="21">
        <f>EXP(-LN(2)/25)*DG121+(1-EXP(-LN(2)/25))/(LN(2)/25)*Calculateur!DB122*Calculateur!DD122*VLOOKUP('Données projet'!$B$13,Paramètres!$A$1:$I$89,3,0)*0.475*44/12</f>
        <v>0.37148234479888059</v>
      </c>
      <c r="DH122" s="21">
        <f>EXP(-LN(2)/2)*DH121+(1-EXP(-LN(2)/2))/(LN(2)/2)*DB122*DE122*VLOOKUP('Données projet'!$B$13,Paramètres!$A$1:$I$89,3,0)*0.475*44/12</f>
        <v>2.8471793619461336E-13</v>
      </c>
      <c r="DI122" s="22">
        <f t="shared" si="69"/>
        <v>0.37148234479916531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69.12767206275096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-1.2505552149377763E-12</v>
      </c>
      <c r="DP122" s="17">
        <f>DO122*VLOOKUP('Données projet'!$B$14,Paramètres!$A$1:$I$89,3,0)*VLOOKUP('Données projet'!$B$14,Paramètres!$A$1:$I$89,5,0)</f>
        <v>-6.9906036515021697E-13</v>
      </c>
      <c r="DQ122" s="13" t="e">
        <f t="shared" si="97"/>
        <v>#NUM!</v>
      </c>
      <c r="DR122" s="20" t="e">
        <f t="shared" si="70"/>
        <v>#NUM!</v>
      </c>
      <c r="DS122" s="59" t="e">
        <f t="shared" si="71"/>
        <v>#NUM!</v>
      </c>
      <c r="DT122" s="59">
        <f ca="1">AVERAGE(OFFSET($DS$3,0,0,'Données projet'!$E$14+1,1))-AVERAGE(OFFSET($H$3,0,0,'Données projet'!$E$14+1,1))</f>
        <v>532.64469322244281</v>
      </c>
      <c r="DU122" s="59">
        <f t="shared" si="98"/>
        <v>525.88014011096413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1.9596775187899935</v>
      </c>
      <c r="EB122" s="21">
        <f>EXP(-LN(2)/25)*EB121+(1-EXP(-LN(2)/25))/(LN(2)/25)*Calculateur!DW122*Calculateur!DY122*VLOOKUP('Données projet'!$B$14,Paramètres!$A$1:$I$89,3,0)*0.475*44/12</f>
        <v>3.2863239673670579</v>
      </c>
      <c r="EC122" s="21">
        <f>EXP(-LN(2)/2)*EC121+(1-EXP(-LN(2)/2))/(LN(2)/2)*DW122*DZ122*VLOOKUP('Données projet'!$B$14,Paramètres!$A$1:$I$89,3,0)*0.475*44/12</f>
        <v>1.4659645842041089E-12</v>
      </c>
      <c r="ED122" s="22">
        <f t="shared" si="72"/>
        <v>5.2460014861585176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69.12767206275096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3.7</v>
      </c>
      <c r="EJ122" s="12">
        <f>IF('Données projet'!$A$192&gt;35,EJ121+EI122-ER121,IF(A122&lt;'Données projet'!$A$192,$EG$205^A122,IF(A122='Données projet'!$A$192,'Données projet'!$B$192,EJ121+EI122-ER121)))</f>
        <v>299.2999999999999</v>
      </c>
      <c r="EK122" s="17">
        <f>EJ122*VLOOKUP('Données projet'!$B$15,Paramètres!$A$1:$I$89,3,0)*VLOOKUP('Données projet'!$B$15,Paramètres!$A$1:$I$89,5,0)</f>
        <v>270.8066399999999</v>
      </c>
      <c r="EL122" s="13">
        <f t="shared" si="99"/>
        <v>65.020428921429911</v>
      </c>
      <c r="EM122" s="20">
        <f t="shared" si="73"/>
        <v>584.89881170482352</v>
      </c>
      <c r="EN122" s="59">
        <f t="shared" si="74"/>
        <v>875.03360926824371</v>
      </c>
      <c r="EO122" s="59">
        <f ca="1">AVERAGE(OFFSET($EN$3,0,0,'Données projet'!$E$15+1,1))-AVERAGE(OFFSET($H$3,0,0,'Données projet'!$E$15+1,1))</f>
        <v>398.27843768730202</v>
      </c>
      <c r="EP122" s="59">
        <f t="shared" si="100"/>
        <v>252.3617347568813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0</v>
      </c>
      <c r="EW122" s="21">
        <f>EXP(-LN(2)/25)*EW121+(1-EXP(-LN(2)/25))/(LN(2)/25)*Calculateur!ER122*Calculateur!ET122*VLOOKUP('Données projet'!$B$15,Paramètres!$A$1:$I$89,3,0)*0.475*44/12</f>
        <v>0.26334557284904569</v>
      </c>
      <c r="EX122" s="21">
        <f>EXP(-LN(2)/2)*EX121+(1-EXP(-LN(2)/2))/(LN(2)/2)*ER122*EU122*VLOOKUP('Données projet'!$B$15,Paramètres!$A$1:$I$89,3,0)*0.475*44/12</f>
        <v>2.4877691879446213E-13</v>
      </c>
      <c r="EY122" s="22">
        <f t="shared" si="75"/>
        <v>0.2633455728492945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69.12767206275096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3.7</v>
      </c>
      <c r="FE122" s="12">
        <f>IF('Données projet'!$A$218&gt;35,FE121+FD122-FM121,IF(A122&lt;'Données projet'!$A$218,$FB$205^A122,IF(A122='Données projet'!$A$218,'Données projet'!$B$218,FE121+FD122-FM121)))</f>
        <v>299.2999999999999</v>
      </c>
      <c r="FF122" s="17">
        <f>FE122*VLOOKUP('Données projet'!$B$16,Paramètres!$A$1:$I$89,3,0)*VLOOKUP('Données projet'!$B$16,Paramètres!$A$1:$I$89,5,0)</f>
        <v>289.48295999999993</v>
      </c>
      <c r="FG122" s="13">
        <f t="shared" si="101"/>
        <v>68.967129713117529</v>
      </c>
      <c r="FH122" s="20">
        <f t="shared" si="76"/>
        <v>624.3005729170128</v>
      </c>
      <c r="FI122" s="59">
        <f t="shared" si="77"/>
        <v>914.43537048043299</v>
      </c>
      <c r="FJ122" s="59">
        <f ca="1">AVERAGE(OFFSET($FI$3,0,0,'Données projet'!$E$16+1,1))-AVERAGE(OFFSET($H$3,0,0,'Données projet'!$E$16+1,1))</f>
        <v>422.28024471365825</v>
      </c>
      <c r="FK122" s="59">
        <f t="shared" si="102"/>
        <v>266.49730479813206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0</v>
      </c>
      <c r="FR122" s="21">
        <f>EXP(-LN(2)/25)*FR121+(1-EXP(-LN(2)/25))/(LN(2)/25)*Calculateur!FM122*Calculateur!FO122*VLOOKUP('Données projet'!$B$16,Paramètres!$A$1:$I$89,3,0)*0.475*44/12</f>
        <v>0.28150733649380727</v>
      </c>
      <c r="FS122" s="21">
        <f>EXP(-LN(2)/2)*FS121+(1-EXP(-LN(2)/2))/(LN(2)/2)*FM122*FP122*VLOOKUP('Données projet'!$B$16,Paramètres!$A$1:$I$89,3,0)*0.475*44/12</f>
        <v>2.6593394767683878E-13</v>
      </c>
      <c r="FT122" s="22">
        <f t="shared" si="78"/>
        <v>0.28150733649407322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69.12767206275096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3.4106051316484809E-13</v>
      </c>
      <c r="GA122" s="17">
        <f>FZ122*VLOOKUP('Données projet'!$B$17,Paramètres!$A$1:$I$89,3,0)*VLOOKUP('Données projet'!$B$17,Paramètres!$A$1:$I$89,5,0)</f>
        <v>2.6602720026858149E-13</v>
      </c>
      <c r="GB122" s="13">
        <f t="shared" si="103"/>
        <v>3.5662905043956649E-12</v>
      </c>
      <c r="GC122" s="20">
        <f t="shared" si="79"/>
        <v>6.6746200022902298E-12</v>
      </c>
      <c r="GD122" s="59">
        <f t="shared" si="80"/>
        <v>290.13479756342684</v>
      </c>
      <c r="GE122" s="59">
        <f ca="1">AVERAGE(OFFSET($GD$3,0,0,'Données projet'!$E$17+1,1))-AVERAGE(OFFSET($H$3,0,0,'Données projet'!$E$17+1,1))</f>
        <v>300.95722646933314</v>
      </c>
      <c r="GF122" s="59">
        <f t="shared" si="104"/>
        <v>269.52365224623759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>
        <f>EXP(-LN(2)/35)*GL121+(1-EXP(-LN(2)/35))/(LN(2)/35)*GH122*GI122*VLOOKUP('Données projet'!$B$17,Paramètres!$A$1:$I$89,3,0)*0.475*44/12</f>
        <v>0.15270214432129792</v>
      </c>
      <c r="GM122" s="21">
        <f>EXP(-LN(2)/25)*GM121+(1-EXP(-LN(2)/25))/(LN(2)/25)*Calculateur!GH122*Calculateur!GJ122*VLOOKUP('Données projet'!$B$17,Paramètres!$A$1:$I$89,3,0)*0.475*44/12</f>
        <v>0.52900376269520022</v>
      </c>
      <c r="GN122" s="21">
        <f>EXP(-LN(2)/2)*GN121+(1-EXP(-LN(2)/2))/(LN(2)/2)*GH122*GK122*VLOOKUP('Données projet'!$B$17,Paramètres!$A$1:$I$89,3,0)*0.475*44/12</f>
        <v>3.5608043447968417E-13</v>
      </c>
      <c r="GO122" s="21">
        <f t="shared" si="81"/>
        <v>0.68170590701685418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69.12767206275096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1.4000000000000001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5.1333333333333337</v>
      </c>
      <c r="H123" s="67">
        <f t="shared" si="56"/>
        <v>236.13333333333335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69.142805002229125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>
        <f>VLOOKUP(A123,'Données projet'!$A$35:$I$55,2,0)</f>
        <v>352</v>
      </c>
      <c r="L123" s="12">
        <f>VLOOKUP(A123,'Données projet'!$A$35:$I$55,9,0)</f>
        <v>4.5</v>
      </c>
      <c r="M123" s="12">
        <f t="array" ref="M123">INDEX(L:L,MIN(IF(ISNUMBER(L123:L319),ROW(L123:L319),"")))</f>
        <v>4.5</v>
      </c>
      <c r="N123" s="13">
        <f>IF('Données projet'!$A$36&gt;35,N122+M123-V122,IF(A123&lt;'Données projet'!$A$36,$K$205^A123,IF(A123='Données projet'!$A$36,'Données projet'!$B$36,N122+M123-V122)))</f>
        <v>351.99999999999966</v>
      </c>
      <c r="O123" s="13">
        <f>N123*VLOOKUP('Données projet'!$B$9,Paramètres!$A$1:$I$89,3,0)*VLOOKUP('Données projet'!$B$9,Paramètres!$A$1:$I$89,5,0)</f>
        <v>318.48959999999971</v>
      </c>
      <c r="P123" s="13">
        <f t="shared" si="87"/>
        <v>75.038999086150227</v>
      </c>
      <c r="Q123" s="20">
        <f t="shared" si="107"/>
        <v>685.39564340837785</v>
      </c>
      <c r="R123" s="59">
        <f t="shared" si="55"/>
        <v>975.58592841655127</v>
      </c>
      <c r="S123" s="59">
        <f ca="1">AVERAGE(OFFSET($R$3,0,0,'Données projet'!$E$9+1,1))-AVERAGE(OFFSET($H$3,0,0,'Données projet'!$E$9+1,1))</f>
        <v>479.46542424895119</v>
      </c>
      <c r="T123" s="59">
        <f t="shared" si="88"/>
        <v>337.96395820277337</v>
      </c>
      <c r="U123" s="15">
        <f>IF(ISNA(VLOOKUP(A123,'Données projet'!$A$35:$I$55,3,0)),0,VLOOKUP(A123,'Données projet'!$A$35:$I$55,3,0))</f>
        <v>11</v>
      </c>
      <c r="V123" s="15">
        <f>IF(ISNA(VLOOKUP(A123,'Données projet'!$A$35:$I$55,4,0)),0,VLOOKUP(A123,'Données projet'!$A$35:$I$55,4,0))</f>
        <v>352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0.40520897236379344</v>
      </c>
      <c r="AA123" s="21">
        <f>EXP(-LN(2)/25)*AA122+(1-EXP(-LN(2)/25))/(LN(2)/25)*Calculateur!V123*Calculateur!X123*VLOOKUP('Données projet'!$B$9,Paramètres!$A$1:$I$89,3,0)*0.475*44/12</f>
        <v>0.93048550845541245</v>
      </c>
      <c r="AB123" s="21">
        <f>EXP(-LN(2)/2)*AB122+(1-EXP(-LN(2)/2))/(LN(2)/2)*V123*Y123*VLOOKUP('Données projet'!$B$9,Paramètres!$A$1:$I$89,3,0)*0.475*44/12</f>
        <v>6.1258267504930139E-13</v>
      </c>
      <c r="AC123" s="22">
        <f t="shared" si="57"/>
        <v>1.3356944808198186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69.142805002229125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>
        <f>VLOOKUP(A123,'Données projet'!$A$61:$I$81,2,0)</f>
        <v>352</v>
      </c>
      <c r="AG123" s="12">
        <f>VLOOKUP(A123,'Données projet'!$A$61:$I$81,9,0)</f>
        <v>4.5</v>
      </c>
      <c r="AH123" s="12">
        <f t="array" ref="AH123">INDEX(AG:AG,MIN(IF(ISNUMBER(AG123:AG319),ROW(AG123:AG319),"")))</f>
        <v>4.5</v>
      </c>
      <c r="AI123" s="13">
        <f>IF('Données projet'!$A$62&gt;35,AI122+AH123-AQ122,IF(A123&lt;'Données projet'!$A$62,$AF$205^A123,IF(A123='Données projet'!$A$62,'Données projet'!$B$62,AI122+AH123-AQ122)))</f>
        <v>351.99999999999966</v>
      </c>
      <c r="AJ123" s="13">
        <f>AI123*VLOOKUP('Données projet'!$B$10,Paramètres!$A$1:$I$89,3,0)*VLOOKUP('Données projet'!$B$10,Paramètres!$A$1:$I$89,5,0)</f>
        <v>340.45439999999968</v>
      </c>
      <c r="AK123" s="13">
        <f t="shared" si="89"/>
        <v>79.593821040010596</v>
      </c>
      <c r="AL123" s="20">
        <f t="shared" si="58"/>
        <v>731.58398497801784</v>
      </c>
      <c r="AM123" s="59">
        <f t="shared" si="59"/>
        <v>1021.7742699861913</v>
      </c>
      <c r="AN123" s="59">
        <f ca="1">AVERAGE(OFFSET($AM$3,0,0,'Données projet'!$E$10+1,1))-AVERAGE(OFFSET($H$3,0,0,'Données projet'!$E$10+1,1))</f>
        <v>508.94560627895089</v>
      </c>
      <c r="AO123" s="59">
        <f t="shared" si="90"/>
        <v>357.86868650263034</v>
      </c>
      <c r="AP123" s="15">
        <f>IF(ISNA(VLOOKUP(A123,'Données projet'!$A$61:$I$81,3,0)),0,VLOOKUP(A123,'Données projet'!$A$61:$I$81,3,0))</f>
        <v>11</v>
      </c>
      <c r="AQ123" s="15">
        <f>IF(ISNA(VLOOKUP(A123,'Données projet'!$A$61:$I$81,4,0)),0,VLOOKUP(A123,'Données projet'!$A$61:$I$81,4,0))</f>
        <v>352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0.43315441873371058</v>
      </c>
      <c r="AV123" s="21">
        <f>EXP(-LN(2)/25)*AV122+(1-EXP(-LN(2)/25))/(LN(2)/25)*Calculateur!AQ123*Calculateur!AS123*VLOOKUP('Données projet'!$B$10,Paramètres!$A$1:$I$89,3,0)*0.475*44/12</f>
        <v>0.99465692283164786</v>
      </c>
      <c r="AW123" s="21">
        <f>EXP(-LN(2)/2)*AW122+(1-EXP(-LN(2)/2))/(LN(2)/2)*AQ123*AT123*VLOOKUP('Données projet'!$B$10,Paramètres!$A$1:$I$89,3,0)*0.475*44/12</f>
        <v>6.5482975608718124E-13</v>
      </c>
      <c r="AX123" s="21">
        <f t="shared" si="60"/>
        <v>1.4278113415660132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69.142805002229125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1.7053025658242404E-13</v>
      </c>
      <c r="BE123" s="13">
        <f>BD123*VLOOKUP('Données projet'!$B$11,Paramètres!$A$1:$I$89,3,0)*VLOOKUP('Données projet'!$B$11,Paramètres!$A$1:$I$89,5,0)</f>
        <v>1.3301360013429075E-13</v>
      </c>
      <c r="BF123" s="13">
        <f t="shared" si="91"/>
        <v>1.9329766731057041E-12</v>
      </c>
      <c r="BG123" s="20">
        <f t="shared" si="61"/>
        <v>3.5982663925596575E-12</v>
      </c>
      <c r="BH123" s="59">
        <f t="shared" si="62"/>
        <v>290.19028500817706</v>
      </c>
      <c r="BI123" s="59">
        <f ca="1">AVERAGE(OFFSET($BH$3,0,0,'Données projet'!$E$11+1,1))-AVERAGE(OFFSET($H$3,0,0,'Données projet'!$E$11+1,1))</f>
        <v>383.03154033422328</v>
      </c>
      <c r="BJ123" s="59">
        <f t="shared" si="92"/>
        <v>373.27897156169877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0.24327509116668641</v>
      </c>
      <c r="BQ123" s="21">
        <f>EXP(-LN(2)/25)*BQ122+(1-EXP(-LN(2)/25))/(LN(2)/25)*Calculateur!BL123*Calculateur!BN123*VLOOKUP('Données projet'!$B$11,Paramètres!$A$1:$I$89,3,0)*0.475*44/12</f>
        <v>0.69032716238677494</v>
      </c>
      <c r="BR123" s="21">
        <f>EXP(-LN(2)/2)*BR122+(1-EXP(-LN(2)/2))/(LN(2)/2)*BL123*BO123*VLOOKUP('Données projet'!$B$11,Paramètres!$A$1:$I$89,3,0)*0.475*44/12</f>
        <v>3.7150526841008501E-13</v>
      </c>
      <c r="BS123" s="22">
        <f t="shared" si="63"/>
        <v>0.93360225355383286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69.142805002229125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>
        <f>VLOOKUP(A123,'Données projet'!$A$113:$I$133,2,0)</f>
        <v>352</v>
      </c>
      <c r="BW123" s="12">
        <f>VLOOKUP(A123,'Données projet'!$A$113:$I$133,9,0)</f>
        <v>4.5</v>
      </c>
      <c r="BX123" s="12">
        <f t="array" ref="BX123">INDEX(BW:BW,MIN(IF(ISNUMBER(BW123:BW319),ROW(BW123:BW319),"")))</f>
        <v>4.5</v>
      </c>
      <c r="BY123" s="12">
        <f>IF('Données projet'!$A$114&gt;35,BY122+BX123-CG122,IF(A123&lt;'Données projet'!$A$114,$BV$205^A123,IF(A123='Données projet'!$A$114,'Données projet'!$B$114,BY122+BX123-CG122)))</f>
        <v>351.99999999999966</v>
      </c>
      <c r="BZ123" s="13">
        <f>BY123*VLOOKUP('Données projet'!$B$12,Paramètres!$A$1:$I$89,3,0)*VLOOKUP('Données projet'!$B$12,Paramètres!$A$1:$I$89,5,0)</f>
        <v>296.52479999999974</v>
      </c>
      <c r="CA123" s="13">
        <f t="shared" si="93"/>
        <v>70.447434770968471</v>
      </c>
      <c r="CB123" s="20">
        <f t="shared" si="64"/>
        <v>639.1433088927696</v>
      </c>
      <c r="CC123" s="59">
        <f t="shared" si="65"/>
        <v>929.33359390094301</v>
      </c>
      <c r="CD123" s="59">
        <f ca="1">AVERAGE(OFFSET($CC$3,0,0,'Données projet'!$E$12+1,1))-AVERAGE(OFFSET($H$3,0,0,'Données projet'!$E$12+1,1))</f>
        <v>449.94334483948603</v>
      </c>
      <c r="CE123" s="59">
        <f t="shared" si="94"/>
        <v>318.02929110264176</v>
      </c>
      <c r="CF123" s="15">
        <f>IF(ISNA(VLOOKUP(A123,'Données projet'!$A$113:$I$133,3,0)),0,VLOOKUP(A123,'Données projet'!$A$113:$I$133,3,0))</f>
        <v>11</v>
      </c>
      <c r="CG123" s="15">
        <f>IF(ISNA(VLOOKUP(A123,'Données projet'!$A$113:$I$133,4,0)),0,VLOOKUP(A123,'Données projet'!$A$113:$I$133,4,0))</f>
        <v>352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0.3772635259938768</v>
      </c>
      <c r="CL123" s="21">
        <f>EXP(-LN(2)/25)*CL122+(1-EXP(-LN(2)/25))/(LN(2)/25)*Calculateur!CG123*Calculateur!CI123*VLOOKUP('Données projet'!$B$12,Paramètres!$A$1:$I$89,3,0)*0.475*44/12</f>
        <v>0.86631409407917725</v>
      </c>
      <c r="CM123" s="21">
        <f>EXP(-LN(2)/2)*CM122+(1-EXP(-LN(2)/2))/(LN(2)/2)*CG123*CJ123*VLOOKUP('Données projet'!$B$12,Paramètres!$A$1:$I$89,3,0)*0.475*44/12</f>
        <v>5.7033559401141649E-13</v>
      </c>
      <c r="CN123" s="22">
        <f t="shared" si="66"/>
        <v>1.2435776200736244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69.142805002229125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>
        <f>VLOOKUP(A123,'Données projet'!$A$139:$I$159,2,0)</f>
        <v>454</v>
      </c>
      <c r="CR123" s="12">
        <f>VLOOKUP(A123,'Données projet'!$A$139:$I$159,9,0)</f>
        <v>5.8</v>
      </c>
      <c r="CS123" s="12">
        <f t="array" ref="CS123">INDEX(CR:CR,MIN(IF(ISNUMBER(CR123:CR319),ROW(CR123:CR319),"")))</f>
        <v>5.8</v>
      </c>
      <c r="CT123" s="12">
        <f>IF('Données projet'!$A$140&gt;35,CT122+CS123-DB122,IF(A123&lt;'Données projet'!$A$140,$CQ$205^A123,IF(A123='Données projet'!$A$140,'Données projet'!$B$140,CT122+CS123-DB122)))</f>
        <v>454.00000000000023</v>
      </c>
      <c r="CU123" s="17">
        <f>CT123*VLOOKUP('Données projet'!$B$13,Paramètres!$A$1:$I$89,3,0)*VLOOKUP('Données projet'!$B$13,Paramètres!$A$1:$I$89,5,0)</f>
        <v>389.53200000000027</v>
      </c>
      <c r="CV123" s="13">
        <f t="shared" si="95"/>
        <v>89.651174596359439</v>
      </c>
      <c r="CW123" s="20">
        <f t="shared" si="67"/>
        <v>834.57736242199314</v>
      </c>
      <c r="CX123" s="59">
        <f t="shared" si="68"/>
        <v>1124.7676474301666</v>
      </c>
      <c r="CY123" s="59">
        <f ca="1">AVERAGE(OFFSET($CX$3,0,0,'Données projet'!$E$13+1,1))-AVERAGE(OFFSET($H$3,0,0,'Données projet'!$E$13+1,1))</f>
        <v>565.32667500225568</v>
      </c>
      <c r="CZ123" s="59">
        <f t="shared" si="96"/>
        <v>275.06957234480944</v>
      </c>
      <c r="DA123" s="15">
        <f>IF(ISNA(VLOOKUP(A123,'Données projet'!$A$139:$I$159,3,0)),0,VLOOKUP(A123,'Données projet'!$A$139:$I$159,3,0))</f>
        <v>10</v>
      </c>
      <c r="DB123" s="15">
        <f>IF(ISNA(VLOOKUP(A123,'Données projet'!$A$139:$I$159,4,0)),0,VLOOKUP(A123,'Données projet'!$A$139:$I$159,4,0))</f>
        <v>43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0</v>
      </c>
      <c r="DG123" s="21">
        <f>EXP(-LN(2)/25)*DG122+(1-EXP(-LN(2)/25))/(LN(2)/25)*Calculateur!DB123*Calculateur!DD123*VLOOKUP('Données projet'!$B$13,Paramètres!$A$1:$I$89,3,0)*0.475*44/12</f>
        <v>0.36132414054494771</v>
      </c>
      <c r="DH123" s="21">
        <f>EXP(-LN(2)/2)*DH122+(1-EXP(-LN(2)/2))/(LN(2)/2)*DB123*DE123*VLOOKUP('Données projet'!$B$13,Paramètres!$A$1:$I$89,3,0)*0.475*44/12</f>
        <v>2.0132598340864988E-13</v>
      </c>
      <c r="DI123" s="22">
        <f t="shared" si="69"/>
        <v>0.36132414054514905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69.142805002229125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-1.2505552149377763E-12</v>
      </c>
      <c r="DP123" s="17">
        <f>DO123*VLOOKUP('Données projet'!$B$14,Paramètres!$A$1:$I$89,3,0)*VLOOKUP('Données projet'!$B$14,Paramètres!$A$1:$I$89,5,0)</f>
        <v>-6.9906036515021697E-13</v>
      </c>
      <c r="DQ123" s="13" t="e">
        <f t="shared" si="97"/>
        <v>#NUM!</v>
      </c>
      <c r="DR123" s="20" t="e">
        <f t="shared" si="70"/>
        <v>#NUM!</v>
      </c>
      <c r="DS123" s="59" t="e">
        <f t="shared" si="71"/>
        <v>#NUM!</v>
      </c>
      <c r="DT123" s="59">
        <f ca="1">AVERAGE(OFFSET($DS$3,0,0,'Données projet'!$E$14+1,1))-AVERAGE(OFFSET($H$3,0,0,'Données projet'!$E$14+1,1))</f>
        <v>532.64469322244281</v>
      </c>
      <c r="DU123" s="59">
        <f t="shared" si="98"/>
        <v>525.88014011096413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1.9212494379317835</v>
      </c>
      <c r="EB123" s="21">
        <f>EXP(-LN(2)/25)*EB122+(1-EXP(-LN(2)/25))/(LN(2)/25)*Calculateur!DW123*Calculateur!DY123*VLOOKUP('Données projet'!$B$14,Paramètres!$A$1:$I$89,3,0)*0.475*44/12</f>
        <v>3.1964592656591391</v>
      </c>
      <c r="EC123" s="21">
        <f>EXP(-LN(2)/2)*EC122+(1-EXP(-LN(2)/2))/(LN(2)/2)*DW123*DZ123*VLOOKUP('Données projet'!$B$14,Paramètres!$A$1:$I$89,3,0)*0.475*44/12</f>
        <v>1.036593498470043E-12</v>
      </c>
      <c r="ED123" s="22">
        <f t="shared" si="72"/>
        <v>5.1177087035919593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69.142805002229125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>
        <f>VLOOKUP(A123,'Données projet'!$A$191:$I$211,2,0)</f>
        <v>303</v>
      </c>
      <c r="EH123" s="12">
        <f>VLOOKUP(A123,'Données projet'!$A$191:$I$211,9,0)</f>
        <v>3.7</v>
      </c>
      <c r="EI123" s="12">
        <f t="array" ref="EI123">INDEX(EH:EH,MIN(IF(ISNUMBER(EH123:EH319),ROW(EH123:EH319),"")))</f>
        <v>3.7</v>
      </c>
      <c r="EJ123" s="12">
        <f>IF('Données projet'!$A$192&gt;35,EJ122+EI123-ER122,IF(A123&lt;'Données projet'!$A$192,$EG$205^A123,IF(A123='Données projet'!$A$192,'Données projet'!$B$192,EJ122+EI123-ER122)))</f>
        <v>302.99999999999989</v>
      </c>
      <c r="EK123" s="17">
        <f>EJ123*VLOOKUP('Données projet'!$B$15,Paramètres!$A$1:$I$89,3,0)*VLOOKUP('Données projet'!$B$15,Paramètres!$A$1:$I$89,5,0)</f>
        <v>274.1543999999999</v>
      </c>
      <c r="EL123" s="13">
        <f t="shared" si="99"/>
        <v>65.730152764515779</v>
      </c>
      <c r="EM123" s="20">
        <f t="shared" si="73"/>
        <v>591.96559606486471</v>
      </c>
      <c r="EN123" s="59">
        <f t="shared" si="74"/>
        <v>882.15588107303824</v>
      </c>
      <c r="EO123" s="59">
        <f ca="1">AVERAGE(OFFSET($EN$3,0,0,'Données projet'!$E$15+1,1))-AVERAGE(OFFSET($H$3,0,0,'Données projet'!$E$15+1,1))</f>
        <v>398.27843768730202</v>
      </c>
      <c r="EP123" s="59">
        <f t="shared" si="100"/>
        <v>252.3617347568813</v>
      </c>
      <c r="EQ123" s="15">
        <f>IF(ISNA(VLOOKUP(A123,'Données projet'!$A$191:$I$211,3,0)),0,VLOOKUP(A123,'Données projet'!$A$191:$I$211,3,0))</f>
        <v>10</v>
      </c>
      <c r="ER123" s="15">
        <f>IF(ISNA(VLOOKUP(A123,'Données projet'!$A$191:$I$211,4,0)),0,VLOOKUP(A123,'Données projet'!$A$191:$I$211,4,0))</f>
        <v>303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0</v>
      </c>
      <c r="EW123" s="21">
        <f>EXP(-LN(2)/25)*EW122+(1-EXP(-LN(2)/25))/(LN(2)/25)*Calculateur!ER123*Calculateur!ET123*VLOOKUP('Données projet'!$B$15,Paramètres!$A$1:$I$89,3,0)*0.475*44/12</f>
        <v>0.25614437431074677</v>
      </c>
      <c r="EX123" s="21">
        <f>EXP(-LN(2)/2)*EX122+(1-EXP(-LN(2)/2))/(LN(2)/2)*ER123*EU123*VLOOKUP('Données projet'!$B$15,Paramètres!$A$1:$I$89,3,0)*0.475*44/12</f>
        <v>1.7591184628225924E-13</v>
      </c>
      <c r="EY123" s="22">
        <f t="shared" si="75"/>
        <v>0.25614437431092268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69.142805002229125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>
        <f>VLOOKUP(A123,'Données projet'!$A$217:$I$237,2,0)</f>
        <v>303</v>
      </c>
      <c r="FC123" s="12">
        <f>VLOOKUP(A123,'Données projet'!$A$217:$I$237,9,0)</f>
        <v>3.7</v>
      </c>
      <c r="FD123" s="12">
        <f t="array" ref="FD123">INDEX(FC:FC,MIN(IF(ISNUMBER(FC123:FC319),ROW(FC123:FC319),"")))</f>
        <v>3.7</v>
      </c>
      <c r="FE123" s="12">
        <f>IF('Données projet'!$A$218&gt;35,FE122+FD123-FM122,IF(A123&lt;'Données projet'!$A$218,$FB$205^A123,IF(A123='Données projet'!$A$218,'Données projet'!$B$218,FE122+FD123-FM122)))</f>
        <v>302.99999999999989</v>
      </c>
      <c r="FF123" s="17">
        <f>FE123*VLOOKUP('Données projet'!$B$16,Paramètres!$A$1:$I$89,3,0)*VLOOKUP('Données projet'!$B$16,Paramètres!$A$1:$I$89,5,0)</f>
        <v>293.06159999999988</v>
      </c>
      <c r="FG123" s="13">
        <f t="shared" si="101"/>
        <v>69.719933365116546</v>
      </c>
      <c r="FH123" s="20">
        <f t="shared" si="76"/>
        <v>631.84450394424448</v>
      </c>
      <c r="FI123" s="59">
        <f t="shared" si="77"/>
        <v>922.03478895241801</v>
      </c>
      <c r="FJ123" s="59">
        <f ca="1">AVERAGE(OFFSET($FI$3,0,0,'Données projet'!$E$16+1,1))-AVERAGE(OFFSET($H$3,0,0,'Données projet'!$E$16+1,1))</f>
        <v>422.28024471365825</v>
      </c>
      <c r="FK123" s="59">
        <f t="shared" si="102"/>
        <v>266.49730479813206</v>
      </c>
      <c r="FL123" s="15">
        <f>IF(ISNA(VLOOKUP(A123,'Données projet'!$A$217:$I$237,3,0)),0,VLOOKUP(A123,'Données projet'!$A$217:$I$237,3,0))</f>
        <v>10</v>
      </c>
      <c r="FM123" s="15">
        <f>IF(ISNA(VLOOKUP(A123,'Données projet'!$A$217:$I$237,4,0)),0,VLOOKUP(A123,'Données projet'!$A$217:$I$237,4,0))</f>
        <v>303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0</v>
      </c>
      <c r="FR123" s="21">
        <f>EXP(-LN(2)/25)*FR122+(1-EXP(-LN(2)/25))/(LN(2)/25)*Calculateur!FM123*Calculateur!FO123*VLOOKUP('Données projet'!$B$16,Paramètres!$A$1:$I$89,3,0)*0.475*44/12</f>
        <v>0.27380950357355666</v>
      </c>
      <c r="FS123" s="21">
        <f>EXP(-LN(2)/2)*FS122+(1-EXP(-LN(2)/2))/(LN(2)/2)*FM123*FP123*VLOOKUP('Données projet'!$B$16,Paramètres!$A$1:$I$89,3,0)*0.475*44/12</f>
        <v>1.8804369775000122E-13</v>
      </c>
      <c r="FT123" s="22">
        <f t="shared" si="78"/>
        <v>0.27380950357374467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69.142805002229125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3.4106051316484809E-13</v>
      </c>
      <c r="GA123" s="17">
        <f>FZ123*VLOOKUP('Données projet'!$B$17,Paramètres!$A$1:$I$89,3,0)*VLOOKUP('Données projet'!$B$17,Paramètres!$A$1:$I$89,5,0)</f>
        <v>2.6602720026858149E-13</v>
      </c>
      <c r="GB123" s="13">
        <f t="shared" si="103"/>
        <v>3.5662905043956649E-12</v>
      </c>
      <c r="GC123" s="20">
        <f t="shared" si="79"/>
        <v>6.6746200022902298E-12</v>
      </c>
      <c r="GD123" s="59">
        <f t="shared" si="80"/>
        <v>290.19028500818013</v>
      </c>
      <c r="GE123" s="59">
        <f ca="1">AVERAGE(OFFSET($GD$3,0,0,'Données projet'!$E$17+1,1))-AVERAGE(OFFSET($H$3,0,0,'Données projet'!$E$17+1,1))</f>
        <v>300.95722646933314</v>
      </c>
      <c r="GF123" s="59">
        <f t="shared" si="104"/>
        <v>269.52365224623759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>
        <f>EXP(-LN(2)/35)*GL122+(1-EXP(-LN(2)/35))/(LN(2)/35)*GH123*GI123*VLOOKUP('Données projet'!$B$17,Paramètres!$A$1:$I$89,3,0)*0.475*44/12</f>
        <v>0.14970774841026857</v>
      </c>
      <c r="GM123" s="21">
        <f>EXP(-LN(2)/25)*GM122+(1-EXP(-LN(2)/25))/(LN(2)/25)*Calculateur!GH123*Calculateur!GJ123*VLOOKUP('Données projet'!$B$17,Paramètres!$A$1:$I$89,3,0)*0.475*44/12</f>
        <v>0.51453812698520118</v>
      </c>
      <c r="GN123" s="21">
        <f>EXP(-LN(2)/2)*GN122+(1-EXP(-LN(2)/2))/(LN(2)/2)*GH123*GK123*VLOOKUP('Données projet'!$B$17,Paramètres!$A$1:$I$89,3,0)*0.475*44/12</f>
        <v>2.517868898684368E-13</v>
      </c>
      <c r="GO123" s="21">
        <f t="shared" si="81"/>
        <v>0.66424587539572155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69.142805002229125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1.4000000000000001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5.1333333333333337</v>
      </c>
      <c r="H124" s="67">
        <f t="shared" si="56"/>
        <v>236.13333333333335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69.157675419039535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-3.4106051316484809E-13</v>
      </c>
      <c r="O124" s="13">
        <f>N124*VLOOKUP('Données projet'!$B$9,Paramètres!$A$1:$I$89,3,0)*VLOOKUP('Données projet'!$B$9,Paramètres!$A$1:$I$89,5,0)</f>
        <v>-3.0859155231155454E-13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479.46542424895119</v>
      </c>
      <c r="T124" s="59">
        <f t="shared" si="88"/>
        <v>337.96395820277337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0.39726307156880825</v>
      </c>
      <c r="AA124" s="21">
        <f>EXP(-LN(2)/25)*AA123+(1-EXP(-LN(2)/25))/(LN(2)/25)*Calculateur!V124*Calculateur!X124*VLOOKUP('Données projet'!$B$9,Paramètres!$A$1:$I$89,3,0)*0.475*44/12</f>
        <v>0.90504133329459291</v>
      </c>
      <c r="AB124" s="21">
        <f>EXP(-LN(2)/2)*AB123+(1-EXP(-LN(2)/2))/(LN(2)/2)*V124*Y124*VLOOKUP('Données projet'!$B$9,Paramètres!$A$1:$I$89,3,0)*0.475*44/12</f>
        <v>4.3316136356475631E-13</v>
      </c>
      <c r="AC124" s="22">
        <f t="shared" si="57"/>
        <v>1.3023044048638344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69.157675419039535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-3.4106051316484809E-13</v>
      </c>
      <c r="AJ124" s="13">
        <f>AI124*VLOOKUP('Données projet'!$B$10,Paramètres!$A$1:$I$89,3,0)*VLOOKUP('Données projet'!$B$10,Paramètres!$A$1:$I$89,5,0)</f>
        <v>-3.2987372833304104E-13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508.94560627895089</v>
      </c>
      <c r="AO124" s="59">
        <f t="shared" si="90"/>
        <v>357.86868650263034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0.42466052478045052</v>
      </c>
      <c r="AV124" s="21">
        <f>EXP(-LN(2)/25)*AV123+(1-EXP(-LN(2)/25))/(LN(2)/25)*Calculateur!AQ124*Calculateur!AS124*VLOOKUP('Données projet'!$B$10,Paramètres!$A$1:$I$89,3,0)*0.475*44/12</f>
        <v>0.96745797697008218</v>
      </c>
      <c r="AW124" s="21">
        <f>EXP(-LN(2)/2)*AW123+(1-EXP(-LN(2)/2))/(LN(2)/2)*AQ124*AT124*VLOOKUP('Données projet'!$B$10,Paramètres!$A$1:$I$89,3,0)*0.475*44/12</f>
        <v>4.6303456105197874E-13</v>
      </c>
      <c r="AX124" s="21">
        <f t="shared" si="60"/>
        <v>1.3921185017509956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69.157675419039535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1.7053025658242404E-13</v>
      </c>
      <c r="BE124" s="13">
        <f>BD124*VLOOKUP('Données projet'!$B$11,Paramètres!$A$1:$I$89,3,0)*VLOOKUP('Données projet'!$B$11,Paramètres!$A$1:$I$89,5,0)</f>
        <v>1.3301360013429075E-13</v>
      </c>
      <c r="BF124" s="13">
        <f t="shared" si="91"/>
        <v>1.9329766731057041E-12</v>
      </c>
      <c r="BG124" s="20">
        <f t="shared" si="61"/>
        <v>3.5982663925596575E-12</v>
      </c>
      <c r="BH124" s="59">
        <f t="shared" si="62"/>
        <v>290.24480986981519</v>
      </c>
      <c r="BI124" s="59">
        <f ca="1">AVERAGE(OFFSET($BH$3,0,0,'Données projet'!$E$11+1,1))-AVERAGE(OFFSET($H$3,0,0,'Données projet'!$E$11+1,1))</f>
        <v>383.03154033422328</v>
      </c>
      <c r="BJ124" s="59">
        <f t="shared" si="92"/>
        <v>373.27897156169877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0.23850461501206169</v>
      </c>
      <c r="BQ124" s="21">
        <f>EXP(-LN(2)/25)*BQ123+(1-EXP(-LN(2)/25))/(LN(2)/25)*Calculateur!BL124*Calculateur!BN124*VLOOKUP('Données projet'!$B$11,Paramètres!$A$1:$I$89,3,0)*0.475*44/12</f>
        <v>0.67145012982858088</v>
      </c>
      <c r="BR124" s="21">
        <f>EXP(-LN(2)/2)*BR123+(1-EXP(-LN(2)/2))/(LN(2)/2)*BL124*BO124*VLOOKUP('Données projet'!$B$11,Paramètres!$A$1:$I$89,3,0)*0.475*44/12</f>
        <v>2.6269389453929958E-13</v>
      </c>
      <c r="BS124" s="22">
        <f t="shared" si="63"/>
        <v>0.90995474484090522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69.157675419039535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-3.4106051316484809E-13</v>
      </c>
      <c r="BZ124" s="13">
        <f>BY124*VLOOKUP('Données projet'!$B$12,Paramètres!$A$1:$I$89,3,0)*VLOOKUP('Données projet'!$B$12,Paramètres!$A$1:$I$89,5,0)</f>
        <v>-2.8730937629006804E-13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449.94334483948603</v>
      </c>
      <c r="CE124" s="59">
        <f t="shared" si="94"/>
        <v>318.02929110264176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0.36986561835716647</v>
      </c>
      <c r="CL124" s="21">
        <f>EXP(-LN(2)/25)*CL123+(1-EXP(-LN(2)/25))/(LN(2)/25)*Calculateur!CG124*Calculateur!CI124*VLOOKUP('Données projet'!$B$12,Paramètres!$A$1:$I$89,3,0)*0.475*44/12</f>
        <v>0.84262468961910397</v>
      </c>
      <c r="CM124" s="21">
        <f>EXP(-LN(2)/2)*CM123+(1-EXP(-LN(2)/2))/(LN(2)/2)*CG124*CJ124*VLOOKUP('Données projet'!$B$12,Paramètres!$A$1:$I$89,3,0)*0.475*44/12</f>
        <v>4.0328816607753029E-13</v>
      </c>
      <c r="CN124" s="22">
        <f t="shared" si="66"/>
        <v>1.2124903079766738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69.157675419039535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5</v>
      </c>
      <c r="CT124" s="12">
        <f>IF('Données projet'!$A$140&gt;35,CT123+CS124-DB123,IF(A124&lt;'Données projet'!$A$140,$CQ$205^A124,IF(A124='Données projet'!$A$140,'Données projet'!$B$140,CT123+CS124-DB123)))</f>
        <v>416.00000000000023</v>
      </c>
      <c r="CU124" s="17">
        <f>CT124*VLOOKUP('Données projet'!$B$13,Paramètres!$A$1:$I$89,3,0)*VLOOKUP('Données projet'!$B$13,Paramètres!$A$1:$I$89,5,0)</f>
        <v>356.92800000000022</v>
      </c>
      <c r="CV124" s="13">
        <f t="shared" si="95"/>
        <v>82.987426947838998</v>
      </c>
      <c r="CW124" s="20">
        <f t="shared" si="67"/>
        <v>766.18603526748666</v>
      </c>
      <c r="CX124" s="59">
        <f t="shared" si="68"/>
        <v>1056.4308451372983</v>
      </c>
      <c r="CY124" s="59">
        <f ca="1">AVERAGE(OFFSET($CX$3,0,0,'Données projet'!$E$13+1,1))-AVERAGE(OFFSET($H$3,0,0,'Données projet'!$E$13+1,1))</f>
        <v>565.32667500225568</v>
      </c>
      <c r="CZ124" s="59">
        <f t="shared" si="96"/>
        <v>275.06957234480944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0</v>
      </c>
      <c r="DG124" s="21">
        <f>EXP(-LN(2)/25)*DG123+(1-EXP(-LN(2)/25))/(LN(2)/25)*Calculateur!DB124*Calculateur!DD124*VLOOKUP('Données projet'!$B$13,Paramètres!$A$1:$I$89,3,0)*0.475*44/12</f>
        <v>0.35144371292053539</v>
      </c>
      <c r="DH124" s="21">
        <f>EXP(-LN(2)/2)*DH123+(1-EXP(-LN(2)/2))/(LN(2)/2)*DB124*DE124*VLOOKUP('Données projet'!$B$13,Paramètres!$A$1:$I$89,3,0)*0.475*44/12</f>
        <v>1.4235896809730668E-13</v>
      </c>
      <c r="DI124" s="22">
        <f t="shared" si="69"/>
        <v>0.35144371292067778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69.157675419039535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-1.2505552149377763E-12</v>
      </c>
      <c r="DP124" s="17">
        <f>DO124*VLOOKUP('Données projet'!$B$14,Paramètres!$A$1:$I$89,3,0)*VLOOKUP('Données projet'!$B$14,Paramètres!$A$1:$I$89,5,0)</f>
        <v>-6.9906036515021697E-13</v>
      </c>
      <c r="DQ124" s="13" t="e">
        <f t="shared" si="97"/>
        <v>#NUM!</v>
      </c>
      <c r="DR124" s="20" t="e">
        <f t="shared" si="70"/>
        <v>#NUM!</v>
      </c>
      <c r="DS124" s="59" t="e">
        <f t="shared" si="71"/>
        <v>#NUM!</v>
      </c>
      <c r="DT124" s="59">
        <f ca="1">AVERAGE(OFFSET($DS$3,0,0,'Données projet'!$E$14+1,1))-AVERAGE(OFFSET($H$3,0,0,'Données projet'!$E$14+1,1))</f>
        <v>532.64469322244281</v>
      </c>
      <c r="DU124" s="59">
        <f t="shared" si="98"/>
        <v>525.88014011096413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1.8835749083003881</v>
      </c>
      <c r="EB124" s="21">
        <f>EXP(-LN(2)/25)*EB123+(1-EXP(-LN(2)/25))/(LN(2)/25)*Calculateur!DW124*Calculateur!DY124*VLOOKUP('Données projet'!$B$14,Paramètres!$A$1:$I$89,3,0)*0.475*44/12</f>
        <v>3.1090519189452026</v>
      </c>
      <c r="EC124" s="21">
        <f>EXP(-LN(2)/2)*EC123+(1-EXP(-LN(2)/2))/(LN(2)/2)*DW124*DZ124*VLOOKUP('Données projet'!$B$14,Paramètres!$A$1:$I$89,3,0)*0.475*44/12</f>
        <v>7.3298229210205446E-13</v>
      </c>
      <c r="ED124" s="22">
        <f t="shared" si="72"/>
        <v>4.9926268272463235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69.157675419039535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-1.1368683772161603E-13</v>
      </c>
      <c r="EK124" s="17">
        <f>EJ124*VLOOKUP('Données projet'!$B$15,Paramètres!$A$1:$I$89,3,0)*VLOOKUP('Données projet'!$B$15,Paramètres!$A$1:$I$89,5,0)</f>
        <v>-1.0286385077051818E-13</v>
      </c>
      <c r="EL124" s="13" t="e">
        <f t="shared" si="99"/>
        <v>#NUM!</v>
      </c>
      <c r="EM124" s="20" t="e">
        <f t="shared" si="73"/>
        <v>#NUM!</v>
      </c>
      <c r="EN124" s="59" t="e">
        <f t="shared" si="74"/>
        <v>#NUM!</v>
      </c>
      <c r="EO124" s="59">
        <f ca="1">AVERAGE(OFFSET($EN$3,0,0,'Données projet'!$E$15+1,1))-AVERAGE(OFFSET($H$3,0,0,'Données projet'!$E$15+1,1))</f>
        <v>398.27843768730202</v>
      </c>
      <c r="EP124" s="59">
        <f t="shared" si="100"/>
        <v>252.3617347568813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0</v>
      </c>
      <c r="EW124" s="21">
        <f>EXP(-LN(2)/25)*EW123+(1-EXP(-LN(2)/25))/(LN(2)/25)*Calculateur!ER124*Calculateur!ET124*VLOOKUP('Données projet'!$B$15,Paramètres!$A$1:$I$89,3,0)*0.475*44/12</f>
        <v>0.24914009292517217</v>
      </c>
      <c r="EX124" s="21">
        <f>EXP(-LN(2)/2)*EX123+(1-EXP(-LN(2)/2))/(LN(2)/2)*ER124*EU124*VLOOKUP('Données projet'!$B$15,Paramètres!$A$1:$I$89,3,0)*0.475*44/12</f>
        <v>1.2438845939723107E-13</v>
      </c>
      <c r="EY124" s="22">
        <f t="shared" si="75"/>
        <v>0.24914009292529657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69.157675419039535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-1.1368683772161603E-13</v>
      </c>
      <c r="FF124" s="17">
        <f>FE124*VLOOKUP('Données projet'!$B$16,Paramètres!$A$1:$I$89,3,0)*VLOOKUP('Données projet'!$B$16,Paramètres!$A$1:$I$89,5,0)</f>
        <v>-1.0995790944434703E-13</v>
      </c>
      <c r="FG124" s="13" t="e">
        <f t="shared" si="101"/>
        <v>#NUM!</v>
      </c>
      <c r="FH124" s="20" t="e">
        <f t="shared" si="76"/>
        <v>#NUM!</v>
      </c>
      <c r="FI124" s="59" t="e">
        <f t="shared" si="77"/>
        <v>#NUM!</v>
      </c>
      <c r="FJ124" s="59">
        <f ca="1">AVERAGE(OFFSET($FI$3,0,0,'Données projet'!$E$16+1,1))-AVERAGE(OFFSET($H$3,0,0,'Données projet'!$E$16+1,1))</f>
        <v>422.28024471365825</v>
      </c>
      <c r="FK124" s="59">
        <f t="shared" si="102"/>
        <v>266.49730479813206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0</v>
      </c>
      <c r="FR124" s="21">
        <f>EXP(-LN(2)/25)*FR123+(1-EXP(-LN(2)/25))/(LN(2)/25)*Calculateur!FM124*Calculateur!FO124*VLOOKUP('Données projet'!$B$16,Paramètres!$A$1:$I$89,3,0)*0.475*44/12</f>
        <v>0.26632216829932176</v>
      </c>
      <c r="FS124" s="21">
        <f>EXP(-LN(2)/2)*FS123+(1-EXP(-LN(2)/2))/(LN(2)/2)*FM124*FP124*VLOOKUP('Données projet'!$B$16,Paramètres!$A$1:$I$89,3,0)*0.475*44/12</f>
        <v>1.3296697383841939E-13</v>
      </c>
      <c r="FT124" s="22">
        <f t="shared" si="78"/>
        <v>0.26632216829945471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69.157675419039535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3.4106051316484809E-13</v>
      </c>
      <c r="GA124" s="17">
        <f>FZ124*VLOOKUP('Données projet'!$B$17,Paramètres!$A$1:$I$89,3,0)*VLOOKUP('Données projet'!$B$17,Paramètres!$A$1:$I$89,5,0)</f>
        <v>2.6602720026858149E-13</v>
      </c>
      <c r="GB124" s="13">
        <f t="shared" si="103"/>
        <v>3.5662905043956649E-12</v>
      </c>
      <c r="GC124" s="20">
        <f t="shared" si="79"/>
        <v>6.6746200022902298E-12</v>
      </c>
      <c r="GD124" s="59">
        <f t="shared" si="80"/>
        <v>290.24480986981825</v>
      </c>
      <c r="GE124" s="59">
        <f ca="1">AVERAGE(OFFSET($GD$3,0,0,'Données projet'!$E$17+1,1))-AVERAGE(OFFSET($H$3,0,0,'Données projet'!$E$17+1,1))</f>
        <v>300.95722646933314</v>
      </c>
      <c r="GF124" s="59">
        <f t="shared" si="104"/>
        <v>269.52365224623759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>
        <f>EXP(-LN(2)/35)*GL123+(1-EXP(-LN(2)/35))/(LN(2)/35)*GH124*GI124*VLOOKUP('Données projet'!$B$17,Paramètres!$A$1:$I$89,3,0)*0.475*44/12</f>
        <v>0.14677207077665336</v>
      </c>
      <c r="GM124" s="21">
        <f>EXP(-LN(2)/25)*GM123+(1-EXP(-LN(2)/25))/(LN(2)/25)*Calculateur!GH124*Calculateur!GJ124*VLOOKUP('Données projet'!$B$17,Paramètres!$A$1:$I$89,3,0)*0.475*44/12</f>
        <v>0.50046805484440671</v>
      </c>
      <c r="GN124" s="21">
        <f>EXP(-LN(2)/2)*GN123+(1-EXP(-LN(2)/2))/(LN(2)/2)*GH124*GK124*VLOOKUP('Données projet'!$B$17,Paramètres!$A$1:$I$89,3,0)*0.475*44/12</f>
        <v>1.7804021723984209E-13</v>
      </c>
      <c r="GO124" s="21">
        <f t="shared" si="81"/>
        <v>0.64724012562123812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69.157675419039535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1.4000000000000001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5.1333333333333337</v>
      </c>
      <c r="H125" s="67">
        <f t="shared" si="56"/>
        <v>236.13333333333335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69.172287867363551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-3.4106051316484809E-13</v>
      </c>
      <c r="O125" s="13">
        <f>N125*VLOOKUP('Données projet'!$B$9,Paramètres!$A$1:$I$89,3,0)*VLOOKUP('Données projet'!$B$9,Paramètres!$A$1:$I$89,5,0)</f>
        <v>-3.0859155231155454E-13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479.46542424895119</v>
      </c>
      <c r="T125" s="59">
        <f t="shared" si="88"/>
        <v>337.96395820277337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0.38947298504189176</v>
      </c>
      <c r="AA125" s="21">
        <f>EXP(-LN(2)/25)*AA124+(1-EXP(-LN(2)/25))/(LN(2)/25)*Calculateur!V125*Calculateur!X125*VLOOKUP('Données projet'!$B$9,Paramètres!$A$1:$I$89,3,0)*0.475*44/12</f>
        <v>0.88029293044159707</v>
      </c>
      <c r="AB125" s="21">
        <f>EXP(-LN(2)/2)*AB124+(1-EXP(-LN(2)/2))/(LN(2)/2)*V125*Y125*VLOOKUP('Données projet'!$B$9,Paramètres!$A$1:$I$89,3,0)*0.475*44/12</f>
        <v>3.0629133752465069E-13</v>
      </c>
      <c r="AC125" s="22">
        <f t="shared" si="57"/>
        <v>1.269765915483795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69.172287867363551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-3.4106051316484809E-13</v>
      </c>
      <c r="AJ125" s="13">
        <f>AI125*VLOOKUP('Données projet'!$B$10,Paramètres!$A$1:$I$89,3,0)*VLOOKUP('Données projet'!$B$10,Paramètres!$A$1:$I$89,5,0)</f>
        <v>-3.2987372833304104E-13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508.94560627895089</v>
      </c>
      <c r="AO125" s="59">
        <f t="shared" si="90"/>
        <v>357.86868650263034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0.41633319090685017</v>
      </c>
      <c r="AV125" s="21">
        <f>EXP(-LN(2)/25)*AV124+(1-EXP(-LN(2)/25))/(LN(2)/25)*Calculateur!AQ125*Calculateur!AS125*VLOOKUP('Données projet'!$B$10,Paramètres!$A$1:$I$89,3,0)*0.475*44/12</f>
        <v>0.94100278771343138</v>
      </c>
      <c r="AW125" s="21">
        <f>EXP(-LN(2)/2)*AW124+(1-EXP(-LN(2)/2))/(LN(2)/2)*AQ125*AT125*VLOOKUP('Données projet'!$B$10,Paramètres!$A$1:$I$89,3,0)*0.475*44/12</f>
        <v>3.2741487804359062E-13</v>
      </c>
      <c r="AX125" s="21">
        <f t="shared" si="60"/>
        <v>1.3573359786206092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69.172287867363551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1.7053025658242404E-13</v>
      </c>
      <c r="BE125" s="13">
        <f>BD125*VLOOKUP('Données projet'!$B$11,Paramètres!$A$1:$I$89,3,0)*VLOOKUP('Données projet'!$B$11,Paramètres!$A$1:$I$89,5,0)</f>
        <v>1.3301360013429075E-13</v>
      </c>
      <c r="BF125" s="13">
        <f t="shared" si="91"/>
        <v>1.9329766731057041E-12</v>
      </c>
      <c r="BG125" s="20">
        <f t="shared" si="61"/>
        <v>3.5982663925596575E-12</v>
      </c>
      <c r="BH125" s="59">
        <f t="shared" si="62"/>
        <v>290.29838884700325</v>
      </c>
      <c r="BI125" s="59">
        <f ca="1">AVERAGE(OFFSET($BH$3,0,0,'Données projet'!$E$11+1,1))-AVERAGE(OFFSET($H$3,0,0,'Données projet'!$E$11+1,1))</f>
        <v>383.03154033422328</v>
      </c>
      <c r="BJ125" s="59">
        <f t="shared" si="92"/>
        <v>373.27897156169877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0.23382768498512602</v>
      </c>
      <c r="BQ125" s="21">
        <f>EXP(-LN(2)/25)*BQ124+(1-EXP(-LN(2)/25))/(LN(2)/25)*Calculateur!BL125*Calculateur!BN125*VLOOKUP('Données projet'!$B$11,Paramètres!$A$1:$I$89,3,0)*0.475*44/12</f>
        <v>0.65308929071839061</v>
      </c>
      <c r="BR125" s="21">
        <f>EXP(-LN(2)/2)*BR124+(1-EXP(-LN(2)/2))/(LN(2)/2)*BL125*BO125*VLOOKUP('Données projet'!$B$11,Paramètres!$A$1:$I$89,3,0)*0.475*44/12</f>
        <v>1.857526342050425E-13</v>
      </c>
      <c r="BS125" s="22">
        <f t="shared" si="63"/>
        <v>0.88691697570370243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69.172287867363551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-3.4106051316484809E-13</v>
      </c>
      <c r="BZ125" s="13">
        <f>BY125*VLOOKUP('Données projet'!$B$12,Paramètres!$A$1:$I$89,3,0)*VLOOKUP('Données projet'!$B$12,Paramètres!$A$1:$I$89,5,0)</f>
        <v>-2.8730937629006804E-13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449.94334483948603</v>
      </c>
      <c r="CE125" s="59">
        <f t="shared" si="94"/>
        <v>318.02929110264176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0.36261277917693391</v>
      </c>
      <c r="CL125" s="21">
        <f>EXP(-LN(2)/25)*CL124+(1-EXP(-LN(2)/25))/(LN(2)/25)*Calculateur!CG125*Calculateur!CI125*VLOOKUP('Données projet'!$B$12,Paramètres!$A$1:$I$89,3,0)*0.475*44/12</f>
        <v>0.81958307316976298</v>
      </c>
      <c r="CM125" s="21">
        <f>EXP(-LN(2)/2)*CM124+(1-EXP(-LN(2)/2))/(LN(2)/2)*CG125*CJ125*VLOOKUP('Données projet'!$B$12,Paramètres!$A$1:$I$89,3,0)*0.475*44/12</f>
        <v>2.8516779700570825E-13</v>
      </c>
      <c r="CN125" s="22">
        <f t="shared" si="66"/>
        <v>1.182195852346982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69.172287867363551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5</v>
      </c>
      <c r="CT125" s="12">
        <f>IF('Données projet'!$A$140&gt;35,CT124+CS125-DB124,IF(A125&lt;'Données projet'!$A$140,$CQ$205^A125,IF(A125='Données projet'!$A$140,'Données projet'!$B$140,CT124+CS125-DB124)))</f>
        <v>421.00000000000023</v>
      </c>
      <c r="CU125" s="17">
        <f>CT125*VLOOKUP('Données projet'!$B$13,Paramètres!$A$1:$I$89,3,0)*VLOOKUP('Données projet'!$B$13,Paramètres!$A$1:$I$89,5,0)</f>
        <v>361.21800000000025</v>
      </c>
      <c r="CV125" s="13">
        <f t="shared" si="95"/>
        <v>83.868155605284571</v>
      </c>
      <c r="CW125" s="20">
        <f t="shared" si="67"/>
        <v>775.19172101253764</v>
      </c>
      <c r="CX125" s="59">
        <f t="shared" si="68"/>
        <v>1065.4901098595374</v>
      </c>
      <c r="CY125" s="59">
        <f ca="1">AVERAGE(OFFSET($CX$3,0,0,'Données projet'!$E$13+1,1))-AVERAGE(OFFSET($H$3,0,0,'Données projet'!$E$13+1,1))</f>
        <v>565.32667500225568</v>
      </c>
      <c r="CZ125" s="59">
        <f t="shared" si="96"/>
        <v>275.06957234480944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0</v>
      </c>
      <c r="DG125" s="21">
        <f>EXP(-LN(2)/25)*DG124+(1-EXP(-LN(2)/25))/(LN(2)/25)*Calculateur!DB125*Calculateur!DD125*VLOOKUP('Données projet'!$B$13,Paramètres!$A$1:$I$89,3,0)*0.475*44/12</f>
        <v>0.3418334661091017</v>
      </c>
      <c r="DH125" s="21">
        <f>EXP(-LN(2)/2)*DH124+(1-EXP(-LN(2)/2))/(LN(2)/2)*DB125*DE125*VLOOKUP('Données projet'!$B$13,Paramètres!$A$1:$I$89,3,0)*0.475*44/12</f>
        <v>1.0066299170432494E-13</v>
      </c>
      <c r="DI125" s="22">
        <f t="shared" si="69"/>
        <v>0.34183346610920234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69.172287867363551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-1.2505552149377763E-12</v>
      </c>
      <c r="DP125" s="17">
        <f>DO125*VLOOKUP('Données projet'!$B$14,Paramètres!$A$1:$I$89,3,0)*VLOOKUP('Données projet'!$B$14,Paramètres!$A$1:$I$89,5,0)</f>
        <v>-6.9906036515021697E-13</v>
      </c>
      <c r="DQ125" s="13" t="e">
        <f t="shared" si="97"/>
        <v>#NUM!</v>
      </c>
      <c r="DR125" s="20" t="e">
        <f t="shared" si="70"/>
        <v>#NUM!</v>
      </c>
      <c r="DS125" s="59" t="e">
        <f t="shared" si="71"/>
        <v>#NUM!</v>
      </c>
      <c r="DT125" s="59">
        <f ca="1">AVERAGE(OFFSET($DS$3,0,0,'Données projet'!$E$14+1,1))-AVERAGE(OFFSET($H$3,0,0,'Données projet'!$E$14+1,1))</f>
        <v>532.64469322244281</v>
      </c>
      <c r="DU125" s="59">
        <f t="shared" si="98"/>
        <v>525.88014011096413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1.8466391532158704</v>
      </c>
      <c r="EB125" s="21">
        <f>EXP(-LN(2)/25)*EB124+(1-EXP(-LN(2)/25))/(LN(2)/25)*Calculateur!DW125*Calculateur!DY125*VLOOKUP('Données projet'!$B$14,Paramètres!$A$1:$I$89,3,0)*0.475*44/12</f>
        <v>3.0240347307237117</v>
      </c>
      <c r="EC125" s="21">
        <f>EXP(-LN(2)/2)*EC124+(1-EXP(-LN(2)/2))/(LN(2)/2)*DW125*DZ125*VLOOKUP('Données projet'!$B$14,Paramètres!$A$1:$I$89,3,0)*0.475*44/12</f>
        <v>5.1829674923502148E-13</v>
      </c>
      <c r="ED125" s="22">
        <f t="shared" si="72"/>
        <v>4.8706738839401007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69.172287867363551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-1.1368683772161603E-13</v>
      </c>
      <c r="EK125" s="17">
        <f>EJ125*VLOOKUP('Données projet'!$B$15,Paramètres!$A$1:$I$89,3,0)*VLOOKUP('Données projet'!$B$15,Paramètres!$A$1:$I$89,5,0)</f>
        <v>-1.0286385077051818E-13</v>
      </c>
      <c r="EL125" s="13" t="e">
        <f t="shared" si="99"/>
        <v>#NUM!</v>
      </c>
      <c r="EM125" s="20" t="e">
        <f t="shared" si="73"/>
        <v>#NUM!</v>
      </c>
      <c r="EN125" s="59" t="e">
        <f t="shared" si="74"/>
        <v>#NUM!</v>
      </c>
      <c r="EO125" s="59">
        <f ca="1">AVERAGE(OFFSET($EN$3,0,0,'Données projet'!$E$15+1,1))-AVERAGE(OFFSET($H$3,0,0,'Données projet'!$E$15+1,1))</f>
        <v>398.27843768730202</v>
      </c>
      <c r="EP125" s="59">
        <f t="shared" si="100"/>
        <v>252.3617347568813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0</v>
      </c>
      <c r="EW125" s="21">
        <f>EXP(-LN(2)/25)*EW124+(1-EXP(-LN(2)/25))/(LN(2)/25)*Calculateur!ER125*Calculateur!ET125*VLOOKUP('Données projet'!$B$15,Paramètres!$A$1:$I$89,3,0)*0.475*44/12</f>
        <v>0.24232734398242525</v>
      </c>
      <c r="EX125" s="21">
        <f>EXP(-LN(2)/2)*EX124+(1-EXP(-LN(2)/2))/(LN(2)/2)*ER125*EU125*VLOOKUP('Données projet'!$B$15,Paramètres!$A$1:$I$89,3,0)*0.475*44/12</f>
        <v>8.7955923141129621E-14</v>
      </c>
      <c r="EY125" s="22">
        <f t="shared" si="75"/>
        <v>0.24232734398251321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69.172287867363551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-1.1368683772161603E-13</v>
      </c>
      <c r="FF125" s="17">
        <f>FE125*VLOOKUP('Données projet'!$B$16,Paramètres!$A$1:$I$89,3,0)*VLOOKUP('Données projet'!$B$16,Paramètres!$A$1:$I$89,5,0)</f>
        <v>-1.0995790944434703E-13</v>
      </c>
      <c r="FG125" s="13" t="e">
        <f t="shared" si="101"/>
        <v>#NUM!</v>
      </c>
      <c r="FH125" s="20" t="e">
        <f t="shared" si="76"/>
        <v>#NUM!</v>
      </c>
      <c r="FI125" s="59" t="e">
        <f t="shared" si="77"/>
        <v>#NUM!</v>
      </c>
      <c r="FJ125" s="59">
        <f ca="1">AVERAGE(OFFSET($FI$3,0,0,'Données projet'!$E$16+1,1))-AVERAGE(OFFSET($H$3,0,0,'Données projet'!$E$16+1,1))</f>
        <v>422.28024471365825</v>
      </c>
      <c r="FK125" s="59">
        <f t="shared" si="102"/>
        <v>266.49730479813206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0</v>
      </c>
      <c r="FR125" s="21">
        <f>EXP(-LN(2)/25)*FR124+(1-EXP(-LN(2)/25))/(LN(2)/25)*Calculateur!FM125*Calculateur!FO125*VLOOKUP('Données projet'!$B$16,Paramètres!$A$1:$I$89,3,0)*0.475*44/12</f>
        <v>0.25903957460190269</v>
      </c>
      <c r="FS125" s="21">
        <f>EXP(-LN(2)/2)*FS124+(1-EXP(-LN(2)/2))/(LN(2)/2)*FM125*FP125*VLOOKUP('Données projet'!$B$16,Paramètres!$A$1:$I$89,3,0)*0.475*44/12</f>
        <v>9.4021848875000611E-14</v>
      </c>
      <c r="FT125" s="22">
        <f t="shared" si="78"/>
        <v>0.25903957460199672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69.172287867363551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3.4106051316484809E-13</v>
      </c>
      <c r="GA125" s="17">
        <f>FZ125*VLOOKUP('Données projet'!$B$17,Paramètres!$A$1:$I$89,3,0)*VLOOKUP('Données projet'!$B$17,Paramètres!$A$1:$I$89,5,0)</f>
        <v>2.6602720026858149E-13</v>
      </c>
      <c r="GB125" s="13">
        <f t="shared" si="103"/>
        <v>3.5662905043956649E-12</v>
      </c>
      <c r="GC125" s="20">
        <f t="shared" si="79"/>
        <v>6.6746200022902298E-12</v>
      </c>
      <c r="GD125" s="59">
        <f t="shared" si="80"/>
        <v>290.29838884700632</v>
      </c>
      <c r="GE125" s="59">
        <f ca="1">AVERAGE(OFFSET($GD$3,0,0,'Données projet'!$E$17+1,1))-AVERAGE(OFFSET($H$3,0,0,'Données projet'!$E$17+1,1))</f>
        <v>300.95722646933314</v>
      </c>
      <c r="GF125" s="59">
        <f t="shared" si="104"/>
        <v>269.52365224623759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>
        <f>EXP(-LN(2)/35)*GL124+(1-EXP(-LN(2)/35))/(LN(2)/35)*GH125*GI125*VLOOKUP('Données projet'!$B$17,Paramètres!$A$1:$I$89,3,0)*0.475*44/12</f>
        <v>0.14389395999084678</v>
      </c>
      <c r="GM125" s="21">
        <f>EXP(-LN(2)/25)*GM124+(1-EXP(-LN(2)/25))/(LN(2)/25)*Calculateur!GH125*Calculateur!GJ125*VLOOKUP('Données projet'!$B$17,Paramètres!$A$1:$I$89,3,0)*0.475*44/12</f>
        <v>0.48678272956621521</v>
      </c>
      <c r="GN125" s="21">
        <f>EXP(-LN(2)/2)*GN124+(1-EXP(-LN(2)/2))/(LN(2)/2)*GH125*GK125*VLOOKUP('Données projet'!$B$17,Paramètres!$A$1:$I$89,3,0)*0.475*44/12</f>
        <v>1.258934449342184E-13</v>
      </c>
      <c r="GO125" s="21">
        <f t="shared" si="81"/>
        <v>0.63067668955718792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69.172287867363551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1.4000000000000001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5.1333333333333337</v>
      </c>
      <c r="H126" s="67">
        <f t="shared" si="56"/>
        <v>236.13333333333335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69.186646822377696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-3.4106051316484809E-13</v>
      </c>
      <c r="O126" s="13">
        <f>N126*VLOOKUP('Données projet'!$B$9,Paramètres!$A$1:$I$89,3,0)*VLOOKUP('Données projet'!$B$9,Paramètres!$A$1:$I$89,5,0)</f>
        <v>-3.0859155231155454E-13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479.46542424895119</v>
      </c>
      <c r="T126" s="59">
        <f t="shared" si="88"/>
        <v>337.96395820277337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0.38183565736028452</v>
      </c>
      <c r="AA126" s="21">
        <f>EXP(-LN(2)/25)*AA125+(1-EXP(-LN(2)/25))/(LN(2)/25)*Calculateur!V126*Calculateur!X126*VLOOKUP('Données projet'!$B$9,Paramètres!$A$1:$I$89,3,0)*0.475*44/12</f>
        <v>0.85622127396607828</v>
      </c>
      <c r="AB126" s="21">
        <f>EXP(-LN(2)/2)*AB125+(1-EXP(-LN(2)/2))/(LN(2)/2)*V126*Y126*VLOOKUP('Données projet'!$B$9,Paramètres!$A$1:$I$89,3,0)*0.475*44/12</f>
        <v>2.1658068178237815E-13</v>
      </c>
      <c r="AC126" s="22">
        <f t="shared" si="57"/>
        <v>1.2380569313265792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69.186646822377696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-3.4106051316484809E-13</v>
      </c>
      <c r="AJ126" s="13">
        <f>AI126*VLOOKUP('Données projet'!$B$10,Paramètres!$A$1:$I$89,3,0)*VLOOKUP('Données projet'!$B$10,Paramètres!$A$1:$I$89,5,0)</f>
        <v>-3.2987372833304104E-13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508.94560627895089</v>
      </c>
      <c r="AO126" s="59">
        <f t="shared" si="90"/>
        <v>357.86868650263034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0.40816915097133899</v>
      </c>
      <c r="AV126" s="21">
        <f>EXP(-LN(2)/25)*AV125+(1-EXP(-LN(2)/25))/(LN(2)/25)*Calculateur!AQ126*Calculateur!AS126*VLOOKUP('Données projet'!$B$10,Paramètres!$A$1:$I$89,3,0)*0.475*44/12</f>
        <v>0.91527101699822166</v>
      </c>
      <c r="AW126" s="21">
        <f>EXP(-LN(2)/2)*AW125+(1-EXP(-LN(2)/2))/(LN(2)/2)*AQ126*AT126*VLOOKUP('Données projet'!$B$10,Paramètres!$A$1:$I$89,3,0)*0.475*44/12</f>
        <v>2.3151728052598937E-13</v>
      </c>
      <c r="AX126" s="21">
        <f t="shared" si="60"/>
        <v>1.3234401679697922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69.186646822377696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1.7053025658242404E-13</v>
      </c>
      <c r="BE126" s="13">
        <f>BD126*VLOOKUP('Données projet'!$B$11,Paramètres!$A$1:$I$89,3,0)*VLOOKUP('Données projet'!$B$11,Paramètres!$A$1:$I$89,5,0)</f>
        <v>1.3301360013429075E-13</v>
      </c>
      <c r="BF126" s="13">
        <f t="shared" si="91"/>
        <v>1.9329766731057041E-12</v>
      </c>
      <c r="BG126" s="20">
        <f t="shared" si="61"/>
        <v>3.5982663925596575E-12</v>
      </c>
      <c r="BH126" s="59">
        <f t="shared" si="62"/>
        <v>290.35103834872177</v>
      </c>
      <c r="BI126" s="59">
        <f ca="1">AVERAGE(OFFSET($BH$3,0,0,'Données projet'!$E$11+1,1))-AVERAGE(OFFSET($H$3,0,0,'Données projet'!$E$11+1,1))</f>
        <v>383.03154033422328</v>
      </c>
      <c r="BJ126" s="59">
        <f t="shared" si="92"/>
        <v>373.27897156169877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0.22924246670337289</v>
      </c>
      <c r="BQ126" s="21">
        <f>EXP(-LN(2)/25)*BQ125+(1-EXP(-LN(2)/25))/(LN(2)/25)*Calculateur!BL126*Calculateur!BN126*VLOOKUP('Données projet'!$B$11,Paramètres!$A$1:$I$89,3,0)*0.475*44/12</f>
        <v>0.63523052971922311</v>
      </c>
      <c r="BR126" s="21">
        <f>EXP(-LN(2)/2)*BR125+(1-EXP(-LN(2)/2))/(LN(2)/2)*BL126*BO126*VLOOKUP('Données projet'!$B$11,Paramètres!$A$1:$I$89,3,0)*0.475*44/12</f>
        <v>1.3134694726964979E-13</v>
      </c>
      <c r="BS126" s="22">
        <f t="shared" si="63"/>
        <v>0.86447299642272735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69.186646822377696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-3.4106051316484809E-13</v>
      </c>
      <c r="BZ126" s="13">
        <f>BY126*VLOOKUP('Données projet'!$B$12,Paramètres!$A$1:$I$89,3,0)*VLOOKUP('Données projet'!$B$12,Paramètres!$A$1:$I$89,5,0)</f>
        <v>-2.8730937629006804E-13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449.94334483948603</v>
      </c>
      <c r="CE126" s="59">
        <f t="shared" si="94"/>
        <v>318.02929110264176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0.3555021637492306</v>
      </c>
      <c r="CL126" s="21">
        <f>EXP(-LN(2)/25)*CL125+(1-EXP(-LN(2)/25))/(LN(2)/25)*Calculateur!CG126*Calculateur!CI126*VLOOKUP('Données projet'!$B$12,Paramètres!$A$1:$I$89,3,0)*0.475*44/12</f>
        <v>0.79717153093393522</v>
      </c>
      <c r="CM126" s="21">
        <f>EXP(-LN(2)/2)*CM125+(1-EXP(-LN(2)/2))/(LN(2)/2)*CG126*CJ126*VLOOKUP('Données projet'!$B$12,Paramètres!$A$1:$I$89,3,0)*0.475*44/12</f>
        <v>2.0164408303876515E-13</v>
      </c>
      <c r="CN126" s="22">
        <f t="shared" si="66"/>
        <v>1.1526736946833673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69.186646822377696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5</v>
      </c>
      <c r="CT126" s="12">
        <f>IF('Données projet'!$A$140&gt;35,CT125+CS126-DB125,IF(A126&lt;'Données projet'!$A$140,$CQ$205^A126,IF(A126='Données projet'!$A$140,'Données projet'!$B$140,CT125+CS126-DB125)))</f>
        <v>426.00000000000023</v>
      </c>
      <c r="CU126" s="17">
        <f>CT126*VLOOKUP('Données projet'!$B$13,Paramètres!$A$1:$I$89,3,0)*VLOOKUP('Données projet'!$B$13,Paramètres!$A$1:$I$89,5,0)</f>
        <v>365.50800000000027</v>
      </c>
      <c r="CV126" s="13">
        <f t="shared" si="95"/>
        <v>84.747667534292177</v>
      </c>
      <c r="CW126" s="20">
        <f t="shared" si="67"/>
        <v>784.19528762222592</v>
      </c>
      <c r="CX126" s="59">
        <f t="shared" si="68"/>
        <v>1074.5463259709441</v>
      </c>
      <c r="CY126" s="59">
        <f ca="1">AVERAGE(OFFSET($CX$3,0,0,'Données projet'!$E$13+1,1))-AVERAGE(OFFSET($H$3,0,0,'Données projet'!$E$13+1,1))</f>
        <v>565.32667500225568</v>
      </c>
      <c r="CZ126" s="59">
        <f t="shared" si="96"/>
        <v>275.06957234480944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0</v>
      </c>
      <c r="DG126" s="21">
        <f>EXP(-LN(2)/25)*DG125+(1-EXP(-LN(2)/25))/(LN(2)/25)*Calculateur!DB126*Calculateur!DD126*VLOOKUP('Données projet'!$B$13,Paramètres!$A$1:$I$89,3,0)*0.475*44/12</f>
        <v>0.33248601200210759</v>
      </c>
      <c r="DH126" s="21">
        <f>EXP(-LN(2)/2)*DH125+(1-EXP(-LN(2)/2))/(LN(2)/2)*DB126*DE126*VLOOKUP('Données projet'!$B$13,Paramètres!$A$1:$I$89,3,0)*0.475*44/12</f>
        <v>7.1179484048653341E-14</v>
      </c>
      <c r="DI126" s="22">
        <f t="shared" si="69"/>
        <v>0.33248601200217875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69.186646822377696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-1.2505552149377763E-12</v>
      </c>
      <c r="DP126" s="17">
        <f>DO126*VLOOKUP('Données projet'!$B$14,Paramètres!$A$1:$I$89,3,0)*VLOOKUP('Données projet'!$B$14,Paramètres!$A$1:$I$89,5,0)</f>
        <v>-6.9906036515021697E-13</v>
      </c>
      <c r="DQ126" s="13" t="e">
        <f t="shared" si="97"/>
        <v>#NUM!</v>
      </c>
      <c r="DR126" s="20" t="e">
        <f t="shared" si="70"/>
        <v>#NUM!</v>
      </c>
      <c r="DS126" s="59" t="e">
        <f t="shared" si="71"/>
        <v>#NUM!</v>
      </c>
      <c r="DT126" s="59">
        <f ca="1">AVERAGE(OFFSET($DS$3,0,0,'Données projet'!$E$14+1,1))-AVERAGE(OFFSET($H$3,0,0,'Données projet'!$E$14+1,1))</f>
        <v>532.64469322244281</v>
      </c>
      <c r="DU126" s="59">
        <f t="shared" si="98"/>
        <v>525.88014011096413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1.8104276857599739</v>
      </c>
      <c r="EB126" s="21">
        <f>EXP(-LN(2)/25)*EB125+(1-EXP(-LN(2)/25))/(LN(2)/25)*Calculateur!DW126*Calculateur!DY126*VLOOKUP('Données projet'!$B$14,Paramètres!$A$1:$I$89,3,0)*0.475*44/12</f>
        <v>2.9413423419849969</v>
      </c>
      <c r="EC126" s="21">
        <f>EXP(-LN(2)/2)*EC125+(1-EXP(-LN(2)/2))/(LN(2)/2)*DW126*DZ126*VLOOKUP('Données projet'!$B$14,Paramètres!$A$1:$I$89,3,0)*0.475*44/12</f>
        <v>3.6649114605102723E-13</v>
      </c>
      <c r="ED126" s="22">
        <f t="shared" si="72"/>
        <v>4.7517700277453381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69.186646822377696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-1.1368683772161603E-13</v>
      </c>
      <c r="EK126" s="17">
        <f>EJ126*VLOOKUP('Données projet'!$B$15,Paramètres!$A$1:$I$89,3,0)*VLOOKUP('Données projet'!$B$15,Paramètres!$A$1:$I$89,5,0)</f>
        <v>-1.0286385077051818E-13</v>
      </c>
      <c r="EL126" s="13" t="e">
        <f t="shared" si="99"/>
        <v>#NUM!</v>
      </c>
      <c r="EM126" s="20" t="e">
        <f t="shared" si="73"/>
        <v>#NUM!</v>
      </c>
      <c r="EN126" s="59" t="e">
        <f t="shared" si="74"/>
        <v>#NUM!</v>
      </c>
      <c r="EO126" s="59">
        <f ca="1">AVERAGE(OFFSET($EN$3,0,0,'Données projet'!$E$15+1,1))-AVERAGE(OFFSET($H$3,0,0,'Données projet'!$E$15+1,1))</f>
        <v>398.27843768730202</v>
      </c>
      <c r="EP126" s="59">
        <f t="shared" si="100"/>
        <v>252.3617347568813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0</v>
      </c>
      <c r="EW126" s="21">
        <f>EXP(-LN(2)/25)*EW125+(1-EXP(-LN(2)/25))/(LN(2)/25)*Calculateur!ER126*Calculateur!ET126*VLOOKUP('Données projet'!$B$15,Paramètres!$A$1:$I$89,3,0)*0.475*44/12</f>
        <v>0.23570089001778466</v>
      </c>
      <c r="EX126" s="21">
        <f>EXP(-LN(2)/2)*EX125+(1-EXP(-LN(2)/2))/(LN(2)/2)*ER126*EU126*VLOOKUP('Données projet'!$B$15,Paramètres!$A$1:$I$89,3,0)*0.475*44/12</f>
        <v>6.2194229698615533E-14</v>
      </c>
      <c r="EY126" s="22">
        <f t="shared" si="75"/>
        <v>0.23570089001784686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69.186646822377696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-1.1368683772161603E-13</v>
      </c>
      <c r="FF126" s="17">
        <f>FE126*VLOOKUP('Données projet'!$B$16,Paramètres!$A$1:$I$89,3,0)*VLOOKUP('Données projet'!$B$16,Paramètres!$A$1:$I$89,5,0)</f>
        <v>-1.0995790944434703E-13</v>
      </c>
      <c r="FG126" s="13" t="e">
        <f t="shared" si="101"/>
        <v>#NUM!</v>
      </c>
      <c r="FH126" s="20" t="e">
        <f t="shared" si="76"/>
        <v>#NUM!</v>
      </c>
      <c r="FI126" s="59" t="e">
        <f t="shared" si="77"/>
        <v>#NUM!</v>
      </c>
      <c r="FJ126" s="59">
        <f ca="1">AVERAGE(OFFSET($FI$3,0,0,'Données projet'!$E$16+1,1))-AVERAGE(OFFSET($H$3,0,0,'Données projet'!$E$16+1,1))</f>
        <v>422.28024471365825</v>
      </c>
      <c r="FK126" s="59">
        <f t="shared" si="102"/>
        <v>266.49730479813206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0</v>
      </c>
      <c r="FR126" s="21">
        <f>EXP(-LN(2)/25)*FR125+(1-EXP(-LN(2)/25))/(LN(2)/25)*Calculateur!FM126*Calculateur!FO126*VLOOKUP('Données projet'!$B$16,Paramètres!$A$1:$I$89,3,0)*0.475*44/12</f>
        <v>0.25195612381211446</v>
      </c>
      <c r="FS126" s="21">
        <f>EXP(-LN(2)/2)*FS125+(1-EXP(-LN(2)/2))/(LN(2)/2)*FM126*FP126*VLOOKUP('Données projet'!$B$16,Paramètres!$A$1:$I$89,3,0)*0.475*44/12</f>
        <v>6.6483486919209695E-14</v>
      </c>
      <c r="FT126" s="22">
        <f t="shared" si="78"/>
        <v>0.25195612381218097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69.186646822377696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3.4106051316484809E-13</v>
      </c>
      <c r="GA126" s="17">
        <f>FZ126*VLOOKUP('Données projet'!$B$17,Paramètres!$A$1:$I$89,3,0)*VLOOKUP('Données projet'!$B$17,Paramètres!$A$1:$I$89,5,0)</f>
        <v>2.6602720026858149E-13</v>
      </c>
      <c r="GB126" s="13">
        <f t="shared" si="103"/>
        <v>3.5662905043956649E-12</v>
      </c>
      <c r="GC126" s="20">
        <f t="shared" si="79"/>
        <v>6.6746200022902298E-12</v>
      </c>
      <c r="GD126" s="59">
        <f t="shared" si="80"/>
        <v>290.35103834872484</v>
      </c>
      <c r="GE126" s="59">
        <f ca="1">AVERAGE(OFFSET($GD$3,0,0,'Données projet'!$E$17+1,1))-AVERAGE(OFFSET($H$3,0,0,'Données projet'!$E$17+1,1))</f>
        <v>300.95722646933314</v>
      </c>
      <c r="GF126" s="59">
        <f t="shared" si="104"/>
        <v>269.52365224623759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>
        <f>EXP(-LN(2)/35)*GL125+(1-EXP(-LN(2)/35))/(LN(2)/35)*GH126*GI126*VLOOKUP('Données projet'!$B$17,Paramètres!$A$1:$I$89,3,0)*0.475*44/12</f>
        <v>0.14107228720207562</v>
      </c>
      <c r="GM126" s="21">
        <f>EXP(-LN(2)/25)*GM125+(1-EXP(-LN(2)/25))/(LN(2)/25)*Calculateur!GH126*Calculateur!GJ126*VLOOKUP('Données projet'!$B$17,Paramètres!$A$1:$I$89,3,0)*0.475*44/12</f>
        <v>0.47347163022743588</v>
      </c>
      <c r="GN126" s="21">
        <f>EXP(-LN(2)/2)*GN125+(1-EXP(-LN(2)/2))/(LN(2)/2)*GH126*GK126*VLOOKUP('Données projet'!$B$17,Paramètres!$A$1:$I$89,3,0)*0.475*44/12</f>
        <v>8.9020108619921043E-14</v>
      </c>
      <c r="GO126" s="21">
        <f t="shared" si="81"/>
        <v>0.61454391742960057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69.186646822377696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1.4000000000000001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5.1333333333333337</v>
      </c>
      <c r="H127" s="67">
        <f t="shared" si="56"/>
        <v>236.13333333333335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69.200756681624142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-3.4106051316484809E-13</v>
      </c>
      <c r="O127" s="13">
        <f>N127*VLOOKUP('Données projet'!$B$9,Paramètres!$A$1:$I$89,3,0)*VLOOKUP('Données projet'!$B$9,Paramètres!$A$1:$I$89,5,0)</f>
        <v>-3.0859155231155454E-13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479.46542424895119</v>
      </c>
      <c r="T127" s="59">
        <f t="shared" si="88"/>
        <v>337.96395820277337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0.3743480930162037</v>
      </c>
      <c r="AA127" s="21">
        <f>EXP(-LN(2)/25)*AA126+(1-EXP(-LN(2)/25))/(LN(2)/25)*Calculateur!V127*Calculateur!X127*VLOOKUP('Données projet'!$B$9,Paramètres!$A$1:$I$89,3,0)*0.475*44/12</f>
        <v>0.83280785820275594</v>
      </c>
      <c r="AB127" s="21">
        <f>EXP(-LN(2)/2)*AB126+(1-EXP(-LN(2)/2))/(LN(2)/2)*V127*Y127*VLOOKUP('Données projet'!$B$9,Paramètres!$A$1:$I$89,3,0)*0.475*44/12</f>
        <v>1.5314566876232535E-13</v>
      </c>
      <c r="AC127" s="22">
        <f t="shared" si="57"/>
        <v>1.2071559512191128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69.200756681624142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-3.4106051316484809E-13</v>
      </c>
      <c r="AJ127" s="13">
        <f>AI127*VLOOKUP('Données projet'!$B$10,Paramètres!$A$1:$I$89,3,0)*VLOOKUP('Données projet'!$B$10,Paramètres!$A$1:$I$89,5,0)</f>
        <v>-3.2987372833304104E-13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508.94560627895089</v>
      </c>
      <c r="AO127" s="59">
        <f t="shared" si="90"/>
        <v>357.86868650263034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0.4001652028793905</v>
      </c>
      <c r="AV127" s="21">
        <f>EXP(-LN(2)/25)*AV126+(1-EXP(-LN(2)/25))/(LN(2)/25)*Calculateur!AQ127*Calculateur!AS127*VLOOKUP('Données projet'!$B$10,Paramètres!$A$1:$I$89,3,0)*0.475*44/12</f>
        <v>0.89024288290639442</v>
      </c>
      <c r="AW127" s="21">
        <f>EXP(-LN(2)/2)*AW126+(1-EXP(-LN(2)/2))/(LN(2)/2)*AQ127*AT127*VLOOKUP('Données projet'!$B$10,Paramètres!$A$1:$I$89,3,0)*0.475*44/12</f>
        <v>1.6370743902179531E-13</v>
      </c>
      <c r="AX127" s="21">
        <f t="shared" si="60"/>
        <v>1.2904080857859486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69.200756681624142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1.7053025658242404E-13</v>
      </c>
      <c r="BE127" s="13">
        <f>BD127*VLOOKUP('Données projet'!$B$11,Paramètres!$A$1:$I$89,3,0)*VLOOKUP('Données projet'!$B$11,Paramètres!$A$1:$I$89,5,0)</f>
        <v>1.3301360013429075E-13</v>
      </c>
      <c r="BF127" s="13">
        <f t="shared" si="91"/>
        <v>1.9329766731057041E-12</v>
      </c>
      <c r="BG127" s="20">
        <f t="shared" si="61"/>
        <v>3.5982663925596575E-12</v>
      </c>
      <c r="BH127" s="59">
        <f t="shared" si="62"/>
        <v>290.40277449929209</v>
      </c>
      <c r="BI127" s="59">
        <f ca="1">AVERAGE(OFFSET($BH$3,0,0,'Données projet'!$E$11+1,1))-AVERAGE(OFFSET($H$3,0,0,'Données projet'!$E$11+1,1))</f>
        <v>383.03154033422328</v>
      </c>
      <c r="BJ127" s="59">
        <f t="shared" si="92"/>
        <v>373.27897156169877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0.22474716175541795</v>
      </c>
      <c r="BQ127" s="21">
        <f>EXP(-LN(2)/25)*BQ126+(1-EXP(-LN(2)/25))/(LN(2)/25)*Calculateur!BL127*Calculateur!BN127*VLOOKUP('Données projet'!$B$11,Paramètres!$A$1:$I$89,3,0)*0.475*44/12</f>
        <v>0.61786011747872926</v>
      </c>
      <c r="BR127" s="21">
        <f>EXP(-LN(2)/2)*BR126+(1-EXP(-LN(2)/2))/(LN(2)/2)*BL127*BO127*VLOOKUP('Données projet'!$B$11,Paramètres!$A$1:$I$89,3,0)*0.475*44/12</f>
        <v>9.2876317102521251E-14</v>
      </c>
      <c r="BS127" s="22">
        <f t="shared" si="63"/>
        <v>0.84260727923424017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69.200756681624142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-3.4106051316484809E-13</v>
      </c>
      <c r="BZ127" s="13">
        <f>BY127*VLOOKUP('Données projet'!$B$12,Paramètres!$A$1:$I$89,3,0)*VLOOKUP('Données projet'!$B$12,Paramètres!$A$1:$I$89,5,0)</f>
        <v>-2.8730937629006804E-13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449.94334483948603</v>
      </c>
      <c r="CE127" s="59">
        <f t="shared" si="94"/>
        <v>318.02929110264176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0.34853098315301739</v>
      </c>
      <c r="CL127" s="21">
        <f>EXP(-LN(2)/25)*CL126+(1-EXP(-LN(2)/25))/(LN(2)/25)*Calculateur!CG127*Calculateur!CI127*VLOOKUP('Données projet'!$B$12,Paramètres!$A$1:$I$89,3,0)*0.475*44/12</f>
        <v>0.7753728334991179</v>
      </c>
      <c r="CM127" s="21">
        <f>EXP(-LN(2)/2)*CM126+(1-EXP(-LN(2)/2))/(LN(2)/2)*CG127*CJ127*VLOOKUP('Données projet'!$B$12,Paramètres!$A$1:$I$89,3,0)*0.475*44/12</f>
        <v>1.4258389850285412E-13</v>
      </c>
      <c r="CN127" s="22">
        <f t="shared" si="66"/>
        <v>1.1239038166522779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69.200756681624142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5</v>
      </c>
      <c r="CT127" s="12">
        <f>IF('Données projet'!$A$140&gt;35,CT126+CS127-DB126,IF(A127&lt;'Données projet'!$A$140,$CQ$205^A127,IF(A127='Données projet'!$A$140,'Données projet'!$B$140,CT126+CS127-DB126)))</f>
        <v>431.00000000000023</v>
      </c>
      <c r="CU127" s="17">
        <f>CT127*VLOOKUP('Données projet'!$B$13,Paramètres!$A$1:$I$89,3,0)*VLOOKUP('Données projet'!$B$13,Paramètres!$A$1:$I$89,5,0)</f>
        <v>369.79800000000023</v>
      </c>
      <c r="CV127" s="13">
        <f t="shared" si="95"/>
        <v>85.625978667852593</v>
      </c>
      <c r="CW127" s="20">
        <f t="shared" si="67"/>
        <v>793.1967628465103</v>
      </c>
      <c r="CX127" s="59">
        <f t="shared" si="68"/>
        <v>1083.5995373457988</v>
      </c>
      <c r="CY127" s="59">
        <f ca="1">AVERAGE(OFFSET($CX$3,0,0,'Données projet'!$E$13+1,1))-AVERAGE(OFFSET($H$3,0,0,'Données projet'!$E$13+1,1))</f>
        <v>565.32667500225568</v>
      </c>
      <c r="CZ127" s="59">
        <f t="shared" si="96"/>
        <v>275.06957234480944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0</v>
      </c>
      <c r="DG127" s="21">
        <f>EXP(-LN(2)/25)*DG126+(1-EXP(-LN(2)/25))/(LN(2)/25)*Calculateur!DB127*Calculateur!DD127*VLOOKUP('Données projet'!$B$13,Paramètres!$A$1:$I$89,3,0)*0.475*44/12</f>
        <v>0.32339416451923048</v>
      </c>
      <c r="DH127" s="21">
        <f>EXP(-LN(2)/2)*DH126+(1-EXP(-LN(2)/2))/(LN(2)/2)*DB127*DE127*VLOOKUP('Données projet'!$B$13,Paramètres!$A$1:$I$89,3,0)*0.475*44/12</f>
        <v>5.0331495852162469E-14</v>
      </c>
      <c r="DI127" s="22">
        <f t="shared" si="69"/>
        <v>0.32339416451928082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69.200756681624142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-1.2505552149377763E-12</v>
      </c>
      <c r="DP127" s="17">
        <f>DO127*VLOOKUP('Données projet'!$B$14,Paramètres!$A$1:$I$89,3,0)*VLOOKUP('Données projet'!$B$14,Paramètres!$A$1:$I$89,5,0)</f>
        <v>-6.9906036515021697E-13</v>
      </c>
      <c r="DQ127" s="13" t="e">
        <f t="shared" si="97"/>
        <v>#NUM!</v>
      </c>
      <c r="DR127" s="20" t="e">
        <f t="shared" si="70"/>
        <v>#NUM!</v>
      </c>
      <c r="DS127" s="59" t="e">
        <f t="shared" si="71"/>
        <v>#NUM!</v>
      </c>
      <c r="DT127" s="59">
        <f ca="1">AVERAGE(OFFSET($DS$3,0,0,'Données projet'!$E$14+1,1))-AVERAGE(OFFSET($H$3,0,0,'Données projet'!$E$14+1,1))</f>
        <v>532.64469322244281</v>
      </c>
      <c r="DU127" s="59">
        <f t="shared" si="98"/>
        <v>525.88014011096413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1.7749263030940734</v>
      </c>
      <c r="EB127" s="21">
        <f>EXP(-LN(2)/25)*EB126+(1-EXP(-LN(2)/25))/(LN(2)/25)*Calculateur!DW127*Calculateur!DY127*VLOOKUP('Données projet'!$B$14,Paramètres!$A$1:$I$89,3,0)*0.475*44/12</f>
        <v>2.8609111809649459</v>
      </c>
      <c r="EC127" s="21">
        <f>EXP(-LN(2)/2)*EC126+(1-EXP(-LN(2)/2))/(LN(2)/2)*DW127*DZ127*VLOOKUP('Données projet'!$B$14,Paramètres!$A$1:$I$89,3,0)*0.475*44/12</f>
        <v>2.5914837461751074E-13</v>
      </c>
      <c r="ED127" s="22">
        <f t="shared" si="72"/>
        <v>4.6358374840592784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69.200756681624142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-1.1368683772161603E-13</v>
      </c>
      <c r="EK127" s="17">
        <f>EJ127*VLOOKUP('Données projet'!$B$15,Paramètres!$A$1:$I$89,3,0)*VLOOKUP('Données projet'!$B$15,Paramètres!$A$1:$I$89,5,0)</f>
        <v>-1.0286385077051818E-13</v>
      </c>
      <c r="EL127" s="13" t="e">
        <f t="shared" si="99"/>
        <v>#NUM!</v>
      </c>
      <c r="EM127" s="20" t="e">
        <f t="shared" si="73"/>
        <v>#NUM!</v>
      </c>
      <c r="EN127" s="59" t="e">
        <f t="shared" si="74"/>
        <v>#NUM!</v>
      </c>
      <c r="EO127" s="59">
        <f ca="1">AVERAGE(OFFSET($EN$3,0,0,'Données projet'!$E$15+1,1))-AVERAGE(OFFSET($H$3,0,0,'Données projet'!$E$15+1,1))</f>
        <v>398.27843768730202</v>
      </c>
      <c r="EP127" s="59">
        <f t="shared" si="100"/>
        <v>252.3617347568813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0</v>
      </c>
      <c r="EW127" s="21">
        <f>EXP(-LN(2)/25)*EW126+(1-EXP(-LN(2)/25))/(LN(2)/25)*Calculateur!ER127*Calculateur!ET127*VLOOKUP('Données projet'!$B$15,Paramètres!$A$1:$I$89,3,0)*0.475*44/12</f>
        <v>0.22925563678527724</v>
      </c>
      <c r="EX127" s="21">
        <f>EXP(-LN(2)/2)*EX126+(1-EXP(-LN(2)/2))/(LN(2)/2)*ER127*EU127*VLOOKUP('Données projet'!$B$15,Paramètres!$A$1:$I$89,3,0)*0.475*44/12</f>
        <v>4.397796157056481E-14</v>
      </c>
      <c r="EY127" s="22">
        <f t="shared" si="75"/>
        <v>0.22925563678532121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69.200756681624142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-1.1368683772161603E-13</v>
      </c>
      <c r="FF127" s="17">
        <f>FE127*VLOOKUP('Données projet'!$B$16,Paramètres!$A$1:$I$89,3,0)*VLOOKUP('Données projet'!$B$16,Paramètres!$A$1:$I$89,5,0)</f>
        <v>-1.0995790944434703E-13</v>
      </c>
      <c r="FG127" s="13" t="e">
        <f t="shared" si="101"/>
        <v>#NUM!</v>
      </c>
      <c r="FH127" s="20" t="e">
        <f t="shared" si="76"/>
        <v>#NUM!</v>
      </c>
      <c r="FI127" s="59" t="e">
        <f t="shared" si="77"/>
        <v>#NUM!</v>
      </c>
      <c r="FJ127" s="59">
        <f ca="1">AVERAGE(OFFSET($FI$3,0,0,'Données projet'!$E$16+1,1))-AVERAGE(OFFSET($H$3,0,0,'Données projet'!$E$16+1,1))</f>
        <v>422.28024471365825</v>
      </c>
      <c r="FK127" s="59">
        <f t="shared" si="102"/>
        <v>266.49730479813206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0</v>
      </c>
      <c r="FR127" s="21">
        <f>EXP(-LN(2)/25)*FR126+(1-EXP(-LN(2)/25))/(LN(2)/25)*Calculateur!FM127*Calculateur!FO127*VLOOKUP('Données projet'!$B$16,Paramètres!$A$1:$I$89,3,0)*0.475*44/12</f>
        <v>0.2450663703566755</v>
      </c>
      <c r="FS127" s="21">
        <f>EXP(-LN(2)/2)*FS126+(1-EXP(-LN(2)/2))/(LN(2)/2)*FM127*FP127*VLOOKUP('Données projet'!$B$16,Paramètres!$A$1:$I$89,3,0)*0.475*44/12</f>
        <v>4.7010924437500306E-14</v>
      </c>
      <c r="FT127" s="22">
        <f t="shared" si="78"/>
        <v>0.24506637035672252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69.200756681624142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3.4106051316484809E-13</v>
      </c>
      <c r="GA127" s="17">
        <f>FZ127*VLOOKUP('Données projet'!$B$17,Paramètres!$A$1:$I$89,3,0)*VLOOKUP('Données projet'!$B$17,Paramètres!$A$1:$I$89,5,0)</f>
        <v>2.6602720026858149E-13</v>
      </c>
      <c r="GB127" s="13">
        <f t="shared" si="103"/>
        <v>3.5662905043956649E-12</v>
      </c>
      <c r="GC127" s="20">
        <f t="shared" si="79"/>
        <v>6.6746200022902298E-12</v>
      </c>
      <c r="GD127" s="59">
        <f t="shared" si="80"/>
        <v>290.40277449929516</v>
      </c>
      <c r="GE127" s="59">
        <f ca="1">AVERAGE(OFFSET($GD$3,0,0,'Données projet'!$E$17+1,1))-AVERAGE(OFFSET($H$3,0,0,'Données projet'!$E$17+1,1))</f>
        <v>300.95722646933314</v>
      </c>
      <c r="GF127" s="59">
        <f t="shared" si="104"/>
        <v>269.52365224623759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>
        <f>EXP(-LN(2)/35)*GL126+(1-EXP(-LN(2)/35))/(LN(2)/35)*GH127*GI127*VLOOKUP('Données projet'!$B$17,Paramètres!$A$1:$I$89,3,0)*0.475*44/12</f>
        <v>0.13830594569564181</v>
      </c>
      <c r="GM127" s="21">
        <f>EXP(-LN(2)/25)*GM126+(1-EXP(-LN(2)/25))/(LN(2)/25)*Calculateur!GH127*Calculateur!GJ127*VLOOKUP('Données projet'!$B$17,Paramètres!$A$1:$I$89,3,0)*0.475*44/12</f>
        <v>0.46052452360007573</v>
      </c>
      <c r="GN127" s="21">
        <f>EXP(-LN(2)/2)*GN126+(1-EXP(-LN(2)/2))/(LN(2)/2)*GH127*GK127*VLOOKUP('Données projet'!$B$17,Paramètres!$A$1:$I$89,3,0)*0.475*44/12</f>
        <v>6.2946722467109201E-14</v>
      </c>
      <c r="GO127" s="21">
        <f t="shared" si="81"/>
        <v>0.59883046929578054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69.200756681624142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1.4000000000000001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5.1333333333333337</v>
      </c>
      <c r="H128" s="67">
        <f t="shared" si="56"/>
        <v>236.13333333333335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69.214621766357595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-3.4106051316484809E-13</v>
      </c>
      <c r="O128" s="13">
        <f>N128*VLOOKUP('Données projet'!$B$9,Paramètres!$A$1:$I$89,3,0)*VLOOKUP('Données projet'!$B$9,Paramètres!$A$1:$I$89,5,0)</f>
        <v>-3.0859155231155454E-13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479.46542424895119</v>
      </c>
      <c r="T128" s="59">
        <f t="shared" si="88"/>
        <v>337.96395820277337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0.367007355241947</v>
      </c>
      <c r="AA128" s="21">
        <f>EXP(-LN(2)/25)*AA127+(1-EXP(-LN(2)/25))/(LN(2)/25)*Calculateur!V128*Calculateur!X128*VLOOKUP('Données projet'!$B$9,Paramètres!$A$1:$I$89,3,0)*0.475*44/12</f>
        <v>0.81003468352473973</v>
      </c>
      <c r="AB128" s="21">
        <f>EXP(-LN(2)/2)*AB127+(1-EXP(-LN(2)/2))/(LN(2)/2)*V128*Y128*VLOOKUP('Données projet'!$B$9,Paramètres!$A$1:$I$89,3,0)*0.475*44/12</f>
        <v>1.0829034089118908E-13</v>
      </c>
      <c r="AC128" s="22">
        <f t="shared" si="57"/>
        <v>1.177042038766795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69.214621766357595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-3.4106051316484809E-13</v>
      </c>
      <c r="AJ128" s="13">
        <f>AI128*VLOOKUP('Données projet'!$B$10,Paramètres!$A$1:$I$89,3,0)*VLOOKUP('Données projet'!$B$10,Paramètres!$A$1:$I$89,5,0)</f>
        <v>-3.2987372833304104E-13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508.94560627895089</v>
      </c>
      <c r="AO128" s="59">
        <f t="shared" si="90"/>
        <v>357.86868650263034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0.39231820732759887</v>
      </c>
      <c r="AV128" s="21">
        <f>EXP(-LN(2)/25)*AV127+(1-EXP(-LN(2)/25))/(LN(2)/25)*Calculateur!AQ128*Calculateur!AS128*VLOOKUP('Données projet'!$B$10,Paramètres!$A$1:$I$89,3,0)*0.475*44/12</f>
        <v>0.86589914445748051</v>
      </c>
      <c r="AW128" s="21">
        <f>EXP(-LN(2)/2)*AW127+(1-EXP(-LN(2)/2))/(LN(2)/2)*AQ128*AT128*VLOOKUP('Données projet'!$B$10,Paramètres!$A$1:$I$89,3,0)*0.475*44/12</f>
        <v>1.1575864026299469E-13</v>
      </c>
      <c r="AX128" s="21">
        <f t="shared" si="60"/>
        <v>1.2582173517851951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69.214621766357595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1.7053025658242404E-13</v>
      </c>
      <c r="BE128" s="13">
        <f>BD128*VLOOKUP('Données projet'!$B$11,Paramètres!$A$1:$I$89,3,0)*VLOOKUP('Données projet'!$B$11,Paramètres!$A$1:$I$89,5,0)</f>
        <v>1.3301360013429075E-13</v>
      </c>
      <c r="BF128" s="13">
        <f t="shared" si="91"/>
        <v>1.9329766731057041E-12</v>
      </c>
      <c r="BG128" s="20">
        <f t="shared" si="61"/>
        <v>3.5982663925596575E-12</v>
      </c>
      <c r="BH128" s="59">
        <f t="shared" si="62"/>
        <v>290.45361314331478</v>
      </c>
      <c r="BI128" s="59">
        <f ca="1">AVERAGE(OFFSET($BH$3,0,0,'Données projet'!$E$11+1,1))-AVERAGE(OFFSET($H$3,0,0,'Données projet'!$E$11+1,1))</f>
        <v>383.03154033422328</v>
      </c>
      <c r="BJ128" s="59">
        <f t="shared" si="92"/>
        <v>373.27897156169877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0.22034000699562714</v>
      </c>
      <c r="BQ128" s="21">
        <f>EXP(-LN(2)/25)*BQ127+(1-EXP(-LN(2)/25))/(LN(2)/25)*Calculateur!BL128*Calculateur!BN128*VLOOKUP('Données projet'!$B$11,Paramètres!$A$1:$I$89,3,0)*0.475*44/12</f>
        <v>0.60096470007442193</v>
      </c>
      <c r="BR128" s="21">
        <f>EXP(-LN(2)/2)*BR127+(1-EXP(-LN(2)/2))/(LN(2)/2)*BL128*BO128*VLOOKUP('Données projet'!$B$11,Paramètres!$A$1:$I$89,3,0)*0.475*44/12</f>
        <v>6.5673473634824895E-14</v>
      </c>
      <c r="BS128" s="22">
        <f t="shared" si="63"/>
        <v>0.82130470707011483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69.214621766357595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-3.4106051316484809E-13</v>
      </c>
      <c r="BZ128" s="13">
        <f>BY128*VLOOKUP('Données projet'!$B$12,Paramètres!$A$1:$I$89,3,0)*VLOOKUP('Données projet'!$B$12,Paramètres!$A$1:$I$89,5,0)</f>
        <v>-2.8730937629006804E-13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449.94334483948603</v>
      </c>
      <c r="CE128" s="59">
        <f t="shared" si="94"/>
        <v>318.02929110264176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0.34169650315629563</v>
      </c>
      <c r="CL128" s="21">
        <f>EXP(-LN(2)/25)*CL127+(1-EXP(-LN(2)/25))/(LN(2)/25)*Calculateur!CG128*Calculateur!CI128*VLOOKUP('Données projet'!$B$12,Paramètres!$A$1:$I$89,3,0)*0.475*44/12</f>
        <v>0.7541702225919994</v>
      </c>
      <c r="CM128" s="21">
        <f>EXP(-LN(2)/2)*CM127+(1-EXP(-LN(2)/2))/(LN(2)/2)*CG128*CJ128*VLOOKUP('Données projet'!$B$12,Paramètres!$A$1:$I$89,3,0)*0.475*44/12</f>
        <v>1.0082204151938257E-13</v>
      </c>
      <c r="CN128" s="22">
        <f t="shared" si="66"/>
        <v>1.0958667257483958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69.214621766357595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5</v>
      </c>
      <c r="CT128" s="12">
        <f>IF('Données projet'!$A$140&gt;35,CT127+CS128-DB127,IF(A128&lt;'Données projet'!$A$140,$CQ$205^A128,IF(A128='Données projet'!$A$140,'Données projet'!$B$140,CT127+CS128-DB127)))</f>
        <v>436.00000000000023</v>
      </c>
      <c r="CU128" s="17">
        <f>CT128*VLOOKUP('Données projet'!$B$13,Paramètres!$A$1:$I$89,3,0)*VLOOKUP('Données projet'!$B$13,Paramètres!$A$1:$I$89,5,0)</f>
        <v>374.08800000000025</v>
      </c>
      <c r="CV128" s="13">
        <f t="shared" si="95"/>
        <v>86.503104548004657</v>
      </c>
      <c r="CW128" s="20">
        <f t="shared" si="67"/>
        <v>802.19617375444193</v>
      </c>
      <c r="CX128" s="59">
        <f t="shared" si="68"/>
        <v>1092.6497868977531</v>
      </c>
      <c r="CY128" s="59">
        <f ca="1">AVERAGE(OFFSET($CX$3,0,0,'Données projet'!$E$13+1,1))-AVERAGE(OFFSET($H$3,0,0,'Données projet'!$E$13+1,1))</f>
        <v>565.32667500225568</v>
      </c>
      <c r="CZ128" s="59">
        <f t="shared" si="96"/>
        <v>275.06957234480944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0</v>
      </c>
      <c r="DG128" s="21">
        <f>EXP(-LN(2)/25)*DG127+(1-EXP(-LN(2)/25))/(LN(2)/25)*Calculateur!DB128*Calculateur!DD128*VLOOKUP('Données projet'!$B$13,Paramètres!$A$1:$I$89,3,0)*0.475*44/12</f>
        <v>0.31455093408389212</v>
      </c>
      <c r="DH128" s="21">
        <f>EXP(-LN(2)/2)*DH127+(1-EXP(-LN(2)/2))/(LN(2)/2)*DB128*DE128*VLOOKUP('Données projet'!$B$13,Paramètres!$A$1:$I$89,3,0)*0.475*44/12</f>
        <v>3.5589742024326671E-14</v>
      </c>
      <c r="DI128" s="22">
        <f t="shared" si="69"/>
        <v>0.3145509340839277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69.214621766357595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-1.2505552149377763E-12</v>
      </c>
      <c r="DP128" s="17">
        <f>DO128*VLOOKUP('Données projet'!$B$14,Paramètres!$A$1:$I$89,3,0)*VLOOKUP('Données projet'!$B$14,Paramètres!$A$1:$I$89,5,0)</f>
        <v>-6.9906036515021697E-13</v>
      </c>
      <c r="DQ128" s="13" t="e">
        <f t="shared" si="97"/>
        <v>#NUM!</v>
      </c>
      <c r="DR128" s="20" t="e">
        <f t="shared" si="70"/>
        <v>#NUM!</v>
      </c>
      <c r="DS128" s="59" t="e">
        <f t="shared" si="71"/>
        <v>#NUM!</v>
      </c>
      <c r="DT128" s="59">
        <f ca="1">AVERAGE(OFFSET($DS$3,0,0,'Données projet'!$E$14+1,1))-AVERAGE(OFFSET($H$3,0,0,'Données projet'!$E$14+1,1))</f>
        <v>532.64469322244281</v>
      </c>
      <c r="DU128" s="59">
        <f t="shared" si="98"/>
        <v>525.88014011096413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1.7401210808885459</v>
      </c>
      <c r="EB128" s="21">
        <f>EXP(-LN(2)/25)*EB127+(1-EXP(-LN(2)/25))/(LN(2)/25)*Calculateur!DW128*Calculateur!DY128*VLOOKUP('Données projet'!$B$14,Paramètres!$A$1:$I$89,3,0)*0.475*44/12</f>
        <v>2.7826794142726792</v>
      </c>
      <c r="EC128" s="21">
        <f>EXP(-LN(2)/2)*EC127+(1-EXP(-LN(2)/2))/(LN(2)/2)*DW128*DZ128*VLOOKUP('Données projet'!$B$14,Paramètres!$A$1:$I$89,3,0)*0.475*44/12</f>
        <v>1.8324557302551361E-13</v>
      </c>
      <c r="ED128" s="22">
        <f t="shared" si="72"/>
        <v>4.522800495161408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69.214621766357595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-1.1368683772161603E-13</v>
      </c>
      <c r="EK128" s="17">
        <f>EJ128*VLOOKUP('Données projet'!$B$15,Paramètres!$A$1:$I$89,3,0)*VLOOKUP('Données projet'!$B$15,Paramètres!$A$1:$I$89,5,0)</f>
        <v>-1.0286385077051818E-13</v>
      </c>
      <c r="EL128" s="13" t="e">
        <f t="shared" si="99"/>
        <v>#NUM!</v>
      </c>
      <c r="EM128" s="20" t="e">
        <f t="shared" si="73"/>
        <v>#NUM!</v>
      </c>
      <c r="EN128" s="59" t="e">
        <f t="shared" si="74"/>
        <v>#NUM!</v>
      </c>
      <c r="EO128" s="59">
        <f ca="1">AVERAGE(OFFSET($EN$3,0,0,'Données projet'!$E$15+1,1))-AVERAGE(OFFSET($H$3,0,0,'Données projet'!$E$15+1,1))</f>
        <v>398.27843768730202</v>
      </c>
      <c r="EP128" s="59">
        <f t="shared" si="100"/>
        <v>252.3617347568813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0</v>
      </c>
      <c r="EW128" s="21">
        <f>EXP(-LN(2)/25)*EW127+(1-EXP(-LN(2)/25))/(LN(2)/25)*Calculateur!ER128*Calculateur!ET128*VLOOKUP('Données projet'!$B$15,Paramètres!$A$1:$I$89,3,0)*0.475*44/12</f>
        <v>0.22298662934135388</v>
      </c>
      <c r="EX128" s="21">
        <f>EXP(-LN(2)/2)*EX127+(1-EXP(-LN(2)/2))/(LN(2)/2)*ER128*EU128*VLOOKUP('Données projet'!$B$15,Paramètres!$A$1:$I$89,3,0)*0.475*44/12</f>
        <v>3.1097114849307767E-14</v>
      </c>
      <c r="EY128" s="22">
        <f t="shared" si="75"/>
        <v>0.22298662934138497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69.214621766357595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-1.1368683772161603E-13</v>
      </c>
      <c r="FF128" s="17">
        <f>FE128*VLOOKUP('Données projet'!$B$16,Paramètres!$A$1:$I$89,3,0)*VLOOKUP('Données projet'!$B$16,Paramètres!$A$1:$I$89,5,0)</f>
        <v>-1.0995790944434703E-13</v>
      </c>
      <c r="FG128" s="13" t="e">
        <f t="shared" si="101"/>
        <v>#NUM!</v>
      </c>
      <c r="FH128" s="20" t="e">
        <f t="shared" si="76"/>
        <v>#NUM!</v>
      </c>
      <c r="FI128" s="59" t="e">
        <f t="shared" si="77"/>
        <v>#NUM!</v>
      </c>
      <c r="FJ128" s="59">
        <f ca="1">AVERAGE(OFFSET($FI$3,0,0,'Données projet'!$E$16+1,1))-AVERAGE(OFFSET($H$3,0,0,'Données projet'!$E$16+1,1))</f>
        <v>422.28024471365825</v>
      </c>
      <c r="FK128" s="59">
        <f t="shared" si="102"/>
        <v>266.49730479813206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0</v>
      </c>
      <c r="FR128" s="21">
        <f>EXP(-LN(2)/25)*FR127+(1-EXP(-LN(2)/25))/(LN(2)/25)*Calculateur!FM128*Calculateur!FO128*VLOOKUP('Données projet'!$B$16,Paramètres!$A$1:$I$89,3,0)*0.475*44/12</f>
        <v>0.2383650175717919</v>
      </c>
      <c r="FS128" s="21">
        <f>EXP(-LN(2)/2)*FS127+(1-EXP(-LN(2)/2))/(LN(2)/2)*FM128*FP128*VLOOKUP('Données projet'!$B$16,Paramètres!$A$1:$I$89,3,0)*0.475*44/12</f>
        <v>3.3241743459604848E-14</v>
      </c>
      <c r="FT128" s="22">
        <f t="shared" si="78"/>
        <v>0.23836501757182516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69.214621766357595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3.4106051316484809E-13</v>
      </c>
      <c r="GA128" s="17">
        <f>FZ128*VLOOKUP('Données projet'!$B$17,Paramètres!$A$1:$I$89,3,0)*VLOOKUP('Données projet'!$B$17,Paramètres!$A$1:$I$89,5,0)</f>
        <v>2.6602720026858149E-13</v>
      </c>
      <c r="GB128" s="13">
        <f t="shared" si="103"/>
        <v>3.5662905043956649E-12</v>
      </c>
      <c r="GC128" s="20">
        <f t="shared" si="79"/>
        <v>6.6746200022902298E-12</v>
      </c>
      <c r="GD128" s="59">
        <f t="shared" si="80"/>
        <v>290.45361314331785</v>
      </c>
      <c r="GE128" s="59">
        <f ca="1">AVERAGE(OFFSET($GD$3,0,0,'Données projet'!$E$17+1,1))-AVERAGE(OFFSET($H$3,0,0,'Données projet'!$E$17+1,1))</f>
        <v>300.95722646933314</v>
      </c>
      <c r="GF128" s="59">
        <f t="shared" si="104"/>
        <v>269.52365224623759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>
        <f>EXP(-LN(2)/35)*GL127+(1-EXP(-LN(2)/35))/(LN(2)/35)*GH128*GI128*VLOOKUP('Données projet'!$B$17,Paramètres!$A$1:$I$89,3,0)*0.475*44/12</f>
        <v>0.13559385045884745</v>
      </c>
      <c r="GM128" s="21">
        <f>EXP(-LN(2)/25)*GM127+(1-EXP(-LN(2)/25))/(LN(2)/25)*Calculateur!GH128*Calculateur!GJ128*VLOOKUP('Données projet'!$B$17,Paramètres!$A$1:$I$89,3,0)*0.475*44/12</f>
        <v>0.44793145628429953</v>
      </c>
      <c r="GN128" s="21">
        <f>EXP(-LN(2)/2)*GN127+(1-EXP(-LN(2)/2))/(LN(2)/2)*GH128*GK128*VLOOKUP('Données projet'!$B$17,Paramètres!$A$1:$I$89,3,0)*0.475*44/12</f>
        <v>4.4510054309960521E-14</v>
      </c>
      <c r="GO128" s="21">
        <f t="shared" si="81"/>
        <v>0.58352530674319147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69.214621766357595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1.4000000000000001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5.1333333333333337</v>
      </c>
      <c r="H129" s="67">
        <f t="shared" si="56"/>
        <v>236.13333333333335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69.2282463228686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-3.4106051316484809E-13</v>
      </c>
      <c r="O129" s="13">
        <f>N129*VLOOKUP('Données projet'!$B$9,Paramètres!$A$1:$I$89,3,0)*VLOOKUP('Données projet'!$B$9,Paramètres!$A$1:$I$89,5,0)</f>
        <v>-3.0859155231155454E-13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479.46542424895119</v>
      </c>
      <c r="T129" s="59">
        <f t="shared" si="88"/>
        <v>337.96395820277337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0.35981056485803553</v>
      </c>
      <c r="AA129" s="21">
        <f>EXP(-LN(2)/25)*AA128+(1-EXP(-LN(2)/25))/(LN(2)/25)*Calculateur!V129*Calculateur!X129*VLOOKUP('Données projet'!$B$9,Paramètres!$A$1:$I$89,3,0)*0.475*44/12</f>
        <v>0.78788424250588307</v>
      </c>
      <c r="AB129" s="21">
        <f>EXP(-LN(2)/2)*AB128+(1-EXP(-LN(2)/2))/(LN(2)/2)*V129*Y129*VLOOKUP('Données projet'!$B$9,Paramètres!$A$1:$I$89,3,0)*0.475*44/12</f>
        <v>7.6572834381162674E-14</v>
      </c>
      <c r="AC129" s="22">
        <f t="shared" si="57"/>
        <v>1.1476948073639952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69.2282463228686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-3.4106051316484809E-13</v>
      </c>
      <c r="AJ129" s="13">
        <f>AI129*VLOOKUP('Données projet'!$B$10,Paramètres!$A$1:$I$89,3,0)*VLOOKUP('Données projet'!$B$10,Paramètres!$A$1:$I$89,5,0)</f>
        <v>-3.2987372833304104E-13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508.94560627895089</v>
      </c>
      <c r="AO129" s="59">
        <f t="shared" si="90"/>
        <v>357.86868650263034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0.38462508657238315</v>
      </c>
      <c r="AV129" s="21">
        <f>EXP(-LN(2)/25)*AV128+(1-EXP(-LN(2)/25))/(LN(2)/25)*Calculateur!AQ129*Calculateur!AS129*VLOOKUP('Données projet'!$B$10,Paramètres!$A$1:$I$89,3,0)*0.475*44/12</f>
        <v>0.84222108681663377</v>
      </c>
      <c r="AW129" s="21">
        <f>EXP(-LN(2)/2)*AW128+(1-EXP(-LN(2)/2))/(LN(2)/2)*AQ129*AT129*VLOOKUP('Données projet'!$B$10,Paramètres!$A$1:$I$89,3,0)*0.475*44/12</f>
        <v>8.1853719510897655E-14</v>
      </c>
      <c r="AX129" s="21">
        <f t="shared" si="60"/>
        <v>1.226846173389099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69.2282463228686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1.7053025658242404E-13</v>
      </c>
      <c r="BE129" s="13">
        <f>BD129*VLOOKUP('Données projet'!$B$11,Paramètres!$A$1:$I$89,3,0)*VLOOKUP('Données projet'!$B$11,Paramètres!$A$1:$I$89,5,0)</f>
        <v>1.3301360013429075E-13</v>
      </c>
      <c r="BF129" s="13">
        <f t="shared" si="91"/>
        <v>1.9329766731057041E-12</v>
      </c>
      <c r="BG129" s="20">
        <f t="shared" si="61"/>
        <v>3.5982663925596575E-12</v>
      </c>
      <c r="BH129" s="59">
        <f t="shared" si="62"/>
        <v>290.50356985052179</v>
      </c>
      <c r="BI129" s="59">
        <f ca="1">AVERAGE(OFFSET($BH$3,0,0,'Données projet'!$E$11+1,1))-AVERAGE(OFFSET($H$3,0,0,'Données projet'!$E$11+1,1))</f>
        <v>383.03154033422328</v>
      </c>
      <c r="BJ129" s="59">
        <f t="shared" si="92"/>
        <v>373.27897156169877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0.21601927385257685</v>
      </c>
      <c r="BQ129" s="21">
        <f>EXP(-LN(2)/25)*BQ128+(1-EXP(-LN(2)/25))/(LN(2)/25)*Calculateur!BL129*Calculateur!BN129*VLOOKUP('Données projet'!$B$11,Paramètres!$A$1:$I$89,3,0)*0.475*44/12</f>
        <v>0.5845312887475268</v>
      </c>
      <c r="BR129" s="21">
        <f>EXP(-LN(2)/2)*BR128+(1-EXP(-LN(2)/2))/(LN(2)/2)*BL129*BO129*VLOOKUP('Données projet'!$B$11,Paramètres!$A$1:$I$89,3,0)*0.475*44/12</f>
        <v>4.6438158551260626E-14</v>
      </c>
      <c r="BS129" s="22">
        <f t="shared" si="63"/>
        <v>0.80055056260015012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69.2282463228686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-3.4106051316484809E-13</v>
      </c>
      <c r="BZ129" s="13">
        <f>BY129*VLOOKUP('Données projet'!$B$12,Paramètres!$A$1:$I$89,3,0)*VLOOKUP('Données projet'!$B$12,Paramètres!$A$1:$I$89,5,0)</f>
        <v>-2.8730937629006804E-13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449.94334483948603</v>
      </c>
      <c r="CE129" s="59">
        <f t="shared" si="94"/>
        <v>318.02929110264176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0.33499604314368842</v>
      </c>
      <c r="CL129" s="21">
        <f>EXP(-LN(2)/25)*CL128+(1-EXP(-LN(2)/25))/(LN(2)/25)*Calculateur!CG129*Calculateur!CI129*VLOOKUP('Données projet'!$B$12,Paramètres!$A$1:$I$89,3,0)*0.475*44/12</f>
        <v>0.73354739819513282</v>
      </c>
      <c r="CM129" s="21">
        <f>EXP(-LN(2)/2)*CM128+(1-EXP(-LN(2)/2))/(LN(2)/2)*CG129*CJ129*VLOOKUP('Données projet'!$B$12,Paramètres!$A$1:$I$89,3,0)*0.475*44/12</f>
        <v>7.1291949251427061E-14</v>
      </c>
      <c r="CN129" s="22">
        <f t="shared" si="66"/>
        <v>1.0685434413388926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69.2282463228686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5</v>
      </c>
      <c r="CT129" s="12">
        <f>IF('Données projet'!$A$140&gt;35,CT128+CS129-DB128,IF(A129&lt;'Données projet'!$A$140,$CQ$205^A129,IF(A129='Données projet'!$A$140,'Données projet'!$B$140,CT128+CS129-DB128)))</f>
        <v>441.00000000000023</v>
      </c>
      <c r="CU129" s="17">
        <f>CT129*VLOOKUP('Données projet'!$B$13,Paramètres!$A$1:$I$89,3,0)*VLOOKUP('Données projet'!$B$13,Paramètres!$A$1:$I$89,5,0)</f>
        <v>378.37800000000027</v>
      </c>
      <c r="CV129" s="13">
        <f t="shared" si="95"/>
        <v>87.379060339798997</v>
      </c>
      <c r="CW129" s="20">
        <f t="shared" si="67"/>
        <v>811.19354675848388</v>
      </c>
      <c r="CX129" s="59">
        <f t="shared" si="68"/>
        <v>1101.697116609002</v>
      </c>
      <c r="CY129" s="59">
        <f ca="1">AVERAGE(OFFSET($CX$3,0,0,'Données projet'!$E$13+1,1))-AVERAGE(OFFSET($H$3,0,0,'Données projet'!$E$13+1,1))</f>
        <v>565.32667500225568</v>
      </c>
      <c r="CZ129" s="59">
        <f t="shared" si="96"/>
        <v>275.06957234480944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0</v>
      </c>
      <c r="DG129" s="21">
        <f>EXP(-LN(2)/25)*DG128+(1-EXP(-LN(2)/25))/(LN(2)/25)*Calculateur!DB129*Calculateur!DD129*VLOOKUP('Données projet'!$B$13,Paramètres!$A$1:$I$89,3,0)*0.475*44/12</f>
        <v>0.30594952224985339</v>
      </c>
      <c r="DH129" s="21">
        <f>EXP(-LN(2)/2)*DH128+(1-EXP(-LN(2)/2))/(LN(2)/2)*DB129*DE129*VLOOKUP('Données projet'!$B$13,Paramètres!$A$1:$I$89,3,0)*0.475*44/12</f>
        <v>2.5165747926081234E-14</v>
      </c>
      <c r="DI129" s="22">
        <f t="shared" si="69"/>
        <v>0.30594952224987854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69.2282463228686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-1.2505552149377763E-12</v>
      </c>
      <c r="DP129" s="17">
        <f>DO129*VLOOKUP('Données projet'!$B$14,Paramètres!$A$1:$I$89,3,0)*VLOOKUP('Données projet'!$B$14,Paramètres!$A$1:$I$89,5,0)</f>
        <v>-6.9906036515021697E-13</v>
      </c>
      <c r="DQ129" s="13" t="e">
        <f t="shared" si="97"/>
        <v>#NUM!</v>
      </c>
      <c r="DR129" s="20" t="e">
        <f t="shared" si="70"/>
        <v>#NUM!</v>
      </c>
      <c r="DS129" s="59" t="e">
        <f t="shared" si="71"/>
        <v>#NUM!</v>
      </c>
      <c r="DT129" s="59">
        <f ca="1">AVERAGE(OFFSET($DS$3,0,0,'Données projet'!$E$14+1,1))-AVERAGE(OFFSET($H$3,0,0,'Données projet'!$E$14+1,1))</f>
        <v>532.64469322244281</v>
      </c>
      <c r="DU129" s="59">
        <f t="shared" si="98"/>
        <v>525.88014011096413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1.7059983678613793</v>
      </c>
      <c r="EB129" s="21">
        <f>EXP(-LN(2)/25)*EB128+(1-EXP(-LN(2)/25))/(LN(2)/25)*Calculateur!DW129*Calculateur!DY129*VLOOKUP('Données projet'!$B$14,Paramètres!$A$1:$I$89,3,0)*0.475*44/12</f>
        <v>2.7065868993546425</v>
      </c>
      <c r="EC129" s="21">
        <f>EXP(-LN(2)/2)*EC128+(1-EXP(-LN(2)/2))/(LN(2)/2)*DW129*DZ129*VLOOKUP('Données projet'!$B$14,Paramètres!$A$1:$I$89,3,0)*0.475*44/12</f>
        <v>1.2957418730875537E-13</v>
      </c>
      <c r="ED129" s="22">
        <f t="shared" si="72"/>
        <v>4.4125852672161514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69.2282463228686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-1.1368683772161603E-13</v>
      </c>
      <c r="EK129" s="17">
        <f>EJ129*VLOOKUP('Données projet'!$B$15,Paramètres!$A$1:$I$89,3,0)*VLOOKUP('Données projet'!$B$15,Paramètres!$A$1:$I$89,5,0)</f>
        <v>-1.0286385077051818E-13</v>
      </c>
      <c r="EL129" s="13" t="e">
        <f t="shared" si="99"/>
        <v>#NUM!</v>
      </c>
      <c r="EM129" s="20" t="e">
        <f t="shared" si="73"/>
        <v>#NUM!</v>
      </c>
      <c r="EN129" s="59" t="e">
        <f t="shared" si="74"/>
        <v>#NUM!</v>
      </c>
      <c r="EO129" s="59">
        <f ca="1">AVERAGE(OFFSET($EN$3,0,0,'Données projet'!$E$15+1,1))-AVERAGE(OFFSET($H$3,0,0,'Données projet'!$E$15+1,1))</f>
        <v>398.27843768730202</v>
      </c>
      <c r="EP129" s="59">
        <f t="shared" si="100"/>
        <v>252.3617347568813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0</v>
      </c>
      <c r="EW129" s="21">
        <f>EXP(-LN(2)/25)*EW128+(1-EXP(-LN(2)/25))/(LN(2)/25)*Calculateur!ER129*Calculateur!ET129*VLOOKUP('Données projet'!$B$15,Paramètres!$A$1:$I$89,3,0)*0.475*44/12</f>
        <v>0.21688904823565736</v>
      </c>
      <c r="EX129" s="21">
        <f>EXP(-LN(2)/2)*EX128+(1-EXP(-LN(2)/2))/(LN(2)/2)*ER129*EU129*VLOOKUP('Données projet'!$B$15,Paramètres!$A$1:$I$89,3,0)*0.475*44/12</f>
        <v>2.1988980785282405E-14</v>
      </c>
      <c r="EY129" s="22">
        <f t="shared" si="75"/>
        <v>0.21688904823567934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69.2282463228686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-1.1368683772161603E-13</v>
      </c>
      <c r="FF129" s="17">
        <f>FE129*VLOOKUP('Données projet'!$B$16,Paramètres!$A$1:$I$89,3,0)*VLOOKUP('Données projet'!$B$16,Paramètres!$A$1:$I$89,5,0)</f>
        <v>-1.0995790944434703E-13</v>
      </c>
      <c r="FG129" s="13" t="e">
        <f t="shared" si="101"/>
        <v>#NUM!</v>
      </c>
      <c r="FH129" s="20" t="e">
        <f t="shared" si="76"/>
        <v>#NUM!</v>
      </c>
      <c r="FI129" s="59" t="e">
        <f t="shared" si="77"/>
        <v>#NUM!</v>
      </c>
      <c r="FJ129" s="59">
        <f ca="1">AVERAGE(OFFSET($FI$3,0,0,'Données projet'!$E$16+1,1))-AVERAGE(OFFSET($H$3,0,0,'Données projet'!$E$16+1,1))</f>
        <v>422.28024471365825</v>
      </c>
      <c r="FK129" s="59">
        <f t="shared" si="102"/>
        <v>266.49730479813206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0</v>
      </c>
      <c r="FR129" s="21">
        <f>EXP(-LN(2)/25)*FR128+(1-EXP(-LN(2)/25))/(LN(2)/25)*Calculateur!FM129*Calculateur!FO129*VLOOKUP('Données projet'!$B$16,Paramètres!$A$1:$I$89,3,0)*0.475*44/12</f>
        <v>0.23184691363121976</v>
      </c>
      <c r="FS129" s="21">
        <f>EXP(-LN(2)/2)*FS128+(1-EXP(-LN(2)/2))/(LN(2)/2)*FM129*FP129*VLOOKUP('Données projet'!$B$16,Paramètres!$A$1:$I$89,3,0)*0.475*44/12</f>
        <v>2.3505462218750153E-14</v>
      </c>
      <c r="FT129" s="22">
        <f t="shared" si="78"/>
        <v>0.23184691363124327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69.2282463228686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3.4106051316484809E-13</v>
      </c>
      <c r="GA129" s="17">
        <f>FZ129*VLOOKUP('Données projet'!$B$17,Paramètres!$A$1:$I$89,3,0)*VLOOKUP('Données projet'!$B$17,Paramètres!$A$1:$I$89,5,0)</f>
        <v>2.6602720026858149E-13</v>
      </c>
      <c r="GB129" s="13">
        <f t="shared" si="103"/>
        <v>3.5662905043956649E-12</v>
      </c>
      <c r="GC129" s="20">
        <f t="shared" si="79"/>
        <v>6.6746200022902298E-12</v>
      </c>
      <c r="GD129" s="59">
        <f t="shared" si="80"/>
        <v>290.50356985052485</v>
      </c>
      <c r="GE129" s="59">
        <f ca="1">AVERAGE(OFFSET($GD$3,0,0,'Données projet'!$E$17+1,1))-AVERAGE(OFFSET($H$3,0,0,'Données projet'!$E$17+1,1))</f>
        <v>300.95722646933314</v>
      </c>
      <c r="GF129" s="59">
        <f t="shared" si="104"/>
        <v>269.52365224623759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>
        <f>EXP(-LN(2)/35)*GL128+(1-EXP(-LN(2)/35))/(LN(2)/35)*GH129*GI129*VLOOKUP('Données projet'!$B$17,Paramètres!$A$1:$I$89,3,0)*0.475*44/12</f>
        <v>0.13293493775543189</v>
      </c>
      <c r="GM129" s="21">
        <f>EXP(-LN(2)/25)*GM128+(1-EXP(-LN(2)/25))/(LN(2)/25)*Calculateur!GH129*Calculateur!GJ129*VLOOKUP('Données projet'!$B$17,Paramètres!$A$1:$I$89,3,0)*0.475*44/12</f>
        <v>0.43568274705651383</v>
      </c>
      <c r="GN129" s="21">
        <f>EXP(-LN(2)/2)*GN128+(1-EXP(-LN(2)/2))/(LN(2)/2)*GH129*GK129*VLOOKUP('Données projet'!$B$17,Paramètres!$A$1:$I$89,3,0)*0.475*44/12</f>
        <v>3.1473361233554601E-14</v>
      </c>
      <c r="GO129" s="21">
        <f t="shared" si="81"/>
        <v>0.56861768481197716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69.2282463228686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1.4000000000000001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5.1333333333333337</v>
      </c>
      <c r="H130" s="67">
        <f t="shared" si="56"/>
        <v>236.13333333333335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69.241634523784086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-3.4106051316484809E-13</v>
      </c>
      <c r="O130" s="13">
        <f>N130*VLOOKUP('Données projet'!$B$9,Paramètres!$A$1:$I$89,3,0)*VLOOKUP('Données projet'!$B$9,Paramètres!$A$1:$I$89,5,0)</f>
        <v>-3.0859155231155454E-13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479.46542424895119</v>
      </c>
      <c r="T130" s="59">
        <f t="shared" si="88"/>
        <v>337.96395820277337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0.35275489914394387</v>
      </c>
      <c r="AA130" s="21">
        <f>EXP(-LN(2)/25)*AA129+(1-EXP(-LN(2)/25))/(LN(2)/25)*Calculateur!V130*Calculateur!X130*VLOOKUP('Données projet'!$B$9,Paramètres!$A$1:$I$89,3,0)*0.475*44/12</f>
        <v>0.76633950646152815</v>
      </c>
      <c r="AB130" s="21">
        <f>EXP(-LN(2)/2)*AB129+(1-EXP(-LN(2)/2))/(LN(2)/2)*V130*Y130*VLOOKUP('Données projet'!$B$9,Paramètres!$A$1:$I$89,3,0)*0.475*44/12</f>
        <v>5.4145170445594539E-14</v>
      </c>
      <c r="AC130" s="22">
        <f t="shared" si="57"/>
        <v>1.1190944056055261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69.241634523784086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-3.4106051316484809E-13</v>
      </c>
      <c r="AJ130" s="13">
        <f>AI130*VLOOKUP('Données projet'!$B$10,Paramètres!$A$1:$I$89,3,0)*VLOOKUP('Données projet'!$B$10,Paramètres!$A$1:$I$89,5,0)</f>
        <v>-3.2987372833304104E-13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508.94560627895089</v>
      </c>
      <c r="AO130" s="59">
        <f t="shared" si="90"/>
        <v>357.86868650263034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0.37708282322283687</v>
      </c>
      <c r="AV130" s="21">
        <f>EXP(-LN(2)/25)*AV129+(1-EXP(-LN(2)/25))/(LN(2)/25)*Calculateur!AQ130*Calculateur!AS130*VLOOKUP('Données projet'!$B$10,Paramètres!$A$1:$I$89,3,0)*0.475*44/12</f>
        <v>0.81919050690715089</v>
      </c>
      <c r="AW130" s="21">
        <f>EXP(-LN(2)/2)*AW129+(1-EXP(-LN(2)/2))/(LN(2)/2)*AQ130*AT130*VLOOKUP('Données projet'!$B$10,Paramètres!$A$1:$I$89,3,0)*0.475*44/12</f>
        <v>5.7879320131497343E-14</v>
      </c>
      <c r="AX130" s="21">
        <f t="shared" si="60"/>
        <v>1.1962733301300457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69.241634523784086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1.7053025658242404E-13</v>
      </c>
      <c r="BE130" s="13">
        <f>BD130*VLOOKUP('Données projet'!$B$11,Paramètres!$A$1:$I$89,3,0)*VLOOKUP('Données projet'!$B$11,Paramètres!$A$1:$I$89,5,0)</f>
        <v>1.3301360013429075E-13</v>
      </c>
      <c r="BF130" s="13">
        <f t="shared" si="91"/>
        <v>1.9329766731057041E-12</v>
      </c>
      <c r="BG130" s="20">
        <f t="shared" si="61"/>
        <v>3.5982663925596575E-12</v>
      </c>
      <c r="BH130" s="59">
        <f t="shared" si="62"/>
        <v>290.55265992054524</v>
      </c>
      <c r="BI130" s="59">
        <f ca="1">AVERAGE(OFFSET($BH$3,0,0,'Données projet'!$E$11+1,1))-AVERAGE(OFFSET($H$3,0,0,'Données projet'!$E$11+1,1))</f>
        <v>383.03154033422328</v>
      </c>
      <c r="BJ130" s="59">
        <f t="shared" si="92"/>
        <v>373.27897156169877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0.21178326765107477</v>
      </c>
      <c r="BQ130" s="21">
        <f>EXP(-LN(2)/25)*BQ129+(1-EXP(-LN(2)/25))/(LN(2)/25)*Calculateur!BL130*Calculateur!BN130*VLOOKUP('Données projet'!$B$11,Paramètres!$A$1:$I$89,3,0)*0.475*44/12</f>
        <v>0.56854724991756111</v>
      </c>
      <c r="BR130" s="21">
        <f>EXP(-LN(2)/2)*BR129+(1-EXP(-LN(2)/2))/(LN(2)/2)*BL130*BO130*VLOOKUP('Données projet'!$B$11,Paramètres!$A$1:$I$89,3,0)*0.475*44/12</f>
        <v>3.2836736817412447E-14</v>
      </c>
      <c r="BS130" s="22">
        <f t="shared" si="63"/>
        <v>0.78033051756866878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69.241634523784086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-3.4106051316484809E-13</v>
      </c>
      <c r="BZ130" s="13">
        <f>BY130*VLOOKUP('Données projet'!$B$12,Paramètres!$A$1:$I$89,3,0)*VLOOKUP('Données projet'!$B$12,Paramètres!$A$1:$I$89,5,0)</f>
        <v>-2.8730937629006804E-13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449.94334483948603</v>
      </c>
      <c r="CE130" s="59">
        <f t="shared" si="94"/>
        <v>318.02929110264176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0.32842697506505136</v>
      </c>
      <c r="CL130" s="21">
        <f>EXP(-LN(2)/25)*CL129+(1-EXP(-LN(2)/25))/(LN(2)/25)*Calculateur!CG130*Calculateur!CI130*VLOOKUP('Données projet'!$B$12,Paramètres!$A$1:$I$89,3,0)*0.475*44/12</f>
        <v>0.71348850601590574</v>
      </c>
      <c r="CM130" s="21">
        <f>EXP(-LN(2)/2)*CM129+(1-EXP(-LN(2)/2))/(LN(2)/2)*CG130*CJ130*VLOOKUP('Données projet'!$B$12,Paramètres!$A$1:$I$89,3,0)*0.475*44/12</f>
        <v>5.0411020759691286E-14</v>
      </c>
      <c r="CN130" s="22">
        <f t="shared" si="66"/>
        <v>1.0419154810810076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69.241634523784086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5</v>
      </c>
      <c r="CT130" s="12">
        <f>IF('Données projet'!$A$140&gt;35,CT129+CS130-DB129,IF(A130&lt;'Données projet'!$A$140,$CQ$205^A130,IF(A130='Données projet'!$A$140,'Données projet'!$B$140,CT129+CS130-DB129)))</f>
        <v>446.00000000000023</v>
      </c>
      <c r="CU130" s="17">
        <f>CT130*VLOOKUP('Données projet'!$B$13,Paramètres!$A$1:$I$89,3,0)*VLOOKUP('Données projet'!$B$13,Paramètres!$A$1:$I$89,5,0)</f>
        <v>382.66800000000023</v>
      </c>
      <c r="CV130" s="13">
        <f t="shared" si="95"/>
        <v>88.253860844610443</v>
      </c>
      <c r="CW130" s="20">
        <f t="shared" si="67"/>
        <v>820.18890763769696</v>
      </c>
      <c r="CX130" s="59">
        <f t="shared" si="68"/>
        <v>1110.7415675582386</v>
      </c>
      <c r="CY130" s="59">
        <f ca="1">AVERAGE(OFFSET($CX$3,0,0,'Données projet'!$E$13+1,1))-AVERAGE(OFFSET($H$3,0,0,'Données projet'!$E$13+1,1))</f>
        <v>565.32667500225568</v>
      </c>
      <c r="CZ130" s="59">
        <f t="shared" si="96"/>
        <v>275.06957234480944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0</v>
      </c>
      <c r="DG130" s="21">
        <f>EXP(-LN(2)/25)*DG129+(1-EXP(-LN(2)/25))/(LN(2)/25)*Calculateur!DB130*Calculateur!DD130*VLOOKUP('Données projet'!$B$13,Paramètres!$A$1:$I$89,3,0)*0.475*44/12</f>
        <v>0.29758331647474501</v>
      </c>
      <c r="DH130" s="21">
        <f>EXP(-LN(2)/2)*DH129+(1-EXP(-LN(2)/2))/(LN(2)/2)*DB130*DE130*VLOOKUP('Données projet'!$B$13,Paramètres!$A$1:$I$89,3,0)*0.475*44/12</f>
        <v>1.7794871012163335E-14</v>
      </c>
      <c r="DI130" s="22">
        <f t="shared" si="69"/>
        <v>0.29758331647476283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69.241634523784086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-1.2505552149377763E-12</v>
      </c>
      <c r="DP130" s="17">
        <f>DO130*VLOOKUP('Données projet'!$B$14,Paramètres!$A$1:$I$89,3,0)*VLOOKUP('Données projet'!$B$14,Paramètres!$A$1:$I$89,5,0)</f>
        <v>-6.9906036515021697E-13</v>
      </c>
      <c r="DQ130" s="13" t="e">
        <f t="shared" si="97"/>
        <v>#NUM!</v>
      </c>
      <c r="DR130" s="20" t="e">
        <f t="shared" si="70"/>
        <v>#NUM!</v>
      </c>
      <c r="DS130" s="59" t="e">
        <f t="shared" si="71"/>
        <v>#NUM!</v>
      </c>
      <c r="DT130" s="59">
        <f ca="1">AVERAGE(OFFSET($DS$3,0,0,'Données projet'!$E$14+1,1))-AVERAGE(OFFSET($H$3,0,0,'Données projet'!$E$14+1,1))</f>
        <v>532.64469322244281</v>
      </c>
      <c r="DU130" s="59">
        <f t="shared" si="98"/>
        <v>525.88014011096413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1.6725447804238756</v>
      </c>
      <c r="EB130" s="21">
        <f>EXP(-LN(2)/25)*EB129+(1-EXP(-LN(2)/25))/(LN(2)/25)*Calculateur!DW130*Calculateur!DY130*VLOOKUP('Données projet'!$B$14,Paramètres!$A$1:$I$89,3,0)*0.475*44/12</f>
        <v>2.6325751382585709</v>
      </c>
      <c r="EC130" s="21">
        <f>EXP(-LN(2)/2)*EC129+(1-EXP(-LN(2)/2))/(LN(2)/2)*DW130*DZ130*VLOOKUP('Données projet'!$B$14,Paramètres!$A$1:$I$89,3,0)*0.475*44/12</f>
        <v>9.1622786512756807E-14</v>
      </c>
      <c r="ED130" s="22">
        <f t="shared" si="72"/>
        <v>4.3051199186825384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69.241634523784086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-1.1368683772161603E-13</v>
      </c>
      <c r="EK130" s="17">
        <f>EJ130*VLOOKUP('Données projet'!$B$15,Paramètres!$A$1:$I$89,3,0)*VLOOKUP('Données projet'!$B$15,Paramètres!$A$1:$I$89,5,0)</f>
        <v>-1.0286385077051818E-13</v>
      </c>
      <c r="EL130" s="13" t="e">
        <f t="shared" si="99"/>
        <v>#NUM!</v>
      </c>
      <c r="EM130" s="20" t="e">
        <f t="shared" si="73"/>
        <v>#NUM!</v>
      </c>
      <c r="EN130" s="59" t="e">
        <f t="shared" si="74"/>
        <v>#NUM!</v>
      </c>
      <c r="EO130" s="59">
        <f ca="1">AVERAGE(OFFSET($EN$3,0,0,'Données projet'!$E$15+1,1))-AVERAGE(OFFSET($H$3,0,0,'Données projet'!$E$15+1,1))</f>
        <v>398.27843768730202</v>
      </c>
      <c r="EP130" s="59">
        <f t="shared" si="100"/>
        <v>252.3617347568813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0</v>
      </c>
      <c r="EW130" s="21">
        <f>EXP(-LN(2)/25)*EW129+(1-EXP(-LN(2)/25))/(LN(2)/25)*Calculateur!ER130*Calculateur!ET130*VLOOKUP('Données projet'!$B$15,Paramètres!$A$1:$I$89,3,0)*0.475*44/12</f>
        <v>0.21095820580595395</v>
      </c>
      <c r="EX130" s="21">
        <f>EXP(-LN(2)/2)*EX129+(1-EXP(-LN(2)/2))/(LN(2)/2)*ER130*EU130*VLOOKUP('Données projet'!$B$15,Paramètres!$A$1:$I$89,3,0)*0.475*44/12</f>
        <v>1.5548557424653883E-14</v>
      </c>
      <c r="EY130" s="22">
        <f t="shared" si="75"/>
        <v>0.2109582058059695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69.241634523784086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-1.1368683772161603E-13</v>
      </c>
      <c r="FF130" s="17">
        <f>FE130*VLOOKUP('Données projet'!$B$16,Paramètres!$A$1:$I$89,3,0)*VLOOKUP('Données projet'!$B$16,Paramètres!$A$1:$I$89,5,0)</f>
        <v>-1.0995790944434703E-13</v>
      </c>
      <c r="FG130" s="13" t="e">
        <f t="shared" si="101"/>
        <v>#NUM!</v>
      </c>
      <c r="FH130" s="20" t="e">
        <f t="shared" si="76"/>
        <v>#NUM!</v>
      </c>
      <c r="FI130" s="59" t="e">
        <f t="shared" si="77"/>
        <v>#NUM!</v>
      </c>
      <c r="FJ130" s="59">
        <f ca="1">AVERAGE(OFFSET($FI$3,0,0,'Données projet'!$E$16+1,1))-AVERAGE(OFFSET($H$3,0,0,'Données projet'!$E$16+1,1))</f>
        <v>422.28024471365825</v>
      </c>
      <c r="FK130" s="59">
        <f t="shared" si="102"/>
        <v>266.49730479813206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0</v>
      </c>
      <c r="FR130" s="21">
        <f>EXP(-LN(2)/25)*FR129+(1-EXP(-LN(2)/25))/(LN(2)/25)*Calculateur!FM130*Calculateur!FO130*VLOOKUP('Données projet'!$B$16,Paramètres!$A$1:$I$89,3,0)*0.475*44/12</f>
        <v>0.22550704758567475</v>
      </c>
      <c r="FS130" s="21">
        <f>EXP(-LN(2)/2)*FS129+(1-EXP(-LN(2)/2))/(LN(2)/2)*FM130*FP130*VLOOKUP('Données projet'!$B$16,Paramètres!$A$1:$I$89,3,0)*0.475*44/12</f>
        <v>1.6620871729802424E-14</v>
      </c>
      <c r="FT130" s="22">
        <f t="shared" si="78"/>
        <v>0.22550704758569137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69.241634523784086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3.4106051316484809E-13</v>
      </c>
      <c r="GA130" s="17">
        <f>FZ130*VLOOKUP('Données projet'!$B$17,Paramètres!$A$1:$I$89,3,0)*VLOOKUP('Données projet'!$B$17,Paramètres!$A$1:$I$89,5,0)</f>
        <v>2.6602720026858149E-13</v>
      </c>
      <c r="GB130" s="13">
        <f t="shared" si="103"/>
        <v>3.5662905043956649E-12</v>
      </c>
      <c r="GC130" s="20">
        <f t="shared" si="79"/>
        <v>6.6746200022902298E-12</v>
      </c>
      <c r="GD130" s="59">
        <f t="shared" si="80"/>
        <v>290.55265992054831</v>
      </c>
      <c r="GE130" s="59">
        <f ca="1">AVERAGE(OFFSET($GD$3,0,0,'Données projet'!$E$17+1,1))-AVERAGE(OFFSET($H$3,0,0,'Données projet'!$E$17+1,1))</f>
        <v>300.95722646933314</v>
      </c>
      <c r="GF130" s="59">
        <f t="shared" si="104"/>
        <v>269.52365224623759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>
        <f>EXP(-LN(2)/35)*GL129+(1-EXP(-LN(2)/35))/(LN(2)/35)*GH130*GI130*VLOOKUP('Données projet'!$B$17,Paramètres!$A$1:$I$89,3,0)*0.475*44/12</f>
        <v>0.13032816470835368</v>
      </c>
      <c r="GM130" s="21">
        <f>EXP(-LN(2)/25)*GM129+(1-EXP(-LN(2)/25))/(LN(2)/25)*Calculateur!GH130*Calculateur!GJ130*VLOOKUP('Données projet'!$B$17,Paramètres!$A$1:$I$89,3,0)*0.475*44/12</f>
        <v>0.42376897942669356</v>
      </c>
      <c r="GN130" s="21">
        <f>EXP(-LN(2)/2)*GN129+(1-EXP(-LN(2)/2))/(LN(2)/2)*GH130*GK130*VLOOKUP('Données projet'!$B$17,Paramètres!$A$1:$I$89,3,0)*0.475*44/12</f>
        <v>2.2255027154980261E-14</v>
      </c>
      <c r="GO130" s="21">
        <f t="shared" si="81"/>
        <v>0.5540971441350695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69.241634523784086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1.4000000000000001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5.1333333333333337</v>
      </c>
      <c r="H131" s="67">
        <f t="shared" si="56"/>
        <v>236.13333333333335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69.254790469345238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-3.4106051316484809E-13</v>
      </c>
      <c r="O131" s="13">
        <f>N131*VLOOKUP('Données projet'!$B$9,Paramètres!$A$1:$I$89,3,0)*VLOOKUP('Données projet'!$B$9,Paramètres!$A$1:$I$89,5,0)</f>
        <v>-3.0859155231155454E-13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479.46542424895119</v>
      </c>
      <c r="T131" s="59">
        <f t="shared" si="88"/>
        <v>337.96395820277337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0.34583759073097442</v>
      </c>
      <c r="AA131" s="21">
        <f>EXP(-LN(2)/25)*AA130+(1-EXP(-LN(2)/25))/(LN(2)/25)*Calculateur!V131*Calculateur!X131*VLOOKUP('Données projet'!$B$9,Paramètres!$A$1:$I$89,3,0)*0.475*44/12</f>
        <v>0.74538391235729451</v>
      </c>
      <c r="AB131" s="21">
        <f>EXP(-LN(2)/2)*AB130+(1-EXP(-LN(2)/2))/(LN(2)/2)*V131*Y131*VLOOKUP('Données projet'!$B$9,Paramètres!$A$1:$I$89,3,0)*0.475*44/12</f>
        <v>3.8286417190581337E-14</v>
      </c>
      <c r="AC131" s="22">
        <f t="shared" si="57"/>
        <v>1.091221503088307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69.254790469345238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-3.4106051316484809E-13</v>
      </c>
      <c r="AJ131" s="13">
        <f>AI131*VLOOKUP('Données projet'!$B$10,Paramètres!$A$1:$I$89,3,0)*VLOOKUP('Données projet'!$B$10,Paramètres!$A$1:$I$89,5,0)</f>
        <v>-3.2987372833304104E-13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508.94560627895089</v>
      </c>
      <c r="AO131" s="59">
        <f t="shared" si="90"/>
        <v>357.86868650263034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0.36968845905724879</v>
      </c>
      <c r="AV131" s="21">
        <f>EXP(-LN(2)/25)*AV130+(1-EXP(-LN(2)/25))/(LN(2)/25)*Calculateur!AQ131*Calculateur!AS131*VLOOKUP('Données projet'!$B$10,Paramètres!$A$1:$I$89,3,0)*0.475*44/12</f>
        <v>0.79678969941641842</v>
      </c>
      <c r="AW131" s="21">
        <f>EXP(-LN(2)/2)*AW130+(1-EXP(-LN(2)/2))/(LN(2)/2)*AQ131*AT131*VLOOKUP('Données projet'!$B$10,Paramètres!$A$1:$I$89,3,0)*0.475*44/12</f>
        <v>4.0926859755448827E-14</v>
      </c>
      <c r="AX131" s="21">
        <f t="shared" si="60"/>
        <v>1.1664781584737081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69.254790469345238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1.7053025658242404E-13</v>
      </c>
      <c r="BE131" s="13">
        <f>BD131*VLOOKUP('Données projet'!$B$11,Paramètres!$A$1:$I$89,3,0)*VLOOKUP('Données projet'!$B$11,Paramètres!$A$1:$I$89,5,0)</f>
        <v>1.3301360013429075E-13</v>
      </c>
      <c r="BF131" s="13">
        <f t="shared" si="91"/>
        <v>1.9329766731057041E-12</v>
      </c>
      <c r="BG131" s="20">
        <f t="shared" si="61"/>
        <v>3.5982663925596575E-12</v>
      </c>
      <c r="BH131" s="59">
        <f t="shared" si="62"/>
        <v>290.6008983876028</v>
      </c>
      <c r="BI131" s="59">
        <f ca="1">AVERAGE(OFFSET($BH$3,0,0,'Données projet'!$E$11+1,1))-AVERAGE(OFFSET($H$3,0,0,'Données projet'!$E$11+1,1))</f>
        <v>383.03154033422328</v>
      </c>
      <c r="BJ131" s="59">
        <f t="shared" si="92"/>
        <v>373.27897156169877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0.20763032694747549</v>
      </c>
      <c r="BQ131" s="21">
        <f>EXP(-LN(2)/25)*BQ130+(1-EXP(-LN(2)/25))/(LN(2)/25)*Calculateur!BL131*Calculateur!BN131*VLOOKUP('Données projet'!$B$11,Paramètres!$A$1:$I$89,3,0)*0.475*44/12</f>
        <v>0.55300029546996499</v>
      </c>
      <c r="BR131" s="21">
        <f>EXP(-LN(2)/2)*BR130+(1-EXP(-LN(2)/2))/(LN(2)/2)*BL131*BO131*VLOOKUP('Données projet'!$B$11,Paramètres!$A$1:$I$89,3,0)*0.475*44/12</f>
        <v>2.3219079275630313E-14</v>
      </c>
      <c r="BS131" s="22">
        <f t="shared" si="63"/>
        <v>0.76063062241746371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69.254790469345238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-3.4106051316484809E-13</v>
      </c>
      <c r="BZ131" s="13">
        <f>BY131*VLOOKUP('Données projet'!$B$12,Paramètres!$A$1:$I$89,3,0)*VLOOKUP('Données projet'!$B$12,Paramètres!$A$1:$I$89,5,0)</f>
        <v>-2.8730937629006804E-13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449.94334483948603</v>
      </c>
      <c r="CE131" s="59">
        <f t="shared" si="94"/>
        <v>318.02929110264176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0.3219867224047005</v>
      </c>
      <c r="CL131" s="21">
        <f>EXP(-LN(2)/25)*CL130+(1-EXP(-LN(2)/25))/(LN(2)/25)*Calculateur!CG131*Calculateur!CI131*VLOOKUP('Données projet'!$B$12,Paramètres!$A$1:$I$89,3,0)*0.475*44/12</f>
        <v>0.69397812529817093</v>
      </c>
      <c r="CM131" s="21">
        <f>EXP(-LN(2)/2)*CM130+(1-EXP(-LN(2)/2))/(LN(2)/2)*CG131*CJ131*VLOOKUP('Données projet'!$B$12,Paramètres!$A$1:$I$89,3,0)*0.475*44/12</f>
        <v>3.5645974625713531E-14</v>
      </c>
      <c r="CN131" s="22">
        <f t="shared" si="66"/>
        <v>1.0159648477029071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69.254790469345238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5</v>
      </c>
      <c r="CT131" s="12">
        <f>IF('Données projet'!$A$140&gt;35,CT130+CS131-DB130,IF(A131&lt;'Données projet'!$A$140,$CQ$205^A131,IF(A131='Données projet'!$A$140,'Données projet'!$B$140,CT130+CS131-DB130)))</f>
        <v>451.00000000000023</v>
      </c>
      <c r="CU131" s="17">
        <f>CT131*VLOOKUP('Données projet'!$B$13,Paramètres!$A$1:$I$89,3,0)*VLOOKUP('Données projet'!$B$13,Paramètres!$A$1:$I$89,5,0)</f>
        <v>386.95800000000025</v>
      </c>
      <c r="CV131" s="13">
        <f t="shared" si="95"/>
        <v>89.127520512837165</v>
      </c>
      <c r="CW131" s="20">
        <f t="shared" si="67"/>
        <v>829.18228155985844</v>
      </c>
      <c r="CX131" s="59">
        <f t="shared" si="68"/>
        <v>1119.7831799474577</v>
      </c>
      <c r="CY131" s="59">
        <f ca="1">AVERAGE(OFFSET($CX$3,0,0,'Données projet'!$E$13+1,1))-AVERAGE(OFFSET($H$3,0,0,'Données projet'!$E$13+1,1))</f>
        <v>565.32667500225568</v>
      </c>
      <c r="CZ131" s="59">
        <f t="shared" si="96"/>
        <v>275.06957234480944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0</v>
      </c>
      <c r="DG131" s="21">
        <f>EXP(-LN(2)/25)*DG130+(1-EXP(-LN(2)/25))/(LN(2)/25)*Calculateur!DB131*Calculateur!DD131*VLOOKUP('Données projet'!$B$13,Paramètres!$A$1:$I$89,3,0)*0.475*44/12</f>
        <v>0.28944588503651664</v>
      </c>
      <c r="DH131" s="21">
        <f>EXP(-LN(2)/2)*DH130+(1-EXP(-LN(2)/2))/(LN(2)/2)*DB131*DE131*VLOOKUP('Données projet'!$B$13,Paramètres!$A$1:$I$89,3,0)*0.475*44/12</f>
        <v>1.2582873963040617E-14</v>
      </c>
      <c r="DI131" s="22">
        <f t="shared" si="69"/>
        <v>0.28944588503652924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69.254790469345238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-1.2505552149377763E-12</v>
      </c>
      <c r="DP131" s="17">
        <f>DO131*VLOOKUP('Données projet'!$B$14,Paramètres!$A$1:$I$89,3,0)*VLOOKUP('Données projet'!$B$14,Paramètres!$A$1:$I$89,5,0)</f>
        <v>-6.9906036515021697E-13</v>
      </c>
      <c r="DQ131" s="13" t="e">
        <f t="shared" si="97"/>
        <v>#NUM!</v>
      </c>
      <c r="DR131" s="20" t="e">
        <f t="shared" si="70"/>
        <v>#NUM!</v>
      </c>
      <c r="DS131" s="59" t="e">
        <f t="shared" si="71"/>
        <v>#NUM!</v>
      </c>
      <c r="DT131" s="59">
        <f ca="1">AVERAGE(OFFSET($DS$3,0,0,'Données projet'!$E$14+1,1))-AVERAGE(OFFSET($H$3,0,0,'Données projet'!$E$14+1,1))</f>
        <v>532.64469322244281</v>
      </c>
      <c r="DU131" s="59">
        <f t="shared" si="98"/>
        <v>525.88014011096413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1.6397471974313478</v>
      </c>
      <c r="EB131" s="21">
        <f>EXP(-LN(2)/25)*EB130+(1-EXP(-LN(2)/25))/(LN(2)/25)*Calculateur!DW131*Calculateur!DY131*VLOOKUP('Données projet'!$B$14,Paramètres!$A$1:$I$89,3,0)*0.475*44/12</f>
        <v>2.5605872326617805</v>
      </c>
      <c r="EC131" s="21">
        <f>EXP(-LN(2)/2)*EC130+(1-EXP(-LN(2)/2))/(LN(2)/2)*DW131*DZ131*VLOOKUP('Données projet'!$B$14,Paramètres!$A$1:$I$89,3,0)*0.475*44/12</f>
        <v>6.4787093654377685E-14</v>
      </c>
      <c r="ED131" s="22">
        <f t="shared" si="72"/>
        <v>4.2003344300931929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69.254790469345238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-1.1368683772161603E-13</v>
      </c>
      <c r="EK131" s="17">
        <f>EJ131*VLOOKUP('Données projet'!$B$15,Paramètres!$A$1:$I$89,3,0)*VLOOKUP('Données projet'!$B$15,Paramètres!$A$1:$I$89,5,0)</f>
        <v>-1.0286385077051818E-13</v>
      </c>
      <c r="EL131" s="13" t="e">
        <f t="shared" si="99"/>
        <v>#NUM!</v>
      </c>
      <c r="EM131" s="20" t="e">
        <f t="shared" si="73"/>
        <v>#NUM!</v>
      </c>
      <c r="EN131" s="59" t="e">
        <f t="shared" si="74"/>
        <v>#NUM!</v>
      </c>
      <c r="EO131" s="59">
        <f ca="1">AVERAGE(OFFSET($EN$3,0,0,'Données projet'!$E$15+1,1))-AVERAGE(OFFSET($H$3,0,0,'Données projet'!$E$15+1,1))</f>
        <v>398.27843768730202</v>
      </c>
      <c r="EP131" s="59">
        <f t="shared" si="100"/>
        <v>252.3617347568813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0</v>
      </c>
      <c r="EW131" s="21">
        <f>EXP(-LN(2)/25)*EW130+(1-EXP(-LN(2)/25))/(LN(2)/25)*Calculateur!ER131*Calculateur!ET131*VLOOKUP('Données projet'!$B$15,Paramètres!$A$1:$I$89,3,0)*0.475*44/12</f>
        <v>0.20518954257438024</v>
      </c>
      <c r="EX131" s="21">
        <f>EXP(-LN(2)/2)*EX130+(1-EXP(-LN(2)/2))/(LN(2)/2)*ER131*EU131*VLOOKUP('Données projet'!$B$15,Paramètres!$A$1:$I$89,3,0)*0.475*44/12</f>
        <v>1.0994490392641203E-14</v>
      </c>
      <c r="EY131" s="22">
        <f t="shared" si="75"/>
        <v>0.20518954257439123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69.254790469345238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-1.1368683772161603E-13</v>
      </c>
      <c r="FF131" s="17">
        <f>FE131*VLOOKUP('Données projet'!$B$16,Paramètres!$A$1:$I$89,3,0)*VLOOKUP('Données projet'!$B$16,Paramètres!$A$1:$I$89,5,0)</f>
        <v>-1.0995790944434703E-13</v>
      </c>
      <c r="FG131" s="13" t="e">
        <f t="shared" si="101"/>
        <v>#NUM!</v>
      </c>
      <c r="FH131" s="20" t="e">
        <f t="shared" si="76"/>
        <v>#NUM!</v>
      </c>
      <c r="FI131" s="59" t="e">
        <f t="shared" si="77"/>
        <v>#NUM!</v>
      </c>
      <c r="FJ131" s="59">
        <f ca="1">AVERAGE(OFFSET($FI$3,0,0,'Données projet'!$E$16+1,1))-AVERAGE(OFFSET($H$3,0,0,'Données projet'!$E$16+1,1))</f>
        <v>422.28024471365825</v>
      </c>
      <c r="FK131" s="59">
        <f t="shared" si="102"/>
        <v>266.49730479813206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0</v>
      </c>
      <c r="FR131" s="21">
        <f>EXP(-LN(2)/25)*FR130+(1-EXP(-LN(2)/25))/(LN(2)/25)*Calculateur!FM131*Calculateur!FO131*VLOOKUP('Données projet'!$B$16,Paramètres!$A$1:$I$89,3,0)*0.475*44/12</f>
        <v>0.21934054551054424</v>
      </c>
      <c r="FS131" s="21">
        <f>EXP(-LN(2)/2)*FS130+(1-EXP(-LN(2)/2))/(LN(2)/2)*FM131*FP131*VLOOKUP('Données projet'!$B$16,Paramètres!$A$1:$I$89,3,0)*0.475*44/12</f>
        <v>1.1752731109375076E-14</v>
      </c>
      <c r="FT131" s="22">
        <f t="shared" si="78"/>
        <v>0.21934054551055598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69.254790469345238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3.4106051316484809E-13</v>
      </c>
      <c r="GA131" s="17">
        <f>FZ131*VLOOKUP('Données projet'!$B$17,Paramètres!$A$1:$I$89,3,0)*VLOOKUP('Données projet'!$B$17,Paramètres!$A$1:$I$89,5,0)</f>
        <v>2.6602720026858149E-13</v>
      </c>
      <c r="GB131" s="13">
        <f t="shared" si="103"/>
        <v>3.5662905043956649E-12</v>
      </c>
      <c r="GC131" s="20">
        <f t="shared" si="79"/>
        <v>6.6746200022902298E-12</v>
      </c>
      <c r="GD131" s="59">
        <f t="shared" si="80"/>
        <v>290.60089838760587</v>
      </c>
      <c r="GE131" s="59">
        <f ca="1">AVERAGE(OFFSET($GD$3,0,0,'Données projet'!$E$17+1,1))-AVERAGE(OFFSET($H$3,0,0,'Données projet'!$E$17+1,1))</f>
        <v>300.95722646933314</v>
      </c>
      <c r="GF131" s="59">
        <f t="shared" si="104"/>
        <v>269.52365224623759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>
        <f>EXP(-LN(2)/35)*GL130+(1-EXP(-LN(2)/35))/(LN(2)/35)*GH131*GI131*VLOOKUP('Données projet'!$B$17,Paramètres!$A$1:$I$89,3,0)*0.475*44/12</f>
        <v>0.12777250889075412</v>
      </c>
      <c r="GM131" s="21">
        <f>EXP(-LN(2)/25)*GM130+(1-EXP(-LN(2)/25))/(LN(2)/25)*Calculateur!GH131*Calculateur!GJ131*VLOOKUP('Données projet'!$B$17,Paramètres!$A$1:$I$89,3,0)*0.475*44/12</f>
        <v>0.41218099439922851</v>
      </c>
      <c r="GN131" s="21">
        <f>EXP(-LN(2)/2)*GN130+(1-EXP(-LN(2)/2))/(LN(2)/2)*GH131*GK131*VLOOKUP('Données projet'!$B$17,Paramètres!$A$1:$I$89,3,0)*0.475*44/12</f>
        <v>1.57366806167773E-14</v>
      </c>
      <c r="GO131" s="21">
        <f t="shared" si="81"/>
        <v>0.53995350328999836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69.254790469345238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1.4000000000000001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5.1333333333333337</v>
      </c>
      <c r="H132" s="67">
        <f t="shared" ref="H132:H195" si="110">(B132+E132+F132)*44/12+(C132+D132)*0.475*44/12</f>
        <v>236.13333333333335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69.267718188663167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-3.4106051316484809E-13</v>
      </c>
      <c r="O132" s="13">
        <f>N132*VLOOKUP('Données projet'!$B$9,Paramètres!$A$1:$I$89,3,0)*VLOOKUP('Données projet'!$B$9,Paramètres!$A$1:$I$89,5,0)</f>
        <v>-3.0859155231155454E-13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479.46542424895119</v>
      </c>
      <c r="T132" s="59">
        <f t="shared" si="88"/>
        <v>337.96395820277337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0.33905592651684174</v>
      </c>
      <c r="AA132" s="21">
        <f>EXP(-LN(2)/25)*AA131+(1-EXP(-LN(2)/25))/(LN(2)/25)*Calculateur!V132*Calculateur!X132*VLOOKUP('Données projet'!$B$9,Paramètres!$A$1:$I$89,3,0)*0.475*44/12</f>
        <v>0.72500135007584798</v>
      </c>
      <c r="AB132" s="21">
        <f>EXP(-LN(2)/2)*AB131+(1-EXP(-LN(2)/2))/(LN(2)/2)*V132*Y132*VLOOKUP('Données projet'!$B$9,Paramètres!$A$1:$I$89,3,0)*0.475*44/12</f>
        <v>2.7072585222797269E-14</v>
      </c>
      <c r="AC132" s="22">
        <f t="shared" ref="AC132:AC153" si="111">SUM(Z132:AB132)</f>
        <v>1.0640572765927168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69.267718188663167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-3.4106051316484809E-13</v>
      </c>
      <c r="AJ132" s="13">
        <f>AI132*VLOOKUP('Données projet'!$B$10,Paramètres!$A$1:$I$89,3,0)*VLOOKUP('Données projet'!$B$10,Paramètres!$A$1:$I$89,5,0)</f>
        <v>-3.2987372833304104E-13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508.94560627895089</v>
      </c>
      <c r="AO132" s="59">
        <f t="shared" si="90"/>
        <v>357.86868650263034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0.36243909386283107</v>
      </c>
      <c r="AV132" s="21">
        <f>EXP(-LN(2)/25)*AV131+(1-EXP(-LN(2)/25))/(LN(2)/25)*Calculateur!AQ132*Calculateur!AS132*VLOOKUP('Données projet'!$B$10,Paramètres!$A$1:$I$89,3,0)*0.475*44/12</f>
        <v>0.77500144318452724</v>
      </c>
      <c r="AW132" s="21">
        <f>EXP(-LN(2)/2)*AW131+(1-EXP(-LN(2)/2))/(LN(2)/2)*AQ132*AT132*VLOOKUP('Données projet'!$B$10,Paramètres!$A$1:$I$89,3,0)*0.475*44/12</f>
        <v>2.8939660065748671E-14</v>
      </c>
      <c r="AX132" s="21">
        <f t="shared" ref="AX132:AX153" si="114">SUM(AU132:AW132)</f>
        <v>1.1374405370473872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69.267718188663167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1.7053025658242404E-13</v>
      </c>
      <c r="BE132" s="13">
        <f>BD132*VLOOKUP('Données projet'!$B$11,Paramètres!$A$1:$I$89,3,0)*VLOOKUP('Données projet'!$B$11,Paramètres!$A$1:$I$89,5,0)</f>
        <v>1.3301360013429075E-13</v>
      </c>
      <c r="BF132" s="13">
        <f t="shared" si="91"/>
        <v>1.9329766731057041E-12</v>
      </c>
      <c r="BG132" s="20">
        <f t="shared" ref="BG132:BG153" si="115">(BE132+BF132)*0.475*44/12</f>
        <v>3.5982663925596575E-12</v>
      </c>
      <c r="BH132" s="59">
        <f t="shared" ref="BH132:BH195" si="116">BG132+(AY132+AZ132)*44/12</f>
        <v>290.64830002510189</v>
      </c>
      <c r="BI132" s="59">
        <f ca="1">AVERAGE(OFFSET($BH$3,0,0,'Données projet'!$E$11+1,1))-AVERAGE(OFFSET($H$3,0,0,'Données projet'!$E$11+1,1))</f>
        <v>383.03154033422328</v>
      </c>
      <c r="BJ132" s="59">
        <f t="shared" si="92"/>
        <v>373.27897156169877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0.20355882287803007</v>
      </c>
      <c r="BQ132" s="21">
        <f>EXP(-LN(2)/25)*BQ131+(1-EXP(-LN(2)/25))/(LN(2)/25)*Calculateur!BL132*Calculateur!BN132*VLOOKUP('Données projet'!$B$11,Paramètres!$A$1:$I$89,3,0)*0.475*44/12</f>
        <v>0.53787847330931715</v>
      </c>
      <c r="BR132" s="21">
        <f>EXP(-LN(2)/2)*BR131+(1-EXP(-LN(2)/2))/(LN(2)/2)*BL132*BO132*VLOOKUP('Données projet'!$B$11,Paramètres!$A$1:$I$89,3,0)*0.475*44/12</f>
        <v>1.6418368408706224E-14</v>
      </c>
      <c r="BS132" s="22">
        <f t="shared" ref="BS132:BS153" si="117">SUM(BP132:BR132)</f>
        <v>0.74143729618736365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69.267718188663167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-3.4106051316484809E-13</v>
      </c>
      <c r="BZ132" s="13">
        <f>BY132*VLOOKUP('Données projet'!$B$12,Paramètres!$A$1:$I$89,3,0)*VLOOKUP('Données projet'!$B$12,Paramètres!$A$1:$I$89,5,0)</f>
        <v>-2.8730937629006804E-13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449.94334483948603</v>
      </c>
      <c r="CE132" s="59">
        <f t="shared" si="94"/>
        <v>318.02929110264176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0.31567275917085286</v>
      </c>
      <c r="CL132" s="21">
        <f>EXP(-LN(2)/25)*CL131+(1-EXP(-LN(2)/25))/(LN(2)/25)*Calculateur!CG132*Calculateur!CI132*VLOOKUP('Données projet'!$B$12,Paramètres!$A$1:$I$89,3,0)*0.475*44/12</f>
        <v>0.67500125696716895</v>
      </c>
      <c r="CM132" s="21">
        <f>EXP(-LN(2)/2)*CM131+(1-EXP(-LN(2)/2))/(LN(2)/2)*CG132*CJ132*VLOOKUP('Données projet'!$B$12,Paramètres!$A$1:$I$89,3,0)*0.475*44/12</f>
        <v>2.5205510379845643E-14</v>
      </c>
      <c r="CN132" s="22">
        <f t="shared" ref="CN132:CN153" si="120">SUM(CK132:CM132)</f>
        <v>0.99067401613804706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69.267718188663167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5</v>
      </c>
      <c r="CT132" s="12">
        <f>IF('Données projet'!$A$140&gt;35,CT131+CS132-DB131,IF(A132&lt;'Données projet'!$A$140,$CQ$205^A132,IF(A132='Données projet'!$A$140,'Données projet'!$B$140,CT131+CS132-DB131)))</f>
        <v>456.00000000000023</v>
      </c>
      <c r="CU132" s="17">
        <f>CT132*VLOOKUP('Données projet'!$B$13,Paramètres!$A$1:$I$89,3,0)*VLOOKUP('Données projet'!$B$13,Paramètres!$A$1:$I$89,5,0)</f>
        <v>391.24800000000027</v>
      </c>
      <c r="CV132" s="13">
        <f t="shared" si="95"/>
        <v>90.00005345601933</v>
      </c>
      <c r="CW132" s="20">
        <f t="shared" ref="CW132:CW153" si="121">(CU132+CV132)*0.475*44/12</f>
        <v>838.17369310256743</v>
      </c>
      <c r="CX132" s="59">
        <f t="shared" ref="CX132:CX195" si="122">CW132+(CO132+CP132)*44/12</f>
        <v>1128.8219931276658</v>
      </c>
      <c r="CY132" s="59">
        <f ca="1">AVERAGE(OFFSET($CX$3,0,0,'Données projet'!$E$13+1,1))-AVERAGE(OFFSET($H$3,0,0,'Données projet'!$E$13+1,1))</f>
        <v>565.32667500225568</v>
      </c>
      <c r="CZ132" s="59">
        <f t="shared" si="96"/>
        <v>275.06957234480944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0</v>
      </c>
      <c r="DG132" s="21">
        <f>EXP(-LN(2)/25)*DG131+(1-EXP(-LN(2)/25))/(LN(2)/25)*Calculateur!DB132*Calculateur!DD132*VLOOKUP('Données projet'!$B$13,Paramètres!$A$1:$I$89,3,0)*0.475*44/12</f>
        <v>0.28153097208889555</v>
      </c>
      <c r="DH132" s="21">
        <f>EXP(-LN(2)/2)*DH131+(1-EXP(-LN(2)/2))/(LN(2)/2)*DB132*DE132*VLOOKUP('Données projet'!$B$13,Paramètres!$A$1:$I$89,3,0)*0.475*44/12</f>
        <v>8.8974355060816676E-15</v>
      </c>
      <c r="DI132" s="22">
        <f t="shared" ref="DI132:DI153" si="123">SUM(DF132:DH132)</f>
        <v>0.28153097208890443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69.267718188663167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-1.2505552149377763E-12</v>
      </c>
      <c r="DP132" s="17">
        <f>DO132*VLOOKUP('Données projet'!$B$14,Paramètres!$A$1:$I$89,3,0)*VLOOKUP('Données projet'!$B$14,Paramètres!$A$1:$I$89,5,0)</f>
        <v>-6.9906036515021697E-13</v>
      </c>
      <c r="DQ132" s="13" t="e">
        <f t="shared" si="97"/>
        <v>#NUM!</v>
      </c>
      <c r="DR132" s="20" t="e">
        <f t="shared" ref="DR132:DR153" si="124">(DP132+DQ132)*0.475*44/12</f>
        <v>#NUM!</v>
      </c>
      <c r="DS132" s="59" t="e">
        <f t="shared" ref="DS132:DS195" si="125">DR132+(DJ132+DK132)*44/12</f>
        <v>#NUM!</v>
      </c>
      <c r="DT132" s="59">
        <f ca="1">AVERAGE(OFFSET($DS$3,0,0,'Données projet'!$E$14+1,1))-AVERAGE(OFFSET($H$3,0,0,'Données projet'!$E$14+1,1))</f>
        <v>532.64469322244281</v>
      </c>
      <c r="DU132" s="59">
        <f t="shared" si="98"/>
        <v>525.88014011096413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1.6075927550367533</v>
      </c>
      <c r="EB132" s="21">
        <f>EXP(-LN(2)/25)*EB131+(1-EXP(-LN(2)/25))/(LN(2)/25)*Calculateur!DW132*Calculateur!DY132*VLOOKUP('Données projet'!$B$14,Paramètres!$A$1:$I$89,3,0)*0.475*44/12</f>
        <v>2.4905678401292137</v>
      </c>
      <c r="EC132" s="21">
        <f>EXP(-LN(2)/2)*EC131+(1-EXP(-LN(2)/2))/(LN(2)/2)*DW132*DZ132*VLOOKUP('Données projet'!$B$14,Paramètres!$A$1:$I$89,3,0)*0.475*44/12</f>
        <v>4.5811393256378404E-14</v>
      </c>
      <c r="ED132" s="22">
        <f t="shared" ref="ED132:ED153" si="126">SUM(EA132:EC132)</f>
        <v>4.0981605951660134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69.267718188663167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-1.1368683772161603E-13</v>
      </c>
      <c r="EK132" s="17">
        <f>EJ132*VLOOKUP('Données projet'!$B$15,Paramètres!$A$1:$I$89,3,0)*VLOOKUP('Données projet'!$B$15,Paramètres!$A$1:$I$89,5,0)</f>
        <v>-1.0286385077051818E-13</v>
      </c>
      <c r="EL132" s="13" t="e">
        <f t="shared" si="99"/>
        <v>#NUM!</v>
      </c>
      <c r="EM132" s="20" t="e">
        <f t="shared" ref="EM132:EM153" si="127">(EK132+EL132)*0.475*44/12</f>
        <v>#NUM!</v>
      </c>
      <c r="EN132" s="59" t="e">
        <f t="shared" ref="EN132:EN195" si="128">EM132+(EE132+EF132)*44/12</f>
        <v>#NUM!</v>
      </c>
      <c r="EO132" s="59">
        <f ca="1">AVERAGE(OFFSET($EN$3,0,0,'Données projet'!$E$15+1,1))-AVERAGE(OFFSET($H$3,0,0,'Données projet'!$E$15+1,1))</f>
        <v>398.27843768730202</v>
      </c>
      <c r="EP132" s="59">
        <f t="shared" si="100"/>
        <v>252.3617347568813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0</v>
      </c>
      <c r="EW132" s="21">
        <f>EXP(-LN(2)/25)*EW131+(1-EXP(-LN(2)/25))/(LN(2)/25)*Calculateur!ER132*Calculateur!ET132*VLOOKUP('Données projet'!$B$15,Paramètres!$A$1:$I$89,3,0)*0.475*44/12</f>
        <v>0.19957862374223473</v>
      </c>
      <c r="EX132" s="21">
        <f>EXP(-LN(2)/2)*EX131+(1-EXP(-LN(2)/2))/(LN(2)/2)*ER132*EU132*VLOOKUP('Données projet'!$B$15,Paramètres!$A$1:$I$89,3,0)*0.475*44/12</f>
        <v>7.7742787123269417E-15</v>
      </c>
      <c r="EY132" s="22">
        <f t="shared" ref="EY132:EY153" si="129">SUM(EV132:EX132)</f>
        <v>0.1995786237422425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69.267718188663167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-1.1368683772161603E-13</v>
      </c>
      <c r="FF132" s="17">
        <f>FE132*VLOOKUP('Données projet'!$B$16,Paramètres!$A$1:$I$89,3,0)*VLOOKUP('Données projet'!$B$16,Paramètres!$A$1:$I$89,5,0)</f>
        <v>-1.0995790944434703E-13</v>
      </c>
      <c r="FG132" s="13" t="e">
        <f t="shared" si="101"/>
        <v>#NUM!</v>
      </c>
      <c r="FH132" s="20" t="e">
        <f t="shared" ref="FH132:FH153" si="130">(FF132+FG132)*0.475*44/12</f>
        <v>#NUM!</v>
      </c>
      <c r="FI132" s="59" t="e">
        <f t="shared" ref="FI132:FI195" si="131">FH132+(EZ132+FA132)*44/12</f>
        <v>#NUM!</v>
      </c>
      <c r="FJ132" s="59">
        <f ca="1">AVERAGE(OFFSET($FI$3,0,0,'Données projet'!$E$16+1,1))-AVERAGE(OFFSET($H$3,0,0,'Données projet'!$E$16+1,1))</f>
        <v>422.28024471365825</v>
      </c>
      <c r="FK132" s="59">
        <f t="shared" si="102"/>
        <v>266.49730479813206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0</v>
      </c>
      <c r="FR132" s="21">
        <f>EXP(-LN(2)/25)*FR131+(1-EXP(-LN(2)/25))/(LN(2)/25)*Calculateur!FM132*Calculateur!FO132*VLOOKUP('Données projet'!$B$16,Paramètres!$A$1:$I$89,3,0)*0.475*44/12</f>
        <v>0.21334266675894042</v>
      </c>
      <c r="FS132" s="21">
        <f>EXP(-LN(2)/2)*FS131+(1-EXP(-LN(2)/2))/(LN(2)/2)*FM132*FP132*VLOOKUP('Données projet'!$B$16,Paramètres!$A$1:$I$89,3,0)*0.475*44/12</f>
        <v>8.3104358649012119E-15</v>
      </c>
      <c r="FT132" s="22">
        <f t="shared" ref="FT132:FT153" si="132">SUM(FQ132:FS132)</f>
        <v>0.21334266675894872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69.267718188663167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3.4106051316484809E-13</v>
      </c>
      <c r="GA132" s="17">
        <f>FZ132*VLOOKUP('Données projet'!$B$17,Paramètres!$A$1:$I$89,3,0)*VLOOKUP('Données projet'!$B$17,Paramètres!$A$1:$I$89,5,0)</f>
        <v>2.6602720026858149E-13</v>
      </c>
      <c r="GB132" s="13">
        <f t="shared" si="103"/>
        <v>3.5662905043956649E-12</v>
      </c>
      <c r="GC132" s="20">
        <f t="shared" ref="GC132:GC153" si="133">(GA132+GB132)*0.475*44/12</f>
        <v>6.6746200022902298E-12</v>
      </c>
      <c r="GD132" s="59">
        <f t="shared" ref="GD132:GD195" si="134">GC132+(FU132+FV132)*44/12</f>
        <v>290.64830002510496</v>
      </c>
      <c r="GE132" s="59">
        <f ca="1">AVERAGE(OFFSET($GD$3,0,0,'Données projet'!$E$17+1,1))-AVERAGE(OFFSET($H$3,0,0,'Données projet'!$E$17+1,1))</f>
        <v>300.95722646933314</v>
      </c>
      <c r="GF132" s="59">
        <f t="shared" si="104"/>
        <v>269.52365224623759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>
        <f>EXP(-LN(2)/35)*GL131+(1-EXP(-LN(2)/35))/(LN(2)/35)*GH132*GI132*VLOOKUP('Données projet'!$B$17,Paramètres!$A$1:$I$89,3,0)*0.475*44/12</f>
        <v>0.12526696792494155</v>
      </c>
      <c r="GM132" s="21">
        <f>EXP(-LN(2)/25)*GM131+(1-EXP(-LN(2)/25))/(LN(2)/25)*Calculateur!GH132*Calculateur!GJ132*VLOOKUP('Données projet'!$B$17,Paramètres!$A$1:$I$89,3,0)*0.475*44/12</f>
        <v>0.40090988343172518</v>
      </c>
      <c r="GN132" s="21">
        <f>EXP(-LN(2)/2)*GN131+(1-EXP(-LN(2)/2))/(LN(2)/2)*GH132*GK132*VLOOKUP('Données projet'!$B$17,Paramètres!$A$1:$I$89,3,0)*0.475*44/12</f>
        <v>1.112751357749013E-14</v>
      </c>
      <c r="GO132" s="21">
        <f t="shared" ref="GO132:GO153" si="135">SUM(GL132:GN132)</f>
        <v>0.5261768513566778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69.267718188663167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1.4000000000000001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5.1333333333333337</v>
      </c>
      <c r="H133" s="67">
        <f t="shared" si="110"/>
        <v>236.13333333333335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69.280421640952994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-3.4106051316484809E-13</v>
      </c>
      <c r="O133" s="13">
        <f>N133*VLOOKUP('Données projet'!$B$9,Paramètres!$A$1:$I$89,3,0)*VLOOKUP('Données projet'!$B$9,Paramètres!$A$1:$I$89,5,0)</f>
        <v>-3.0859155231155454E-13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479.46542424895119</v>
      </c>
      <c r="T133" s="59">
        <f t="shared" ref="T133:T196" si="142">$T$3</f>
        <v>337.96395820277337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0.33240724660154147</v>
      </c>
      <c r="AA133" s="21">
        <f>EXP(-LN(2)/25)*AA132+(1-EXP(-LN(2)/25))/(LN(2)/25)*Calculateur!V133*Calculateur!X133*VLOOKUP('Données projet'!$B$9,Paramètres!$A$1:$I$89,3,0)*0.475*44/12</f>
        <v>0.70517615003185996</v>
      </c>
      <c r="AB133" s="21">
        <f>EXP(-LN(2)/2)*AB132+(1-EXP(-LN(2)/2))/(LN(2)/2)*V133*Y133*VLOOKUP('Données projet'!$B$9,Paramètres!$A$1:$I$89,3,0)*0.475*44/12</f>
        <v>1.9143208595290668E-14</v>
      </c>
      <c r="AC133" s="22">
        <f t="shared" si="111"/>
        <v>1.0375833966334205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69.280421640952994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-3.4106051316484809E-13</v>
      </c>
      <c r="AJ133" s="13">
        <f>AI133*VLOOKUP('Données projet'!$B$10,Paramètres!$A$1:$I$89,3,0)*VLOOKUP('Données projet'!$B$10,Paramètres!$A$1:$I$89,5,0)</f>
        <v>-3.2987372833304104E-13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508.94560627895089</v>
      </c>
      <c r="AO133" s="59">
        <f t="shared" ref="AO133:AO196" si="144">$AO$3</f>
        <v>357.86868650263034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0.35533188429819973</v>
      </c>
      <c r="AV133" s="21">
        <f>EXP(-LN(2)/25)*AV132+(1-EXP(-LN(2)/25))/(LN(2)/25)*Calculateur!AQ133*Calculateur!AS133*VLOOKUP('Données projet'!$B$10,Paramètres!$A$1:$I$89,3,0)*0.475*44/12</f>
        <v>0.75380898796509177</v>
      </c>
      <c r="AW133" s="21">
        <f>EXP(-LN(2)/2)*AW132+(1-EXP(-LN(2)/2))/(LN(2)/2)*AQ133*AT133*VLOOKUP('Données projet'!$B$10,Paramètres!$A$1:$I$89,3,0)*0.475*44/12</f>
        <v>2.0463429877724414E-14</v>
      </c>
      <c r="AX133" s="21">
        <f t="shared" si="114"/>
        <v>1.1091408722633118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69.280421640952994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1.7053025658242404E-13</v>
      </c>
      <c r="BE133" s="13">
        <f>BD133*VLOOKUP('Données projet'!$B$11,Paramètres!$A$1:$I$89,3,0)*VLOOKUP('Données projet'!$B$11,Paramètres!$A$1:$I$89,5,0)</f>
        <v>1.3301360013429075E-13</v>
      </c>
      <c r="BF133" s="13">
        <f t="shared" ref="BF133:BF153" si="145">EXP(-1.0587+0.8836*LN(BE133)+0.284)</f>
        <v>1.9329766731057041E-12</v>
      </c>
      <c r="BG133" s="20">
        <f t="shared" si="115"/>
        <v>3.5982663925596575E-12</v>
      </c>
      <c r="BH133" s="59">
        <f t="shared" si="116"/>
        <v>290.69487935016457</v>
      </c>
      <c r="BI133" s="59">
        <f ca="1">AVERAGE(OFFSET($BH$3,0,0,'Données projet'!$E$11+1,1))-AVERAGE(OFFSET($H$3,0,0,'Données projet'!$E$11+1,1))</f>
        <v>383.03154033422328</v>
      </c>
      <c r="BJ133" s="59">
        <f t="shared" ref="BJ133:BJ196" si="146">$BJ$3</f>
        <v>373.27897156169877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0.19956715852001419</v>
      </c>
      <c r="BQ133" s="21">
        <f>EXP(-LN(2)/25)*BQ132+(1-EXP(-LN(2)/25))/(LN(2)/25)*Calculateur!BL133*Calculateur!BN133*VLOOKUP('Données projet'!$B$11,Paramètres!$A$1:$I$89,3,0)*0.475*44/12</f>
        <v>0.52317015817087431</v>
      </c>
      <c r="BR133" s="21">
        <f>EXP(-LN(2)/2)*BR132+(1-EXP(-LN(2)/2))/(LN(2)/2)*BL133*BO133*VLOOKUP('Données projet'!$B$11,Paramètres!$A$1:$I$89,3,0)*0.475*44/12</f>
        <v>1.1609539637815156E-14</v>
      </c>
      <c r="BS133" s="22">
        <f t="shared" si="117"/>
        <v>0.72273731669090013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69.280421640952994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-3.4106051316484809E-13</v>
      </c>
      <c r="BZ133" s="13">
        <f>BY133*VLOOKUP('Données projet'!$B$12,Paramètres!$A$1:$I$89,3,0)*VLOOKUP('Données projet'!$B$12,Paramètres!$A$1:$I$89,5,0)</f>
        <v>-2.8730937629006804E-13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449.94334483948603</v>
      </c>
      <c r="CE133" s="59">
        <f t="shared" ref="CE133:CE196" si="148">$CE$3</f>
        <v>318.02929110264176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0.30948260890488366</v>
      </c>
      <c r="CL133" s="21">
        <f>EXP(-LN(2)/25)*CL132+(1-EXP(-LN(2)/25))/(LN(2)/25)*Calculateur!CG133*Calculateur!CI133*VLOOKUP('Données projet'!$B$12,Paramètres!$A$1:$I$89,3,0)*0.475*44/12</f>
        <v>0.65654331209862837</v>
      </c>
      <c r="CM133" s="21">
        <f>EXP(-LN(2)/2)*CM132+(1-EXP(-LN(2)/2))/(LN(2)/2)*CG133*CJ133*VLOOKUP('Données projet'!$B$12,Paramètres!$A$1:$I$89,3,0)*0.475*44/12</f>
        <v>1.7822987312856765E-14</v>
      </c>
      <c r="CN133" s="22">
        <f t="shared" si="120"/>
        <v>0.96602592100352991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69.280421640952994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>
        <f>VLOOKUP(A133,'Données projet'!$A$139:$I$159,2,0)</f>
        <v>461</v>
      </c>
      <c r="CR133" s="12">
        <f>VLOOKUP(A133,'Données projet'!$A$139:$I$159,9,0)</f>
        <v>5</v>
      </c>
      <c r="CS133" s="12">
        <f t="array" ref="CS133">INDEX(CR:CR,MIN(IF(ISNUMBER(CR133:CR329),ROW(CR133:CR329),"")))</f>
        <v>5</v>
      </c>
      <c r="CT133" s="12">
        <f>IF('Données projet'!$A$140&gt;35,CT132+CS133-DB132,IF(A133&lt;'Données projet'!$A$140,$CQ$205^A133,IF(A133='Données projet'!$A$140,'Données projet'!$B$140,CT132+CS133-DB132)))</f>
        <v>461.00000000000023</v>
      </c>
      <c r="CU133" s="17">
        <f>CT133*VLOOKUP('Données projet'!$B$13,Paramètres!$A$1:$I$89,3,0)*VLOOKUP('Données projet'!$B$13,Paramètres!$A$1:$I$89,5,0)</f>
        <v>395.53800000000024</v>
      </c>
      <c r="CV133" s="13">
        <f t="shared" ref="CV133:CV153" si="149">EXP(-1.0587+0.8836*LN(CU133)+0.284)</f>
        <v>90.871473458412396</v>
      </c>
      <c r="CW133" s="20">
        <f t="shared" si="121"/>
        <v>847.16316627340211</v>
      </c>
      <c r="CX133" s="59">
        <f t="shared" si="122"/>
        <v>1137.8580456235632</v>
      </c>
      <c r="CY133" s="59">
        <f ca="1">AVERAGE(OFFSET($CX$3,0,0,'Données projet'!$E$13+1,1))-AVERAGE(OFFSET($H$3,0,0,'Données projet'!$E$13+1,1))</f>
        <v>565.32667500225568</v>
      </c>
      <c r="CZ133" s="59">
        <f t="shared" ref="CZ133:CZ196" si="150">$CZ$3</f>
        <v>275.06957234480944</v>
      </c>
      <c r="DA133" s="15">
        <f>IF(ISNA(VLOOKUP(A133,'Données projet'!$A$139:$I$159,3,0)),0,VLOOKUP(A133,'Données projet'!$A$139:$I$159,3,0))</f>
        <v>11</v>
      </c>
      <c r="DB133" s="15">
        <f>IF(ISNA(VLOOKUP(A133,'Données projet'!$A$139:$I$159,4,0)),0,VLOOKUP(A133,'Données projet'!$A$139:$I$159,4,0))</f>
        <v>41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0</v>
      </c>
      <c r="DG133" s="21">
        <f>EXP(-LN(2)/25)*DG132+(1-EXP(-LN(2)/25))/(LN(2)/25)*Calculateur!DB133*Calculateur!DD133*VLOOKUP('Données projet'!$B$13,Paramètres!$A$1:$I$89,3,0)*0.475*44/12</f>
        <v>0.2738324928520543</v>
      </c>
      <c r="DH133" s="21">
        <f>EXP(-LN(2)/2)*DH132+(1-EXP(-LN(2)/2))/(LN(2)/2)*DB133*DE133*VLOOKUP('Données projet'!$B$13,Paramètres!$A$1:$I$89,3,0)*0.475*44/12</f>
        <v>6.2914369815203086E-15</v>
      </c>
      <c r="DI133" s="22">
        <f t="shared" si="123"/>
        <v>0.27383249285206057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69.280421640952994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-1.2505552149377763E-12</v>
      </c>
      <c r="DP133" s="17">
        <f>DO133*VLOOKUP('Données projet'!$B$14,Paramètres!$A$1:$I$89,3,0)*VLOOKUP('Données projet'!$B$14,Paramètres!$A$1:$I$89,5,0)</f>
        <v>-6.9906036515021697E-13</v>
      </c>
      <c r="DQ133" s="13" t="e">
        <f t="shared" ref="DQ133:DQ153" si="151">EXP(-1.0587+0.8836*LN(DP133)+0.284)</f>
        <v>#NUM!</v>
      </c>
      <c r="DR133" s="20" t="e">
        <f t="shared" si="124"/>
        <v>#NUM!</v>
      </c>
      <c r="DS133" s="59" t="e">
        <f t="shared" si="125"/>
        <v>#NUM!</v>
      </c>
      <c r="DT133" s="59">
        <f ca="1">AVERAGE(OFFSET($DS$3,0,0,'Données projet'!$E$14+1,1))-AVERAGE(OFFSET($H$3,0,0,'Données projet'!$E$14+1,1))</f>
        <v>532.64469322244281</v>
      </c>
      <c r="DU133" s="59">
        <f t="shared" ref="DU133:DU196" si="152">$DU$3</f>
        <v>525.88014011096413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1.5760688416452433</v>
      </c>
      <c r="EB133" s="21">
        <f>EXP(-LN(2)/25)*EB132+(1-EXP(-LN(2)/25))/(LN(2)/25)*Calculateur!DW133*Calculateur!DY133*VLOOKUP('Données projet'!$B$14,Paramètres!$A$1:$I$89,3,0)*0.475*44/12</f>
        <v>2.4224631315676097</v>
      </c>
      <c r="EC133" s="21">
        <f>EXP(-LN(2)/2)*EC132+(1-EXP(-LN(2)/2))/(LN(2)/2)*DW133*DZ133*VLOOKUP('Données projet'!$B$14,Paramètres!$A$1:$I$89,3,0)*0.475*44/12</f>
        <v>3.2393546827188842E-14</v>
      </c>
      <c r="ED133" s="22">
        <f t="shared" si="126"/>
        <v>3.9985319732128857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69.280421640952994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-1.1368683772161603E-13</v>
      </c>
      <c r="EK133" s="17">
        <f>EJ133*VLOOKUP('Données projet'!$B$15,Paramètres!$A$1:$I$89,3,0)*VLOOKUP('Données projet'!$B$15,Paramètres!$A$1:$I$89,5,0)</f>
        <v>-1.0286385077051818E-13</v>
      </c>
      <c r="EL133" s="13" t="e">
        <f t="shared" ref="EL133:EL153" si="153">EXP(-1.0587+0.8836*LN(EK133)+0.284)</f>
        <v>#NUM!</v>
      </c>
      <c r="EM133" s="20" t="e">
        <f t="shared" si="127"/>
        <v>#NUM!</v>
      </c>
      <c r="EN133" s="59" t="e">
        <f t="shared" si="128"/>
        <v>#NUM!</v>
      </c>
      <c r="EO133" s="59">
        <f ca="1">AVERAGE(OFFSET($EN$3,0,0,'Données projet'!$E$15+1,1))-AVERAGE(OFFSET($H$3,0,0,'Données projet'!$E$15+1,1))</f>
        <v>398.27843768730202</v>
      </c>
      <c r="EP133" s="59">
        <f t="shared" ref="EP133:EP196" si="154">$EP$3</f>
        <v>252.3617347568813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0</v>
      </c>
      <c r="EW133" s="21">
        <f>EXP(-LN(2)/25)*EW132+(1-EXP(-LN(2)/25))/(LN(2)/25)*Calculateur!ER133*Calculateur!ET133*VLOOKUP('Données projet'!$B$15,Paramètres!$A$1:$I$89,3,0)*0.475*44/12</f>
        <v>0.19412113578061965</v>
      </c>
      <c r="EX133" s="21">
        <f>EXP(-LN(2)/2)*EX132+(1-EXP(-LN(2)/2))/(LN(2)/2)*ER133*EU133*VLOOKUP('Données projet'!$B$15,Paramètres!$A$1:$I$89,3,0)*0.475*44/12</f>
        <v>5.4972451963206013E-15</v>
      </c>
      <c r="EY133" s="22">
        <f t="shared" si="129"/>
        <v>0.19412113578062515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69.280421640952994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-1.1368683772161603E-13</v>
      </c>
      <c r="FF133" s="17">
        <f>FE133*VLOOKUP('Données projet'!$B$16,Paramètres!$A$1:$I$89,3,0)*VLOOKUP('Données projet'!$B$16,Paramètres!$A$1:$I$89,5,0)</f>
        <v>-1.0995790944434703E-13</v>
      </c>
      <c r="FG133" s="13" t="e">
        <f t="shared" ref="FG133:FG153" si="155">EXP(-1.0587+0.8836*LN(FF133)+0.284)</f>
        <v>#NUM!</v>
      </c>
      <c r="FH133" s="20" t="e">
        <f t="shared" si="130"/>
        <v>#NUM!</v>
      </c>
      <c r="FI133" s="59" t="e">
        <f t="shared" si="131"/>
        <v>#NUM!</v>
      </c>
      <c r="FJ133" s="59">
        <f ca="1">AVERAGE(OFFSET($FI$3,0,0,'Données projet'!$E$16+1,1))-AVERAGE(OFFSET($H$3,0,0,'Données projet'!$E$16+1,1))</f>
        <v>422.28024471365825</v>
      </c>
      <c r="FK133" s="59">
        <f t="shared" ref="FK133:FK196" si="156">$FK$3</f>
        <v>266.49730479813206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0</v>
      </c>
      <c r="FR133" s="21">
        <f>EXP(-LN(2)/25)*FR132+(1-EXP(-LN(2)/25))/(LN(2)/25)*Calculateur!FM133*Calculateur!FO133*VLOOKUP('Données projet'!$B$16,Paramètres!$A$1:$I$89,3,0)*0.475*44/12</f>
        <v>0.20750880031721394</v>
      </c>
      <c r="FS133" s="21">
        <f>EXP(-LN(2)/2)*FS132+(1-EXP(-LN(2)/2))/(LN(2)/2)*FM133*FP133*VLOOKUP('Données projet'!$B$16,Paramètres!$A$1:$I$89,3,0)*0.475*44/12</f>
        <v>5.8763655546875382E-15</v>
      </c>
      <c r="FT133" s="22">
        <f t="shared" si="132"/>
        <v>0.20750880031721983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69.280421640952994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3.4106051316484809E-13</v>
      </c>
      <c r="GA133" s="17">
        <f>FZ133*VLOOKUP('Données projet'!$B$17,Paramètres!$A$1:$I$89,3,0)*VLOOKUP('Données projet'!$B$17,Paramètres!$A$1:$I$89,5,0)</f>
        <v>2.6602720026858149E-13</v>
      </c>
      <c r="GB133" s="13">
        <f t="shared" ref="GB133:GB153" si="157">EXP(-1.0587+0.8836*LN(GA133)+0.284)</f>
        <v>3.5662905043956649E-12</v>
      </c>
      <c r="GC133" s="20">
        <f t="shared" si="133"/>
        <v>6.6746200022902298E-12</v>
      </c>
      <c r="GD133" s="59">
        <f t="shared" si="134"/>
        <v>290.69487935016764</v>
      </c>
      <c r="GE133" s="59">
        <f ca="1">AVERAGE(OFFSET($GD$3,0,0,'Données projet'!$E$17+1,1))-AVERAGE(OFFSET($H$3,0,0,'Données projet'!$E$17+1,1))</f>
        <v>300.95722646933314</v>
      </c>
      <c r="GF133" s="59">
        <f t="shared" ref="GF133:GF196" si="158">$GF$3</f>
        <v>269.52365224623759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>
        <f>EXP(-LN(2)/35)*GL132+(1-EXP(-LN(2)/35))/(LN(2)/35)*GH133*GI133*VLOOKUP('Données projet'!$B$17,Paramètres!$A$1:$I$89,3,0)*0.475*44/12</f>
        <v>0.12281055908923948</v>
      </c>
      <c r="GM133" s="21">
        <f>EXP(-LN(2)/25)*GM132+(1-EXP(-LN(2)/25))/(LN(2)/25)*Calculateur!GH133*Calculateur!GJ133*VLOOKUP('Données projet'!$B$17,Paramètres!$A$1:$I$89,3,0)*0.475*44/12</f>
        <v>0.38994698158635016</v>
      </c>
      <c r="GN133" s="21">
        <f>EXP(-LN(2)/2)*GN132+(1-EXP(-LN(2)/2))/(LN(2)/2)*GH133*GK133*VLOOKUP('Données projet'!$B$17,Paramètres!$A$1:$I$89,3,0)*0.475*44/12</f>
        <v>7.8683403083886502E-15</v>
      </c>
      <c r="GO133" s="21">
        <f t="shared" si="135"/>
        <v>0.51275754067559753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69.280421640952994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1.4000000000000001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5.1333333333333337</v>
      </c>
      <c r="H134" s="67">
        <f t="shared" si="110"/>
        <v>236.13333333333335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69.29290471674625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-3.4106051316484809E-13</v>
      </c>
      <c r="O134" s="13">
        <f>N134*VLOOKUP('Données projet'!$B$9,Paramètres!$A$1:$I$89,3,0)*VLOOKUP('Données projet'!$B$9,Paramètres!$A$1:$I$89,5,0)</f>
        <v>-3.0859155231155454E-13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479.46542424895119</v>
      </c>
      <c r="T134" s="59">
        <f t="shared" si="142"/>
        <v>337.96395820277337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0.3258889432440859</v>
      </c>
      <c r="AA134" s="21">
        <f>EXP(-LN(2)/25)*AA133+(1-EXP(-LN(2)/25))/(LN(2)/25)*Calculateur!V134*Calculateur!X134*VLOOKUP('Données projet'!$B$9,Paramètres!$A$1:$I$89,3,0)*0.475*44/12</f>
        <v>0.68589307112563669</v>
      </c>
      <c r="AB134" s="21">
        <f>EXP(-LN(2)/2)*AB133+(1-EXP(-LN(2)/2))/(LN(2)/2)*V134*Y134*VLOOKUP('Données projet'!$B$9,Paramètres!$A$1:$I$89,3,0)*0.475*44/12</f>
        <v>1.3536292611398635E-14</v>
      </c>
      <c r="AC134" s="22">
        <f t="shared" si="111"/>
        <v>1.011782014369736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69.29290471674625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-3.4106051316484809E-13</v>
      </c>
      <c r="AJ134" s="13">
        <f>AI134*VLOOKUP('Données projet'!$B$10,Paramètres!$A$1:$I$89,3,0)*VLOOKUP('Données projet'!$B$10,Paramètres!$A$1:$I$89,5,0)</f>
        <v>-3.2987372833304104E-13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508.94560627895089</v>
      </c>
      <c r="AO134" s="59">
        <f t="shared" si="144"/>
        <v>357.86868650263034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0.34836404277816102</v>
      </c>
      <c r="AV134" s="21">
        <f>EXP(-LN(2)/25)*AV133+(1-EXP(-LN(2)/25))/(LN(2)/25)*Calculateur!AQ134*Calculateur!AS134*VLOOKUP('Données projet'!$B$10,Paramètres!$A$1:$I$89,3,0)*0.475*44/12</f>
        <v>0.73319604154809448</v>
      </c>
      <c r="AW134" s="21">
        <f>EXP(-LN(2)/2)*AW133+(1-EXP(-LN(2)/2))/(LN(2)/2)*AQ134*AT134*VLOOKUP('Données projet'!$B$10,Paramètres!$A$1:$I$89,3,0)*0.475*44/12</f>
        <v>1.4469830032874336E-14</v>
      </c>
      <c r="AX134" s="21">
        <f t="shared" si="114"/>
        <v>1.0815600843262698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69.29290471674625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1.7053025658242404E-13</v>
      </c>
      <c r="BE134" s="13">
        <f>BD134*VLOOKUP('Données projet'!$B$11,Paramètres!$A$1:$I$89,3,0)*VLOOKUP('Données projet'!$B$11,Paramètres!$A$1:$I$89,5,0)</f>
        <v>1.3301360013429075E-13</v>
      </c>
      <c r="BF134" s="13">
        <f t="shared" si="145"/>
        <v>1.9329766731057041E-12</v>
      </c>
      <c r="BG134" s="20">
        <f t="shared" si="115"/>
        <v>3.5982663925596575E-12</v>
      </c>
      <c r="BH134" s="59">
        <f t="shared" si="116"/>
        <v>290.74065062807313</v>
      </c>
      <c r="BI134" s="59">
        <f ca="1">AVERAGE(OFFSET($BH$3,0,0,'Données projet'!$E$11+1,1))-AVERAGE(OFFSET($H$3,0,0,'Données projet'!$E$11+1,1))</f>
        <v>383.03154033422328</v>
      </c>
      <c r="BJ134" s="59">
        <f t="shared" si="146"/>
        <v>373.27897156169877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0.19565376826538416</v>
      </c>
      <c r="BQ134" s="21">
        <f>EXP(-LN(2)/25)*BQ133+(1-EXP(-LN(2)/25))/(LN(2)/25)*Calculateur!BL134*Calculateur!BN134*VLOOKUP('Données projet'!$B$11,Paramètres!$A$1:$I$89,3,0)*0.475*44/12</f>
        <v>0.50886404268336882</v>
      </c>
      <c r="BR134" s="21">
        <f>EXP(-LN(2)/2)*BR133+(1-EXP(-LN(2)/2))/(LN(2)/2)*BL134*BO134*VLOOKUP('Données projet'!$B$11,Paramètres!$A$1:$I$89,3,0)*0.475*44/12</f>
        <v>8.2091842043531118E-15</v>
      </c>
      <c r="BS134" s="22">
        <f t="shared" si="117"/>
        <v>0.7045178109487612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69.29290471674625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-3.4106051316484809E-13</v>
      </c>
      <c r="BZ134" s="13">
        <f>BY134*VLOOKUP('Données projet'!$B$12,Paramètres!$A$1:$I$89,3,0)*VLOOKUP('Données projet'!$B$12,Paramètres!$A$1:$I$89,5,0)</f>
        <v>-2.8730937629006804E-13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449.94334483948603</v>
      </c>
      <c r="CE134" s="59">
        <f t="shared" si="148"/>
        <v>318.02929110264176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0.30341384371001123</v>
      </c>
      <c r="CL134" s="21">
        <f>EXP(-LN(2)/25)*CL133+(1-EXP(-LN(2)/25))/(LN(2)/25)*Calculateur!CG134*Calculateur!CI134*VLOOKUP('Données projet'!$B$12,Paramètres!$A$1:$I$89,3,0)*0.475*44/12</f>
        <v>0.63859010070317912</v>
      </c>
      <c r="CM134" s="21">
        <f>EXP(-LN(2)/2)*CM133+(1-EXP(-LN(2)/2))/(LN(2)/2)*CG134*CJ134*VLOOKUP('Données projet'!$B$12,Paramètres!$A$1:$I$89,3,0)*0.475*44/12</f>
        <v>1.2602755189922822E-14</v>
      </c>
      <c r="CN134" s="22">
        <f t="shared" si="120"/>
        <v>0.94200394441320301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69.29290471674625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3.7</v>
      </c>
      <c r="CT134" s="12">
        <f>IF('Données projet'!$A$140&gt;35,CT133+CS134-DB133,IF(A134&lt;'Données projet'!$A$140,$CQ$205^A134,IF(A134='Données projet'!$A$140,'Données projet'!$B$140,CT133+CS134-DB133)))</f>
        <v>423.70000000000022</v>
      </c>
      <c r="CU134" s="17">
        <f>CT134*VLOOKUP('Données projet'!$B$13,Paramètres!$A$1:$I$89,3,0)*VLOOKUP('Données projet'!$B$13,Paramètres!$A$1:$I$89,5,0)</f>
        <v>363.53460000000024</v>
      </c>
      <c r="CV134" s="13">
        <f t="shared" si="149"/>
        <v>84.343242139534738</v>
      </c>
      <c r="CW134" s="20">
        <f t="shared" si="121"/>
        <v>780.05390839302345</v>
      </c>
      <c r="CX134" s="59">
        <f t="shared" si="122"/>
        <v>1070.7945590210929</v>
      </c>
      <c r="CY134" s="59">
        <f ca="1">AVERAGE(OFFSET($CX$3,0,0,'Données projet'!$E$13+1,1))-AVERAGE(OFFSET($H$3,0,0,'Données projet'!$E$13+1,1))</f>
        <v>565.32667500225568</v>
      </c>
      <c r="CZ134" s="59">
        <f t="shared" si="150"/>
        <v>275.06957234480944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0</v>
      </c>
      <c r="DG134" s="21">
        <f>EXP(-LN(2)/25)*DG133+(1-EXP(-LN(2)/25))/(LN(2)/25)*Calculateur!DB134*Calculateur!DD134*VLOOKUP('Données projet'!$B$13,Paramètres!$A$1:$I$89,3,0)*0.475*44/12</f>
        <v>0.26634452893478994</v>
      </c>
      <c r="DH134" s="21">
        <f>EXP(-LN(2)/2)*DH133+(1-EXP(-LN(2)/2))/(LN(2)/2)*DB134*DE134*VLOOKUP('Données projet'!$B$13,Paramètres!$A$1:$I$89,3,0)*0.475*44/12</f>
        <v>4.4487177530408338E-15</v>
      </c>
      <c r="DI134" s="22">
        <f t="shared" si="123"/>
        <v>0.26634452893479438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69.29290471674625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-1.2505552149377763E-12</v>
      </c>
      <c r="DP134" s="17">
        <f>DO134*VLOOKUP('Données projet'!$B$14,Paramètres!$A$1:$I$89,3,0)*VLOOKUP('Données projet'!$B$14,Paramètres!$A$1:$I$89,5,0)</f>
        <v>-6.9906036515021697E-13</v>
      </c>
      <c r="DQ134" s="13" t="e">
        <f t="shared" si="151"/>
        <v>#NUM!</v>
      </c>
      <c r="DR134" s="20" t="e">
        <f t="shared" si="124"/>
        <v>#NUM!</v>
      </c>
      <c r="DS134" s="59" t="e">
        <f t="shared" si="125"/>
        <v>#NUM!</v>
      </c>
      <c r="DT134" s="59">
        <f ca="1">AVERAGE(OFFSET($DS$3,0,0,'Données projet'!$E$14+1,1))-AVERAGE(OFFSET($H$3,0,0,'Données projet'!$E$14+1,1))</f>
        <v>532.64469322244281</v>
      </c>
      <c r="DU134" s="59">
        <f t="shared" si="152"/>
        <v>525.88014011096413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1.5451630929676523</v>
      </c>
      <c r="EB134" s="21">
        <f>EXP(-LN(2)/25)*EB133+(1-EXP(-LN(2)/25))/(LN(2)/25)*Calculateur!DW134*Calculateur!DY134*VLOOKUP('Données projet'!$B$14,Paramètres!$A$1:$I$89,3,0)*0.475*44/12</f>
        <v>2.3562207498430938</v>
      </c>
      <c r="EC134" s="21">
        <f>EXP(-LN(2)/2)*EC133+(1-EXP(-LN(2)/2))/(LN(2)/2)*DW134*DZ134*VLOOKUP('Données projet'!$B$14,Paramètres!$A$1:$I$89,3,0)*0.475*44/12</f>
        <v>2.2905696628189202E-14</v>
      </c>
      <c r="ED134" s="22">
        <f t="shared" si="126"/>
        <v>3.9013838428107692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69.29290471674625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-1.1368683772161603E-13</v>
      </c>
      <c r="EK134" s="17">
        <f>EJ134*VLOOKUP('Données projet'!$B$15,Paramètres!$A$1:$I$89,3,0)*VLOOKUP('Données projet'!$B$15,Paramètres!$A$1:$I$89,5,0)</f>
        <v>-1.0286385077051818E-13</v>
      </c>
      <c r="EL134" s="13" t="e">
        <f t="shared" si="153"/>
        <v>#NUM!</v>
      </c>
      <c r="EM134" s="20" t="e">
        <f t="shared" si="127"/>
        <v>#NUM!</v>
      </c>
      <c r="EN134" s="59" t="e">
        <f t="shared" si="128"/>
        <v>#NUM!</v>
      </c>
      <c r="EO134" s="59">
        <f ca="1">AVERAGE(OFFSET($EN$3,0,0,'Données projet'!$E$15+1,1))-AVERAGE(OFFSET($H$3,0,0,'Données projet'!$E$15+1,1))</f>
        <v>398.27843768730202</v>
      </c>
      <c r="EP134" s="59">
        <f t="shared" si="154"/>
        <v>252.3617347568813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0</v>
      </c>
      <c r="EW134" s="21">
        <f>EXP(-LN(2)/25)*EW133+(1-EXP(-LN(2)/25))/(LN(2)/25)*Calculateur!ER134*Calculateur!ET134*VLOOKUP('Données projet'!$B$15,Paramètres!$A$1:$I$89,3,0)*0.475*44/12</f>
        <v>0.18881288311431174</v>
      </c>
      <c r="EX134" s="21">
        <f>EXP(-LN(2)/2)*EX133+(1-EXP(-LN(2)/2))/(LN(2)/2)*ER134*EU134*VLOOKUP('Données projet'!$B$15,Paramètres!$A$1:$I$89,3,0)*0.475*44/12</f>
        <v>3.8871393561634708E-15</v>
      </c>
      <c r="EY134" s="22">
        <f t="shared" si="129"/>
        <v>0.18881288311431563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69.29290471674625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-1.1368683772161603E-13</v>
      </c>
      <c r="FF134" s="17">
        <f>FE134*VLOOKUP('Données projet'!$B$16,Paramètres!$A$1:$I$89,3,0)*VLOOKUP('Données projet'!$B$16,Paramètres!$A$1:$I$89,5,0)</f>
        <v>-1.0995790944434703E-13</v>
      </c>
      <c r="FG134" s="13" t="e">
        <f t="shared" si="155"/>
        <v>#NUM!</v>
      </c>
      <c r="FH134" s="20" t="e">
        <f t="shared" si="130"/>
        <v>#NUM!</v>
      </c>
      <c r="FI134" s="59" t="e">
        <f t="shared" si="131"/>
        <v>#NUM!</v>
      </c>
      <c r="FJ134" s="59">
        <f ca="1">AVERAGE(OFFSET($FI$3,0,0,'Données projet'!$E$16+1,1))-AVERAGE(OFFSET($H$3,0,0,'Données projet'!$E$16+1,1))</f>
        <v>422.28024471365825</v>
      </c>
      <c r="FK134" s="59">
        <f t="shared" si="156"/>
        <v>266.49730479813206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0</v>
      </c>
      <c r="FR134" s="21">
        <f>EXP(-LN(2)/25)*FR133+(1-EXP(-LN(2)/25))/(LN(2)/25)*Calculateur!FM134*Calculateur!FO134*VLOOKUP('Données projet'!$B$16,Paramètres!$A$1:$I$89,3,0)*0.475*44/12</f>
        <v>0.20183446126012619</v>
      </c>
      <c r="FS134" s="21">
        <f>EXP(-LN(2)/2)*FS133+(1-EXP(-LN(2)/2))/(LN(2)/2)*FM134*FP134*VLOOKUP('Données projet'!$B$16,Paramètres!$A$1:$I$89,3,0)*0.475*44/12</f>
        <v>4.1552179324506059E-15</v>
      </c>
      <c r="FT134" s="22">
        <f t="shared" si="132"/>
        <v>0.20183446126013035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69.29290471674625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3.4106051316484809E-13</v>
      </c>
      <c r="GA134" s="17">
        <f>FZ134*VLOOKUP('Données projet'!$B$17,Paramètres!$A$1:$I$89,3,0)*VLOOKUP('Données projet'!$B$17,Paramètres!$A$1:$I$89,5,0)</f>
        <v>2.6602720026858149E-13</v>
      </c>
      <c r="GB134" s="13">
        <f t="shared" si="157"/>
        <v>3.5662905043956649E-12</v>
      </c>
      <c r="GC134" s="20">
        <f t="shared" si="133"/>
        <v>6.6746200022902298E-12</v>
      </c>
      <c r="GD134" s="59">
        <f t="shared" si="134"/>
        <v>290.7406506280762</v>
      </c>
      <c r="GE134" s="59">
        <f ca="1">AVERAGE(OFFSET($GD$3,0,0,'Données projet'!$E$17+1,1))-AVERAGE(OFFSET($H$3,0,0,'Données projet'!$E$17+1,1))</f>
        <v>300.95722646933314</v>
      </c>
      <c r="GF134" s="59">
        <f t="shared" si="158"/>
        <v>269.52365224623759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>
        <f>EXP(-LN(2)/35)*GL133+(1-EXP(-LN(2)/35))/(LN(2)/35)*GH134*GI134*VLOOKUP('Données projet'!$B$17,Paramètres!$A$1:$I$89,3,0)*0.475*44/12</f>
        <v>0.12040231893254408</v>
      </c>
      <c r="GM134" s="21">
        <f>EXP(-LN(2)/25)*GM133+(1-EXP(-LN(2)/25))/(LN(2)/25)*Calculateur!GH134*Calculateur!GJ134*VLOOKUP('Données projet'!$B$17,Paramètres!$A$1:$I$89,3,0)*0.475*44/12</f>
        <v>0.37928386086845089</v>
      </c>
      <c r="GN134" s="21">
        <f>EXP(-LN(2)/2)*GN133+(1-EXP(-LN(2)/2))/(LN(2)/2)*GH134*GK134*VLOOKUP('Données projet'!$B$17,Paramètres!$A$1:$I$89,3,0)*0.475*44/12</f>
        <v>5.5637567887450652E-15</v>
      </c>
      <c r="GO134" s="21">
        <f t="shared" si="135"/>
        <v>0.4996861798010005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69.29290471674625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1.4000000000000001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5.1333333333333337</v>
      </c>
      <c r="H135" s="67">
        <f t="shared" si="110"/>
        <v>236.13333333333335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69.305171239082483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-3.4106051316484809E-13</v>
      </c>
      <c r="O135" s="13">
        <f>N135*VLOOKUP('Données projet'!$B$9,Paramètres!$A$1:$I$89,3,0)*VLOOKUP('Données projet'!$B$9,Paramètres!$A$1:$I$89,5,0)</f>
        <v>-3.0859155231155454E-13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479.46542424895119</v>
      </c>
      <c r="T135" s="59">
        <f t="shared" si="142"/>
        <v>337.96395820277337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0.3194984598396976</v>
      </c>
      <c r="AA135" s="21">
        <f>EXP(-LN(2)/25)*AA134+(1-EXP(-LN(2)/25))/(LN(2)/25)*Calculateur!V135*Calculateur!X135*VLOOKUP('Données projet'!$B$9,Paramètres!$A$1:$I$89,3,0)*0.475*44/12</f>
        <v>0.66713728902615721</v>
      </c>
      <c r="AB135" s="21">
        <f>EXP(-LN(2)/2)*AB134+(1-EXP(-LN(2)/2))/(LN(2)/2)*V135*Y135*VLOOKUP('Données projet'!$B$9,Paramètres!$A$1:$I$89,3,0)*0.475*44/12</f>
        <v>9.5716042976453342E-15</v>
      </c>
      <c r="AC135" s="22">
        <f t="shared" si="111"/>
        <v>0.98663574886586436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69.305171239082483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-3.4106051316484809E-13</v>
      </c>
      <c r="AJ135" s="13">
        <f>AI135*VLOOKUP('Données projet'!$B$10,Paramètres!$A$1:$I$89,3,0)*VLOOKUP('Données projet'!$B$10,Paramètres!$A$1:$I$89,5,0)</f>
        <v>-3.2987372833304104E-13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508.94560627895089</v>
      </c>
      <c r="AO135" s="59">
        <f t="shared" si="144"/>
        <v>357.86868650263034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0.34153283638036663</v>
      </c>
      <c r="AV135" s="21">
        <f>EXP(-LN(2)/25)*AV134+(1-EXP(-LN(2)/25))/(LN(2)/25)*Calculateur!AQ135*Calculateur!AS135*VLOOKUP('Données projet'!$B$10,Paramètres!$A$1:$I$89,3,0)*0.475*44/12</f>
        <v>0.71314675723485776</v>
      </c>
      <c r="AW135" s="21">
        <f>EXP(-LN(2)/2)*AW134+(1-EXP(-LN(2)/2))/(LN(2)/2)*AQ135*AT135*VLOOKUP('Données projet'!$B$10,Paramètres!$A$1:$I$89,3,0)*0.475*44/12</f>
        <v>1.0231714938862207E-14</v>
      </c>
      <c r="AX135" s="21">
        <f t="shared" si="114"/>
        <v>1.0546795936152347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69.305171239082483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1.7053025658242404E-13</v>
      </c>
      <c r="BE135" s="13">
        <f>BD135*VLOOKUP('Données projet'!$B$11,Paramètres!$A$1:$I$89,3,0)*VLOOKUP('Données projet'!$B$11,Paramètres!$A$1:$I$89,5,0)</f>
        <v>1.3301360013429075E-13</v>
      </c>
      <c r="BF135" s="13">
        <f t="shared" si="145"/>
        <v>1.9329766731057041E-12</v>
      </c>
      <c r="BG135" s="20">
        <f t="shared" si="115"/>
        <v>3.5982663925596575E-12</v>
      </c>
      <c r="BH135" s="59">
        <f t="shared" si="116"/>
        <v>290.78562787663935</v>
      </c>
      <c r="BI135" s="59">
        <f ca="1">AVERAGE(OFFSET($BH$3,0,0,'Données projet'!$E$11+1,1))-AVERAGE(OFFSET($H$3,0,0,'Données projet'!$E$11+1,1))</f>
        <v>383.03154033422328</v>
      </c>
      <c r="BJ135" s="59">
        <f t="shared" si="146"/>
        <v>373.27897156169877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0.19181711720671507</v>
      </c>
      <c r="BQ135" s="21">
        <f>EXP(-LN(2)/25)*BQ134+(1-EXP(-LN(2)/25))/(LN(2)/25)*Calculateur!BL135*Calculateur!BN135*VLOOKUP('Données projet'!$B$11,Paramètres!$A$1:$I$89,3,0)*0.475*44/12</f>
        <v>0.49494912867619512</v>
      </c>
      <c r="BR135" s="21">
        <f>EXP(-LN(2)/2)*BR134+(1-EXP(-LN(2)/2))/(LN(2)/2)*BL135*BO135*VLOOKUP('Données projet'!$B$11,Paramètres!$A$1:$I$89,3,0)*0.475*44/12</f>
        <v>5.8047698189075782E-15</v>
      </c>
      <c r="BS135" s="22">
        <f t="shared" si="117"/>
        <v>0.68676624588291602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69.305171239082483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-3.4106051316484809E-13</v>
      </c>
      <c r="BZ135" s="13">
        <f>BY135*VLOOKUP('Données projet'!$B$12,Paramètres!$A$1:$I$89,3,0)*VLOOKUP('Données projet'!$B$12,Paramètres!$A$1:$I$89,5,0)</f>
        <v>-2.8730937629006804E-13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449.94334483948603</v>
      </c>
      <c r="CE135" s="59">
        <f t="shared" si="148"/>
        <v>318.02929110264176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0.29746408329902901</v>
      </c>
      <c r="CL135" s="21">
        <f>EXP(-LN(2)/25)*CL134+(1-EXP(-LN(2)/25))/(LN(2)/25)*Calculateur!CG135*Calculateur!CI135*VLOOKUP('Données projet'!$B$12,Paramètres!$A$1:$I$89,3,0)*0.475*44/12</f>
        <v>0.62112782081745677</v>
      </c>
      <c r="CM135" s="21">
        <f>EXP(-LN(2)/2)*CM134+(1-EXP(-LN(2)/2))/(LN(2)/2)*CG135*CJ135*VLOOKUP('Données projet'!$B$12,Paramètres!$A$1:$I$89,3,0)*0.475*44/12</f>
        <v>8.9114936564283827E-15</v>
      </c>
      <c r="CN135" s="22">
        <f t="shared" si="120"/>
        <v>0.91859190411649472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69.305171239082483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3.7</v>
      </c>
      <c r="CT135" s="12">
        <f>IF('Données projet'!$A$140&gt;35,CT134+CS135-DB134,IF(A135&lt;'Données projet'!$A$140,$CQ$205^A135,IF(A135='Données projet'!$A$140,'Données projet'!$B$140,CT134+CS135-DB134)))</f>
        <v>427.4000000000002</v>
      </c>
      <c r="CU135" s="17">
        <f>CT135*VLOOKUP('Données projet'!$B$13,Paramètres!$A$1:$I$89,3,0)*VLOOKUP('Données projet'!$B$13,Paramètres!$A$1:$I$89,5,0)</f>
        <v>366.70920000000024</v>
      </c>
      <c r="CV135" s="13">
        <f t="shared" si="149"/>
        <v>84.993715016328395</v>
      </c>
      <c r="CW135" s="20">
        <f t="shared" si="121"/>
        <v>786.71591032010565</v>
      </c>
      <c r="CX135" s="59">
        <f t="shared" si="122"/>
        <v>1077.5015381967414</v>
      </c>
      <c r="CY135" s="59">
        <f ca="1">AVERAGE(OFFSET($CX$3,0,0,'Données projet'!$E$13+1,1))-AVERAGE(OFFSET($H$3,0,0,'Données projet'!$E$13+1,1))</f>
        <v>565.32667500225568</v>
      </c>
      <c r="CZ135" s="59">
        <f t="shared" si="150"/>
        <v>275.06957234480944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0</v>
      </c>
      <c r="DG135" s="21">
        <f>EXP(-LN(2)/25)*DG134+(1-EXP(-LN(2)/25))/(LN(2)/25)*Calculateur!DB135*Calculateur!DD135*VLOOKUP('Données projet'!$B$13,Paramètres!$A$1:$I$89,3,0)*0.475*44/12</f>
        <v>0.25906132378461805</v>
      </c>
      <c r="DH135" s="21">
        <f>EXP(-LN(2)/2)*DH134+(1-EXP(-LN(2)/2))/(LN(2)/2)*DB135*DE135*VLOOKUP('Données projet'!$B$13,Paramètres!$A$1:$I$89,3,0)*0.475*44/12</f>
        <v>3.1457184907601543E-15</v>
      </c>
      <c r="DI135" s="22">
        <f t="shared" si="123"/>
        <v>0.25906132378462121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69.305171239082483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-1.2505552149377763E-12</v>
      </c>
      <c r="DP135" s="17">
        <f>DO135*VLOOKUP('Données projet'!$B$14,Paramètres!$A$1:$I$89,3,0)*VLOOKUP('Données projet'!$B$14,Paramètres!$A$1:$I$89,5,0)</f>
        <v>-6.9906036515021697E-13</v>
      </c>
      <c r="DQ135" s="13" t="e">
        <f t="shared" si="151"/>
        <v>#NUM!</v>
      </c>
      <c r="DR135" s="20" t="e">
        <f t="shared" si="124"/>
        <v>#NUM!</v>
      </c>
      <c r="DS135" s="59" t="e">
        <f t="shared" si="125"/>
        <v>#NUM!</v>
      </c>
      <c r="DT135" s="59">
        <f ca="1">AVERAGE(OFFSET($DS$3,0,0,'Données projet'!$E$14+1,1))-AVERAGE(OFFSET($H$3,0,0,'Données projet'!$E$14+1,1))</f>
        <v>532.64469322244281</v>
      </c>
      <c r="DU135" s="59">
        <f t="shared" si="152"/>
        <v>525.88014011096413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1.5148633871709836</v>
      </c>
      <c r="EB135" s="21">
        <f>EXP(-LN(2)/25)*EB134+(1-EXP(-LN(2)/25))/(LN(2)/25)*Calculateur!DW135*Calculateur!DY135*VLOOKUP('Données projet'!$B$14,Paramètres!$A$1:$I$89,3,0)*0.475*44/12</f>
        <v>2.2917897695303706</v>
      </c>
      <c r="EC135" s="21">
        <f>EXP(-LN(2)/2)*EC134+(1-EXP(-LN(2)/2))/(LN(2)/2)*DW135*DZ135*VLOOKUP('Données projet'!$B$14,Paramètres!$A$1:$I$89,3,0)*0.475*44/12</f>
        <v>1.6196773413594421E-14</v>
      </c>
      <c r="ED135" s="22">
        <f t="shared" si="126"/>
        <v>3.8066531567013699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69.305171239082483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-1.1368683772161603E-13</v>
      </c>
      <c r="EK135" s="17">
        <f>EJ135*VLOOKUP('Données projet'!$B$15,Paramètres!$A$1:$I$89,3,0)*VLOOKUP('Données projet'!$B$15,Paramètres!$A$1:$I$89,5,0)</f>
        <v>-1.0286385077051818E-13</v>
      </c>
      <c r="EL135" s="13" t="e">
        <f t="shared" si="153"/>
        <v>#NUM!</v>
      </c>
      <c r="EM135" s="20" t="e">
        <f t="shared" si="127"/>
        <v>#NUM!</v>
      </c>
      <c r="EN135" s="59" t="e">
        <f t="shared" si="128"/>
        <v>#NUM!</v>
      </c>
      <c r="EO135" s="59">
        <f ca="1">AVERAGE(OFFSET($EN$3,0,0,'Données projet'!$E$15+1,1))-AVERAGE(OFFSET($H$3,0,0,'Données projet'!$E$15+1,1))</f>
        <v>398.27843768730202</v>
      </c>
      <c r="EP135" s="59">
        <f t="shared" si="154"/>
        <v>252.3617347568813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0</v>
      </c>
      <c r="EW135" s="21">
        <f>EXP(-LN(2)/25)*EW134+(1-EXP(-LN(2)/25))/(LN(2)/25)*Calculateur!ER135*Calculateur!ET135*VLOOKUP('Données projet'!$B$15,Paramètres!$A$1:$I$89,3,0)*0.475*44/12</f>
        <v>0.1836497848963129</v>
      </c>
      <c r="EX135" s="21">
        <f>EXP(-LN(2)/2)*EX134+(1-EXP(-LN(2)/2))/(LN(2)/2)*ER135*EU135*VLOOKUP('Données projet'!$B$15,Paramètres!$A$1:$I$89,3,0)*0.475*44/12</f>
        <v>2.7486225981603006E-15</v>
      </c>
      <c r="EY135" s="22">
        <f t="shared" si="129"/>
        <v>0.18364978489631564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69.305171239082483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-1.1368683772161603E-13</v>
      </c>
      <c r="FF135" s="17">
        <f>FE135*VLOOKUP('Données projet'!$B$16,Paramètres!$A$1:$I$89,3,0)*VLOOKUP('Données projet'!$B$16,Paramètres!$A$1:$I$89,5,0)</f>
        <v>-1.0995790944434703E-13</v>
      </c>
      <c r="FG135" s="13" t="e">
        <f t="shared" si="155"/>
        <v>#NUM!</v>
      </c>
      <c r="FH135" s="20" t="e">
        <f t="shared" si="130"/>
        <v>#NUM!</v>
      </c>
      <c r="FI135" s="59" t="e">
        <f t="shared" si="131"/>
        <v>#NUM!</v>
      </c>
      <c r="FJ135" s="59">
        <f ca="1">AVERAGE(OFFSET($FI$3,0,0,'Données projet'!$E$16+1,1))-AVERAGE(OFFSET($H$3,0,0,'Données projet'!$E$16+1,1))</f>
        <v>422.28024471365825</v>
      </c>
      <c r="FK135" s="59">
        <f t="shared" si="156"/>
        <v>266.49730479813206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0</v>
      </c>
      <c r="FR135" s="21">
        <f>EXP(-LN(2)/25)*FR134+(1-EXP(-LN(2)/25))/(LN(2)/25)*Calculateur!FM135*Calculateur!FO135*VLOOKUP('Données projet'!$B$16,Paramètres!$A$1:$I$89,3,0)*0.475*44/12</f>
        <v>0.19631528730295503</v>
      </c>
      <c r="FS135" s="21">
        <f>EXP(-LN(2)/2)*FS134+(1-EXP(-LN(2)/2))/(LN(2)/2)*FM135*FP135*VLOOKUP('Données projet'!$B$16,Paramètres!$A$1:$I$89,3,0)*0.475*44/12</f>
        <v>2.9381827773437691E-15</v>
      </c>
      <c r="FT135" s="22">
        <f t="shared" si="132"/>
        <v>0.19631528730295797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69.305171239082483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3.4106051316484809E-13</v>
      </c>
      <c r="GA135" s="17">
        <f>FZ135*VLOOKUP('Données projet'!$B$17,Paramètres!$A$1:$I$89,3,0)*VLOOKUP('Données projet'!$B$17,Paramètres!$A$1:$I$89,5,0)</f>
        <v>2.6602720026858149E-13</v>
      </c>
      <c r="GB135" s="13">
        <f t="shared" si="157"/>
        <v>3.5662905043956649E-12</v>
      </c>
      <c r="GC135" s="20">
        <f t="shared" si="133"/>
        <v>6.6746200022902298E-12</v>
      </c>
      <c r="GD135" s="59">
        <f t="shared" si="134"/>
        <v>290.78562787664242</v>
      </c>
      <c r="GE135" s="59">
        <f ca="1">AVERAGE(OFFSET($GD$3,0,0,'Données projet'!$E$17+1,1))-AVERAGE(OFFSET($H$3,0,0,'Données projet'!$E$17+1,1))</f>
        <v>300.95722646933314</v>
      </c>
      <c r="GF135" s="59">
        <f t="shared" si="158"/>
        <v>269.52365224623759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>
        <f>EXP(-LN(2)/35)*GL134+(1-EXP(-LN(2)/35))/(LN(2)/35)*GH135*GI135*VLOOKUP('Données projet'!$B$17,Paramètres!$A$1:$I$89,3,0)*0.475*44/12</f>
        <v>0.11804130289644002</v>
      </c>
      <c r="GM135" s="21">
        <f>EXP(-LN(2)/25)*GM134+(1-EXP(-LN(2)/25))/(LN(2)/25)*Calculateur!GH135*Calculateur!GJ135*VLOOKUP('Données projet'!$B$17,Paramètres!$A$1:$I$89,3,0)*0.475*44/12</f>
        <v>0.36891232374733174</v>
      </c>
      <c r="GN135" s="21">
        <f>EXP(-LN(2)/2)*GN134+(1-EXP(-LN(2)/2))/(LN(2)/2)*GH135*GK135*VLOOKUP('Données projet'!$B$17,Paramètres!$A$1:$I$89,3,0)*0.475*44/12</f>
        <v>3.9341701541943251E-15</v>
      </c>
      <c r="GO135" s="21">
        <f t="shared" si="135"/>
        <v>0.48695362664377567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69.305171239082483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1.4000000000000001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5.1333333333333337</v>
      </c>
      <c r="H136" s="67">
        <f t="shared" si="110"/>
        <v>236.13333333333335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69.317224964680008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-3.4106051316484809E-13</v>
      </c>
      <c r="O136" s="13">
        <f>N136*VLOOKUP('Données projet'!$B$9,Paramètres!$A$1:$I$89,3,0)*VLOOKUP('Données projet'!$B$9,Paramètres!$A$1:$I$89,5,0)</f>
        <v>-3.0859155231155454E-13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479.46542424895119</v>
      </c>
      <c r="T136" s="59">
        <f t="shared" si="142"/>
        <v>337.96395820277337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0.31323328991705934</v>
      </c>
      <c r="AA136" s="21">
        <f>EXP(-LN(2)/25)*AA135+(1-EXP(-LN(2)/25))/(LN(2)/25)*Calculateur!V136*Calculateur!X136*VLOOKUP('Données projet'!$B$9,Paramètres!$A$1:$I$89,3,0)*0.475*44/12</f>
        <v>0.64889438477451167</v>
      </c>
      <c r="AB136" s="21">
        <f>EXP(-LN(2)/2)*AB135+(1-EXP(-LN(2)/2))/(LN(2)/2)*V136*Y136*VLOOKUP('Données projet'!$B$9,Paramètres!$A$1:$I$89,3,0)*0.475*44/12</f>
        <v>6.7681463056993173E-15</v>
      </c>
      <c r="AC136" s="22">
        <f t="shared" si="111"/>
        <v>0.96212767469157778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69.317224964680008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-3.4106051316484809E-13</v>
      </c>
      <c r="AJ136" s="13">
        <f>AI136*VLOOKUP('Données projet'!$B$10,Paramètres!$A$1:$I$89,3,0)*VLOOKUP('Données projet'!$B$10,Paramètres!$A$1:$I$89,5,0)</f>
        <v>-3.2987372833304104E-13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508.94560627895089</v>
      </c>
      <c r="AO136" s="59">
        <f t="shared" si="144"/>
        <v>357.86868650263034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0.3348355857734085</v>
      </c>
      <c r="AV136" s="21">
        <f>EXP(-LN(2)/25)*AV135+(1-EXP(-LN(2)/25))/(LN(2)/25)*Calculateur!AQ136*Calculateur!AS136*VLOOKUP('Données projet'!$B$10,Paramètres!$A$1:$I$89,3,0)*0.475*44/12</f>
        <v>0.69364572165551253</v>
      </c>
      <c r="AW136" s="21">
        <f>EXP(-LN(2)/2)*AW135+(1-EXP(-LN(2)/2))/(LN(2)/2)*AQ136*AT136*VLOOKUP('Données projet'!$B$10,Paramètres!$A$1:$I$89,3,0)*0.475*44/12</f>
        <v>7.2349150164371678E-15</v>
      </c>
      <c r="AX136" s="21">
        <f t="shared" si="114"/>
        <v>1.0284813074289283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69.317224964680008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1.7053025658242404E-13</v>
      </c>
      <c r="BE136" s="13">
        <f>BD136*VLOOKUP('Données projet'!$B$11,Paramètres!$A$1:$I$89,3,0)*VLOOKUP('Données projet'!$B$11,Paramètres!$A$1:$I$89,5,0)</f>
        <v>1.3301360013429075E-13</v>
      </c>
      <c r="BF136" s="13">
        <f t="shared" si="145"/>
        <v>1.9329766731057041E-12</v>
      </c>
      <c r="BG136" s="20">
        <f t="shared" si="115"/>
        <v>3.5982663925596575E-12</v>
      </c>
      <c r="BH136" s="59">
        <f t="shared" si="116"/>
        <v>290.82982487049696</v>
      </c>
      <c r="BI136" s="59">
        <f ca="1">AVERAGE(OFFSET($BH$3,0,0,'Données projet'!$E$11+1,1))-AVERAGE(OFFSET($H$3,0,0,'Données projet'!$E$11+1,1))</f>
        <v>383.03154033422328</v>
      </c>
      <c r="BJ136" s="59">
        <f t="shared" si="146"/>
        <v>373.27897156169877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0.18805570053518039</v>
      </c>
      <c r="BQ136" s="21">
        <f>EXP(-LN(2)/25)*BQ135+(1-EXP(-LN(2)/25))/(LN(2)/25)*Calculateur!BL136*Calculateur!BN136*VLOOKUP('Données projet'!$B$11,Paramètres!$A$1:$I$89,3,0)*0.475*44/12</f>
        <v>0.48141471872430108</v>
      </c>
      <c r="BR136" s="21">
        <f>EXP(-LN(2)/2)*BR135+(1-EXP(-LN(2)/2))/(LN(2)/2)*BL136*BO136*VLOOKUP('Données projet'!$B$11,Paramètres!$A$1:$I$89,3,0)*0.475*44/12</f>
        <v>4.1045921021765559E-15</v>
      </c>
      <c r="BS136" s="22">
        <f t="shared" si="117"/>
        <v>0.66947041925948558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69.317224964680008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-3.4106051316484809E-13</v>
      </c>
      <c r="BZ136" s="13">
        <f>BY136*VLOOKUP('Données projet'!$B$12,Paramètres!$A$1:$I$89,3,0)*VLOOKUP('Données projet'!$B$12,Paramètres!$A$1:$I$89,5,0)</f>
        <v>-2.8730937629006804E-13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449.94334483948603</v>
      </c>
      <c r="CE136" s="59">
        <f t="shared" si="148"/>
        <v>318.02929110264176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0.29163099406071064</v>
      </c>
      <c r="CL136" s="21">
        <f>EXP(-LN(2)/25)*CL135+(1-EXP(-LN(2)/25))/(LN(2)/25)*Calculateur!CG136*Calculateur!CI136*VLOOKUP('Données projet'!$B$12,Paramètres!$A$1:$I$89,3,0)*0.475*44/12</f>
        <v>0.60414304789351092</v>
      </c>
      <c r="CM136" s="21">
        <f>EXP(-LN(2)/2)*CM135+(1-EXP(-LN(2)/2))/(LN(2)/2)*CG136*CJ136*VLOOKUP('Données projet'!$B$12,Paramètres!$A$1:$I$89,3,0)*0.475*44/12</f>
        <v>6.3013775949614108E-15</v>
      </c>
      <c r="CN136" s="22">
        <f t="shared" si="120"/>
        <v>0.89577404195422783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69.317224964680008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3.7</v>
      </c>
      <c r="CT136" s="12">
        <f>IF('Données projet'!$A$140&gt;35,CT135+CS136-DB135,IF(A136&lt;'Données projet'!$A$140,$CQ$205^A136,IF(A136='Données projet'!$A$140,'Données projet'!$B$140,CT135+CS136-DB135)))</f>
        <v>431.10000000000019</v>
      </c>
      <c r="CU136" s="17">
        <f>CT136*VLOOKUP('Données projet'!$B$13,Paramètres!$A$1:$I$89,3,0)*VLOOKUP('Données projet'!$B$13,Paramètres!$A$1:$I$89,5,0)</f>
        <v>369.88380000000024</v>
      </c>
      <c r="CV136" s="13">
        <f t="shared" si="149"/>
        <v>85.643532749796336</v>
      </c>
      <c r="CW136" s="20">
        <f t="shared" si="121"/>
        <v>793.37677120589569</v>
      </c>
      <c r="CX136" s="59">
        <f t="shared" si="122"/>
        <v>1084.2065960763891</v>
      </c>
      <c r="CY136" s="59">
        <f ca="1">AVERAGE(OFFSET($CX$3,0,0,'Données projet'!$E$13+1,1))-AVERAGE(OFFSET($H$3,0,0,'Données projet'!$E$13+1,1))</f>
        <v>565.32667500225568</v>
      </c>
      <c r="CZ136" s="59">
        <f t="shared" si="150"/>
        <v>275.06957234480944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0</v>
      </c>
      <c r="DG136" s="21">
        <f>EXP(-LN(2)/25)*DG135+(1-EXP(-LN(2)/25))/(LN(2)/25)*Calculateur!DB136*Calculateur!DD136*VLOOKUP('Données projet'!$B$13,Paramètres!$A$1:$I$89,3,0)*0.475*44/12</f>
        <v>0.25197727826228472</v>
      </c>
      <c r="DH136" s="21">
        <f>EXP(-LN(2)/2)*DH135+(1-EXP(-LN(2)/2))/(LN(2)/2)*DB136*DE136*VLOOKUP('Données projet'!$B$13,Paramètres!$A$1:$I$89,3,0)*0.475*44/12</f>
        <v>2.2243588765204169E-15</v>
      </c>
      <c r="DI136" s="22">
        <f t="shared" si="123"/>
        <v>0.25197727826228694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69.317224964680008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-1.2505552149377763E-12</v>
      </c>
      <c r="DP136" s="17">
        <f>DO136*VLOOKUP('Données projet'!$B$14,Paramètres!$A$1:$I$89,3,0)*VLOOKUP('Données projet'!$B$14,Paramètres!$A$1:$I$89,5,0)</f>
        <v>-6.9906036515021697E-13</v>
      </c>
      <c r="DQ136" s="13" t="e">
        <f t="shared" si="151"/>
        <v>#NUM!</v>
      </c>
      <c r="DR136" s="20" t="e">
        <f t="shared" si="124"/>
        <v>#NUM!</v>
      </c>
      <c r="DS136" s="59" t="e">
        <f t="shared" si="125"/>
        <v>#NUM!</v>
      </c>
      <c r="DT136" s="59">
        <f ca="1">AVERAGE(OFFSET($DS$3,0,0,'Données projet'!$E$14+1,1))-AVERAGE(OFFSET($H$3,0,0,'Données projet'!$E$14+1,1))</f>
        <v>532.64469322244281</v>
      </c>
      <c r="DU136" s="59">
        <f t="shared" si="152"/>
        <v>525.88014011096413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1.4851578401239918</v>
      </c>
      <c r="EB136" s="21">
        <f>EXP(-LN(2)/25)*EB135+(1-EXP(-LN(2)/25))/(LN(2)/25)*Calculateur!DW136*Calculateur!DY136*VLOOKUP('Données projet'!$B$14,Paramètres!$A$1:$I$89,3,0)*0.475*44/12</f>
        <v>2.2291206577625764</v>
      </c>
      <c r="EC136" s="21">
        <f>EXP(-LN(2)/2)*EC135+(1-EXP(-LN(2)/2))/(LN(2)/2)*DW136*DZ136*VLOOKUP('Données projet'!$B$14,Paramètres!$A$1:$I$89,3,0)*0.475*44/12</f>
        <v>1.1452848314094601E-14</v>
      </c>
      <c r="ED136" s="22">
        <f t="shared" si="126"/>
        <v>3.7142784978865797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69.317224964680008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-1.1368683772161603E-13</v>
      </c>
      <c r="EK136" s="17">
        <f>EJ136*VLOOKUP('Données projet'!$B$15,Paramètres!$A$1:$I$89,3,0)*VLOOKUP('Données projet'!$B$15,Paramètres!$A$1:$I$89,5,0)</f>
        <v>-1.0286385077051818E-13</v>
      </c>
      <c r="EL136" s="13" t="e">
        <f t="shared" si="153"/>
        <v>#NUM!</v>
      </c>
      <c r="EM136" s="20" t="e">
        <f t="shared" si="127"/>
        <v>#NUM!</v>
      </c>
      <c r="EN136" s="59" t="e">
        <f t="shared" si="128"/>
        <v>#NUM!</v>
      </c>
      <c r="EO136" s="59">
        <f ca="1">AVERAGE(OFFSET($EN$3,0,0,'Données projet'!$E$15+1,1))-AVERAGE(OFFSET($H$3,0,0,'Données projet'!$E$15+1,1))</f>
        <v>398.27843768730202</v>
      </c>
      <c r="EP136" s="59">
        <f t="shared" si="154"/>
        <v>252.3617347568813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0</v>
      </c>
      <c r="EW136" s="21">
        <f>EXP(-LN(2)/25)*EW135+(1-EXP(-LN(2)/25))/(LN(2)/25)*Calculateur!ER136*Calculateur!ET136*VLOOKUP('Données projet'!$B$15,Paramètres!$A$1:$I$89,3,0)*0.475*44/12</f>
        <v>0.17862787187060078</v>
      </c>
      <c r="EX136" s="21">
        <f>EXP(-LN(2)/2)*EX135+(1-EXP(-LN(2)/2))/(LN(2)/2)*ER136*EU136*VLOOKUP('Données projet'!$B$15,Paramètres!$A$1:$I$89,3,0)*0.475*44/12</f>
        <v>1.9435696780817354E-15</v>
      </c>
      <c r="EY136" s="22">
        <f t="shared" si="129"/>
        <v>0.17862787187060272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69.317224964680008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-1.1368683772161603E-13</v>
      </c>
      <c r="FF136" s="17">
        <f>FE136*VLOOKUP('Données projet'!$B$16,Paramètres!$A$1:$I$89,3,0)*VLOOKUP('Données projet'!$B$16,Paramètres!$A$1:$I$89,5,0)</f>
        <v>-1.0995790944434703E-13</v>
      </c>
      <c r="FG136" s="13" t="e">
        <f t="shared" si="155"/>
        <v>#NUM!</v>
      </c>
      <c r="FH136" s="20" t="e">
        <f t="shared" si="130"/>
        <v>#NUM!</v>
      </c>
      <c r="FI136" s="59" t="e">
        <f t="shared" si="131"/>
        <v>#NUM!</v>
      </c>
      <c r="FJ136" s="59">
        <f ca="1">AVERAGE(OFFSET($FI$3,0,0,'Données projet'!$E$16+1,1))-AVERAGE(OFFSET($H$3,0,0,'Données projet'!$E$16+1,1))</f>
        <v>422.28024471365825</v>
      </c>
      <c r="FK136" s="59">
        <f t="shared" si="156"/>
        <v>266.49730479813206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0</v>
      </c>
      <c r="FR136" s="21">
        <f>EXP(-LN(2)/25)*FR135+(1-EXP(-LN(2)/25))/(LN(2)/25)*Calculateur!FM136*Calculateur!FO136*VLOOKUP('Données projet'!$B$16,Paramètres!$A$1:$I$89,3,0)*0.475*44/12</f>
        <v>0.19094703544788344</v>
      </c>
      <c r="FS136" s="21">
        <f>EXP(-LN(2)/2)*FS135+(1-EXP(-LN(2)/2))/(LN(2)/2)*FM136*FP136*VLOOKUP('Données projet'!$B$16,Paramètres!$A$1:$I$89,3,0)*0.475*44/12</f>
        <v>2.077608966225303E-15</v>
      </c>
      <c r="FT136" s="22">
        <f t="shared" si="132"/>
        <v>0.19094703544788552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69.317224964680008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3.4106051316484809E-13</v>
      </c>
      <c r="GA136" s="17">
        <f>FZ136*VLOOKUP('Données projet'!$B$17,Paramètres!$A$1:$I$89,3,0)*VLOOKUP('Données projet'!$B$17,Paramètres!$A$1:$I$89,5,0)</f>
        <v>2.6602720026858149E-13</v>
      </c>
      <c r="GB136" s="13">
        <f t="shared" si="157"/>
        <v>3.5662905043956649E-12</v>
      </c>
      <c r="GC136" s="20">
        <f t="shared" si="133"/>
        <v>6.6746200022902298E-12</v>
      </c>
      <c r="GD136" s="59">
        <f t="shared" si="134"/>
        <v>290.82982487050003</v>
      </c>
      <c r="GE136" s="59">
        <f ca="1">AVERAGE(OFFSET($GD$3,0,0,'Données projet'!$E$17+1,1))-AVERAGE(OFFSET($H$3,0,0,'Données projet'!$E$17+1,1))</f>
        <v>300.95722646933314</v>
      </c>
      <c r="GF136" s="59">
        <f t="shared" si="158"/>
        <v>269.52365224623759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>
        <f>EXP(-LN(2)/35)*GL135+(1-EXP(-LN(2)/35))/(LN(2)/35)*GH136*GI136*VLOOKUP('Données projet'!$B$17,Paramètres!$A$1:$I$89,3,0)*0.475*44/12</f>
        <v>0.11572658494472637</v>
      </c>
      <c r="GM136" s="21">
        <f>EXP(-LN(2)/25)*GM135+(1-EXP(-LN(2)/25))/(LN(2)/25)*Calculateur!GH136*Calculateur!GJ136*VLOOKUP('Données projet'!$B$17,Paramètres!$A$1:$I$89,3,0)*0.475*44/12</f>
        <v>0.35882439685420503</v>
      </c>
      <c r="GN136" s="21">
        <f>EXP(-LN(2)/2)*GN135+(1-EXP(-LN(2)/2))/(LN(2)/2)*GH136*GK136*VLOOKUP('Données projet'!$B$17,Paramètres!$A$1:$I$89,3,0)*0.475*44/12</f>
        <v>2.7818783943725326E-15</v>
      </c>
      <c r="GO136" s="21">
        <f t="shared" si="135"/>
        <v>0.47455098179893418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69.317224964680008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1.4000000000000001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5.1333333333333337</v>
      </c>
      <c r="H137" s="67">
        <f t="shared" si="110"/>
        <v>236.13333333333335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69.329069585086501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-3.4106051316484809E-13</v>
      </c>
      <c r="O137" s="13">
        <f>N137*VLOOKUP('Données projet'!$B$9,Paramètres!$A$1:$I$89,3,0)*VLOOKUP('Données projet'!$B$9,Paramètres!$A$1:$I$89,5,0)</f>
        <v>-3.0859155231155454E-13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479.46542424895119</v>
      </c>
      <c r="T137" s="59">
        <f t="shared" si="142"/>
        <v>337.96395820277337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0.30709097615522768</v>
      </c>
      <c r="AA137" s="21">
        <f>EXP(-LN(2)/25)*AA136+(1-EXP(-LN(2)/25))/(LN(2)/25)*Calculateur!V137*Calculateur!X137*VLOOKUP('Données projet'!$B$9,Paramètres!$A$1:$I$89,3,0)*0.475*44/12</f>
        <v>0.63115033369897999</v>
      </c>
      <c r="AB137" s="21">
        <f>EXP(-LN(2)/2)*AB136+(1-EXP(-LN(2)/2))/(LN(2)/2)*V137*Y137*VLOOKUP('Données projet'!$B$9,Paramètres!$A$1:$I$89,3,0)*0.475*44/12</f>
        <v>4.7858021488226671E-15</v>
      </c>
      <c r="AC137" s="22">
        <f t="shared" si="111"/>
        <v>0.9382413098542125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69.329069585086501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-3.4106051316484809E-13</v>
      </c>
      <c r="AJ137" s="13">
        <f>AI137*VLOOKUP('Données projet'!$B$10,Paramètres!$A$1:$I$89,3,0)*VLOOKUP('Données projet'!$B$10,Paramètres!$A$1:$I$89,5,0)</f>
        <v>-3.2987372833304104E-13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508.94560627895089</v>
      </c>
      <c r="AO137" s="59">
        <f t="shared" si="144"/>
        <v>357.86868650263034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0.32826966416593328</v>
      </c>
      <c r="AV137" s="21">
        <f>EXP(-LN(2)/25)*AV136+(1-EXP(-LN(2)/25))/(LN(2)/25)*Calculateur!AQ137*Calculateur!AS137*VLOOKUP('Données projet'!$B$10,Paramètres!$A$1:$I$89,3,0)*0.475*44/12</f>
        <v>0.67467794291959937</v>
      </c>
      <c r="AW137" s="21">
        <f>EXP(-LN(2)/2)*AW136+(1-EXP(-LN(2)/2))/(LN(2)/2)*AQ137*AT137*VLOOKUP('Données projet'!$B$10,Paramètres!$A$1:$I$89,3,0)*0.475*44/12</f>
        <v>5.1158574694311034E-15</v>
      </c>
      <c r="AX137" s="21">
        <f t="shared" si="114"/>
        <v>1.0029476070855379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69.329069585086501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1.7053025658242404E-13</v>
      </c>
      <c r="BE137" s="13">
        <f>BD137*VLOOKUP('Données projet'!$B$11,Paramètres!$A$1:$I$89,3,0)*VLOOKUP('Données projet'!$B$11,Paramètres!$A$1:$I$89,5,0)</f>
        <v>1.3301360013429075E-13</v>
      </c>
      <c r="BF137" s="13">
        <f t="shared" si="145"/>
        <v>1.9329766731057041E-12</v>
      </c>
      <c r="BG137" s="20">
        <f t="shared" si="115"/>
        <v>3.5982663925596575E-12</v>
      </c>
      <c r="BH137" s="59">
        <f t="shared" si="116"/>
        <v>290.87325514532074</v>
      </c>
      <c r="BI137" s="59">
        <f ca="1">AVERAGE(OFFSET($BH$3,0,0,'Données projet'!$E$11+1,1))-AVERAGE(OFFSET($H$3,0,0,'Données projet'!$E$11+1,1))</f>
        <v>383.03154033422328</v>
      </c>
      <c r="BJ137" s="59">
        <f t="shared" si="146"/>
        <v>373.27897156169877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0.18436804295033687</v>
      </c>
      <c r="BQ137" s="21">
        <f>EXP(-LN(2)/25)*BQ136+(1-EXP(-LN(2)/25))/(LN(2)/25)*Calculateur!BL137*Calculateur!BN137*VLOOKUP('Données projet'!$B$11,Paramètres!$A$1:$I$89,3,0)*0.475*44/12</f>
        <v>0.46825040792428529</v>
      </c>
      <c r="BR137" s="21">
        <f>EXP(-LN(2)/2)*BR136+(1-EXP(-LN(2)/2))/(LN(2)/2)*BL137*BO137*VLOOKUP('Données projet'!$B$11,Paramètres!$A$1:$I$89,3,0)*0.475*44/12</f>
        <v>2.9023849094537891E-15</v>
      </c>
      <c r="BS137" s="22">
        <f t="shared" si="117"/>
        <v>0.65261845087462511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69.329069585086501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-3.4106051316484809E-13</v>
      </c>
      <c r="BZ137" s="13">
        <f>BY137*VLOOKUP('Données projet'!$B$12,Paramètres!$A$1:$I$89,3,0)*VLOOKUP('Données projet'!$B$12,Paramètres!$A$1:$I$89,5,0)</f>
        <v>-2.8730937629006804E-13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449.94334483948603</v>
      </c>
      <c r="CE137" s="59">
        <f t="shared" si="148"/>
        <v>318.02929110264176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0.28591228814452258</v>
      </c>
      <c r="CL137" s="21">
        <f>EXP(-LN(2)/25)*CL136+(1-EXP(-LN(2)/25))/(LN(2)/25)*Calculateur!CG137*Calculateur!CI137*VLOOKUP('Données projet'!$B$12,Paramètres!$A$1:$I$89,3,0)*0.475*44/12</f>
        <v>0.58762272447836073</v>
      </c>
      <c r="CM137" s="21">
        <f>EXP(-LN(2)/2)*CM136+(1-EXP(-LN(2)/2))/(LN(2)/2)*CG137*CJ137*VLOOKUP('Données projet'!$B$12,Paramètres!$A$1:$I$89,3,0)*0.475*44/12</f>
        <v>4.4557468282141913E-15</v>
      </c>
      <c r="CN137" s="22">
        <f t="shared" si="120"/>
        <v>0.8735350126228878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69.329069585086501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3.7</v>
      </c>
      <c r="CT137" s="12">
        <f>IF('Données projet'!$A$140&gt;35,CT136+CS137-DB136,IF(A137&lt;'Données projet'!$A$140,$CQ$205^A137,IF(A137='Données projet'!$A$140,'Données projet'!$B$140,CT136+CS137-DB136)))</f>
        <v>434.80000000000018</v>
      </c>
      <c r="CU137" s="17">
        <f>CT137*VLOOKUP('Données projet'!$B$13,Paramètres!$A$1:$I$89,3,0)*VLOOKUP('Données projet'!$B$13,Paramètres!$A$1:$I$89,5,0)</f>
        <v>373.05840000000023</v>
      </c>
      <c r="CV137" s="13">
        <f t="shared" si="149"/>
        <v>86.292701614359373</v>
      </c>
      <c r="CW137" s="20">
        <f t="shared" si="121"/>
        <v>800.03650197834293</v>
      </c>
      <c r="CX137" s="59">
        <f t="shared" si="122"/>
        <v>1090.90975712366</v>
      </c>
      <c r="CY137" s="59">
        <f ca="1">AVERAGE(OFFSET($CX$3,0,0,'Données projet'!$E$13+1,1))-AVERAGE(OFFSET($H$3,0,0,'Données projet'!$E$13+1,1))</f>
        <v>565.32667500225568</v>
      </c>
      <c r="CZ137" s="59">
        <f t="shared" si="150"/>
        <v>275.06957234480944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0</v>
      </c>
      <c r="DG137" s="21">
        <f>EXP(-LN(2)/25)*DG136+(1-EXP(-LN(2)/25))/(LN(2)/25)*Calculateur!DB137*Calculateur!DD137*VLOOKUP('Données projet'!$B$13,Paramètres!$A$1:$I$89,3,0)*0.475*44/12</f>
        <v>0.24508694633729339</v>
      </c>
      <c r="DH137" s="21">
        <f>EXP(-LN(2)/2)*DH136+(1-EXP(-LN(2)/2))/(LN(2)/2)*DB137*DE137*VLOOKUP('Données projet'!$B$13,Paramètres!$A$1:$I$89,3,0)*0.475*44/12</f>
        <v>1.5728592453800771E-15</v>
      </c>
      <c r="DI137" s="22">
        <f t="shared" si="123"/>
        <v>0.24508694633729497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69.329069585086501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-1.2505552149377763E-12</v>
      </c>
      <c r="DP137" s="17">
        <f>DO137*VLOOKUP('Données projet'!$B$14,Paramètres!$A$1:$I$89,3,0)*VLOOKUP('Données projet'!$B$14,Paramètres!$A$1:$I$89,5,0)</f>
        <v>-6.9906036515021697E-13</v>
      </c>
      <c r="DQ137" s="13" t="e">
        <f t="shared" si="151"/>
        <v>#NUM!</v>
      </c>
      <c r="DR137" s="20" t="e">
        <f t="shared" si="124"/>
        <v>#NUM!</v>
      </c>
      <c r="DS137" s="59" t="e">
        <f t="shared" si="125"/>
        <v>#NUM!</v>
      </c>
      <c r="DT137" s="59">
        <f ca="1">AVERAGE(OFFSET($DS$3,0,0,'Données projet'!$E$14+1,1))-AVERAGE(OFFSET($H$3,0,0,'Données projet'!$E$14+1,1))</f>
        <v>532.64469322244281</v>
      </c>
      <c r="DU137" s="59">
        <f t="shared" si="152"/>
        <v>525.88014011096413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1.4560348007359969</v>
      </c>
      <c r="EB137" s="21">
        <f>EXP(-LN(2)/25)*EB136+(1-EXP(-LN(2)/25))/(LN(2)/25)*Calculateur!DW137*Calculateur!DY137*VLOOKUP('Données projet'!$B$14,Paramètres!$A$1:$I$89,3,0)*0.475*44/12</f>
        <v>2.1681652361516979</v>
      </c>
      <c r="EC137" s="21">
        <f>EXP(-LN(2)/2)*EC136+(1-EXP(-LN(2)/2))/(LN(2)/2)*DW137*DZ137*VLOOKUP('Données projet'!$B$14,Paramètres!$A$1:$I$89,3,0)*0.475*44/12</f>
        <v>8.0983867067972106E-15</v>
      </c>
      <c r="ED137" s="22">
        <f t="shared" si="126"/>
        <v>3.6242000368877028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69.329069585086501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-1.1368683772161603E-13</v>
      </c>
      <c r="EK137" s="17">
        <f>EJ137*VLOOKUP('Données projet'!$B$15,Paramètres!$A$1:$I$89,3,0)*VLOOKUP('Données projet'!$B$15,Paramètres!$A$1:$I$89,5,0)</f>
        <v>-1.0286385077051818E-13</v>
      </c>
      <c r="EL137" s="13" t="e">
        <f t="shared" si="153"/>
        <v>#NUM!</v>
      </c>
      <c r="EM137" s="20" t="e">
        <f t="shared" si="127"/>
        <v>#NUM!</v>
      </c>
      <c r="EN137" s="59" t="e">
        <f t="shared" si="128"/>
        <v>#NUM!</v>
      </c>
      <c r="EO137" s="59">
        <f ca="1">AVERAGE(OFFSET($EN$3,0,0,'Données projet'!$E$15+1,1))-AVERAGE(OFFSET($H$3,0,0,'Données projet'!$E$15+1,1))</f>
        <v>398.27843768730202</v>
      </c>
      <c r="EP137" s="59">
        <f t="shared" si="154"/>
        <v>252.3617347568813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0</v>
      </c>
      <c r="EW137" s="21">
        <f>EXP(-LN(2)/25)*EW136+(1-EXP(-LN(2)/25))/(LN(2)/25)*Calculateur!ER137*Calculateur!ET137*VLOOKUP('Données projet'!$B$15,Paramètres!$A$1:$I$89,3,0)*0.475*44/12</f>
        <v>0.17374328332066769</v>
      </c>
      <c r="EX137" s="21">
        <f>EXP(-LN(2)/2)*EX136+(1-EXP(-LN(2)/2))/(LN(2)/2)*ER137*EU137*VLOOKUP('Données projet'!$B$15,Paramètres!$A$1:$I$89,3,0)*0.475*44/12</f>
        <v>1.3743112990801503E-15</v>
      </c>
      <c r="EY137" s="22">
        <f t="shared" si="129"/>
        <v>0.17374328332066907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69.329069585086501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-1.1368683772161603E-13</v>
      </c>
      <c r="FF137" s="17">
        <f>FE137*VLOOKUP('Données projet'!$B$16,Paramètres!$A$1:$I$89,3,0)*VLOOKUP('Données projet'!$B$16,Paramètres!$A$1:$I$89,5,0)</f>
        <v>-1.0995790944434703E-13</v>
      </c>
      <c r="FG137" s="13" t="e">
        <f t="shared" si="155"/>
        <v>#NUM!</v>
      </c>
      <c r="FH137" s="20" t="e">
        <f t="shared" si="130"/>
        <v>#NUM!</v>
      </c>
      <c r="FI137" s="59" t="e">
        <f t="shared" si="131"/>
        <v>#NUM!</v>
      </c>
      <c r="FJ137" s="59">
        <f ca="1">AVERAGE(OFFSET($FI$3,0,0,'Données projet'!$E$16+1,1))-AVERAGE(OFFSET($H$3,0,0,'Données projet'!$E$16+1,1))</f>
        <v>422.28024471365825</v>
      </c>
      <c r="FK137" s="59">
        <f t="shared" si="156"/>
        <v>266.49730479813206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0</v>
      </c>
      <c r="FR137" s="21">
        <f>EXP(-LN(2)/25)*FR136+(1-EXP(-LN(2)/25))/(LN(2)/25)*Calculateur!FM137*Calculateur!FO137*VLOOKUP('Données projet'!$B$16,Paramètres!$A$1:$I$89,3,0)*0.475*44/12</f>
        <v>0.18572557872209289</v>
      </c>
      <c r="FS137" s="21">
        <f>EXP(-LN(2)/2)*FS136+(1-EXP(-LN(2)/2))/(LN(2)/2)*FM137*FP137*VLOOKUP('Données projet'!$B$16,Paramètres!$A$1:$I$89,3,0)*0.475*44/12</f>
        <v>1.4690913886718845E-15</v>
      </c>
      <c r="FT137" s="22">
        <f t="shared" si="132"/>
        <v>0.18572557872209436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69.329069585086501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3.4106051316484809E-13</v>
      </c>
      <c r="GA137" s="17">
        <f>FZ137*VLOOKUP('Données projet'!$B$17,Paramètres!$A$1:$I$89,3,0)*VLOOKUP('Données projet'!$B$17,Paramètres!$A$1:$I$89,5,0)</f>
        <v>2.6602720026858149E-13</v>
      </c>
      <c r="GB137" s="13">
        <f t="shared" si="157"/>
        <v>3.5662905043956649E-12</v>
      </c>
      <c r="GC137" s="20">
        <f t="shared" si="133"/>
        <v>6.6746200022902298E-12</v>
      </c>
      <c r="GD137" s="59">
        <f t="shared" si="134"/>
        <v>290.87325514532381</v>
      </c>
      <c r="GE137" s="59">
        <f ca="1">AVERAGE(OFFSET($GD$3,0,0,'Données projet'!$E$17+1,1))-AVERAGE(OFFSET($H$3,0,0,'Données projet'!$E$17+1,1))</f>
        <v>300.95722646933314</v>
      </c>
      <c r="GF137" s="59">
        <f t="shared" si="158"/>
        <v>269.52365224623759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>
        <f>EXP(-LN(2)/35)*GL136+(1-EXP(-LN(2)/35))/(LN(2)/35)*GH137*GI137*VLOOKUP('Données projet'!$B$17,Paramètres!$A$1:$I$89,3,0)*0.475*44/12</f>
        <v>0.11345725720020729</v>
      </c>
      <c r="GM137" s="21">
        <f>EXP(-LN(2)/25)*GM136+(1-EXP(-LN(2)/25))/(LN(2)/25)*Calculateur!GH137*Calculateur!GJ137*VLOOKUP('Données projet'!$B$17,Paramètres!$A$1:$I$89,3,0)*0.475*44/12</f>
        <v>0.34901232485247186</v>
      </c>
      <c r="GN137" s="21">
        <f>EXP(-LN(2)/2)*GN136+(1-EXP(-LN(2)/2))/(LN(2)/2)*GH137*GK137*VLOOKUP('Données projet'!$B$17,Paramètres!$A$1:$I$89,3,0)*0.475*44/12</f>
        <v>1.9670850770971625E-15</v>
      </c>
      <c r="GO137" s="21">
        <f t="shared" si="135"/>
        <v>0.46246958205268107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69.329069585086501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1.4000000000000001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5.1333333333333337</v>
      </c>
      <c r="H138" s="67">
        <f t="shared" si="110"/>
        <v>236.13333333333335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69.340708727809556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-3.4106051316484809E-13</v>
      </c>
      <c r="O138" s="13">
        <f>N138*VLOOKUP('Données projet'!$B$9,Paramètres!$A$1:$I$89,3,0)*VLOOKUP('Données projet'!$B$9,Paramètres!$A$1:$I$89,5,0)</f>
        <v>-3.0859155231155454E-13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479.46542424895119</v>
      </c>
      <c r="T138" s="59">
        <f t="shared" si="142"/>
        <v>337.96395820277337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0.30106910941982407</v>
      </c>
      <c r="AA138" s="21">
        <f>EXP(-LN(2)/25)*AA137+(1-EXP(-LN(2)/25))/(LN(2)/25)*Calculateur!V138*Calculateur!X138*VLOOKUP('Données projet'!$B$9,Paramètres!$A$1:$I$89,3,0)*0.475*44/12</f>
        <v>0.6138914946332279</v>
      </c>
      <c r="AB138" s="21">
        <f>EXP(-LN(2)/2)*AB137+(1-EXP(-LN(2)/2))/(LN(2)/2)*V138*Y138*VLOOKUP('Données projet'!$B$9,Paramètres!$A$1:$I$89,3,0)*0.475*44/12</f>
        <v>3.3840731528496587E-15</v>
      </c>
      <c r="AC138" s="22">
        <f t="shared" si="111"/>
        <v>0.91496060405305535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69.340708727809556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-3.4106051316484809E-13</v>
      </c>
      <c r="AJ138" s="13">
        <f>AI138*VLOOKUP('Données projet'!$B$10,Paramètres!$A$1:$I$89,3,0)*VLOOKUP('Données projet'!$B$10,Paramètres!$A$1:$I$89,5,0)</f>
        <v>-3.2987372833304104E-13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508.94560627895089</v>
      </c>
      <c r="AO138" s="59">
        <f t="shared" si="144"/>
        <v>357.86868650263034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0.3218324962763639</v>
      </c>
      <c r="AV138" s="21">
        <f>EXP(-LN(2)/25)*AV137+(1-EXP(-LN(2)/25))/(LN(2)/25)*Calculateur!AQ138*Calculateur!AS138*VLOOKUP('Données projet'!$B$10,Paramètres!$A$1:$I$89,3,0)*0.475*44/12</f>
        <v>0.65622883909069185</v>
      </c>
      <c r="AW138" s="21">
        <f>EXP(-LN(2)/2)*AW137+(1-EXP(-LN(2)/2))/(LN(2)/2)*AQ138*AT138*VLOOKUP('Données projet'!$B$10,Paramètres!$A$1:$I$89,3,0)*0.475*44/12</f>
        <v>3.6174575082185839E-15</v>
      </c>
      <c r="AX138" s="21">
        <f t="shared" si="114"/>
        <v>0.97806133536705941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69.340708727809556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1.7053025658242404E-13</v>
      </c>
      <c r="BE138" s="13">
        <f>BD138*VLOOKUP('Données projet'!$B$11,Paramètres!$A$1:$I$89,3,0)*VLOOKUP('Données projet'!$B$11,Paramètres!$A$1:$I$89,5,0)</f>
        <v>1.3301360013429075E-13</v>
      </c>
      <c r="BF138" s="13">
        <f t="shared" si="145"/>
        <v>1.9329766731057041E-12</v>
      </c>
      <c r="BG138" s="20">
        <f t="shared" si="115"/>
        <v>3.5982663925596575E-12</v>
      </c>
      <c r="BH138" s="59">
        <f t="shared" si="116"/>
        <v>290.91593200197195</v>
      </c>
      <c r="BI138" s="59">
        <f ca="1">AVERAGE(OFFSET($BH$3,0,0,'Données projet'!$E$11+1,1))-AVERAGE(OFFSET($H$3,0,0,'Données projet'!$E$11+1,1))</f>
        <v>383.03154033422328</v>
      </c>
      <c r="BJ138" s="59">
        <f t="shared" si="146"/>
        <v>373.27897156169877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0.18075269808148312</v>
      </c>
      <c r="BQ138" s="21">
        <f>EXP(-LN(2)/25)*BQ137+(1-EXP(-LN(2)/25))/(LN(2)/25)*Calculateur!BL138*Calculateur!BN138*VLOOKUP('Données projet'!$B$11,Paramètres!$A$1:$I$89,3,0)*0.475*44/12</f>
        <v>0.45544607589537695</v>
      </c>
      <c r="BR138" s="21">
        <f>EXP(-LN(2)/2)*BR137+(1-EXP(-LN(2)/2))/(LN(2)/2)*BL138*BO138*VLOOKUP('Données projet'!$B$11,Paramètres!$A$1:$I$89,3,0)*0.475*44/12</f>
        <v>2.052296051088278E-15</v>
      </c>
      <c r="BS138" s="22">
        <f t="shared" si="117"/>
        <v>0.63619877397686209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69.340708727809556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-3.4106051316484809E-13</v>
      </c>
      <c r="BZ138" s="13">
        <f>BY138*VLOOKUP('Données projet'!$B$12,Paramètres!$A$1:$I$89,3,0)*VLOOKUP('Données projet'!$B$12,Paramètres!$A$1:$I$89,5,0)</f>
        <v>-2.8730937629006804E-13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449.94334483948603</v>
      </c>
      <c r="CE138" s="59">
        <f t="shared" si="148"/>
        <v>318.02929110264176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0.28030572256328473</v>
      </c>
      <c r="CL138" s="21">
        <f>EXP(-LN(2)/25)*CL137+(1-EXP(-LN(2)/25))/(LN(2)/25)*Calculateur!CG138*Calculateur!CI138*VLOOKUP('Données projet'!$B$12,Paramètres!$A$1:$I$89,3,0)*0.475*44/12</f>
        <v>0.57155415017576394</v>
      </c>
      <c r="CM138" s="21">
        <f>EXP(-LN(2)/2)*CM137+(1-EXP(-LN(2)/2))/(LN(2)/2)*CG138*CJ138*VLOOKUP('Données projet'!$B$12,Paramètres!$A$1:$I$89,3,0)*0.475*44/12</f>
        <v>3.1506887974807054E-15</v>
      </c>
      <c r="CN138" s="22">
        <f t="shared" si="120"/>
        <v>0.85185987273905184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69.340708727809556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3.7</v>
      </c>
      <c r="CT138" s="12">
        <f>IF('Données projet'!$A$140&gt;35,CT137+CS138-DB137,IF(A138&lt;'Données projet'!$A$140,$CQ$205^A138,IF(A138='Données projet'!$A$140,'Données projet'!$B$140,CT137+CS138-DB137)))</f>
        <v>438.50000000000017</v>
      </c>
      <c r="CU138" s="17">
        <f>CT138*VLOOKUP('Données projet'!$B$13,Paramètres!$A$1:$I$89,3,0)*VLOOKUP('Données projet'!$B$13,Paramètres!$A$1:$I$89,5,0)</f>
        <v>376.23300000000023</v>
      </c>
      <c r="CV138" s="13">
        <f t="shared" si="149"/>
        <v>86.94122777148867</v>
      </c>
      <c r="CW138" s="20">
        <f t="shared" si="121"/>
        <v>806.69511336867652</v>
      </c>
      <c r="CX138" s="59">
        <f t="shared" si="122"/>
        <v>1097.6110453706449</v>
      </c>
      <c r="CY138" s="59">
        <f ca="1">AVERAGE(OFFSET($CX$3,0,0,'Données projet'!$E$13+1,1))-AVERAGE(OFFSET($H$3,0,0,'Données projet'!$E$13+1,1))</f>
        <v>565.32667500225568</v>
      </c>
      <c r="CZ138" s="59">
        <f t="shared" si="150"/>
        <v>275.06957234480944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0</v>
      </c>
      <c r="DG138" s="21">
        <f>EXP(-LN(2)/25)*DG137+(1-EXP(-LN(2)/25))/(LN(2)/25)*Calculateur!DB138*Calculateur!DD138*VLOOKUP('Données projet'!$B$13,Paramètres!$A$1:$I$89,3,0)*0.475*44/12</f>
        <v>0.23838503090113775</v>
      </c>
      <c r="DH138" s="21">
        <f>EXP(-LN(2)/2)*DH137+(1-EXP(-LN(2)/2))/(LN(2)/2)*DB138*DE138*VLOOKUP('Données projet'!$B$13,Paramètres!$A$1:$I$89,3,0)*0.475*44/12</f>
        <v>1.1121794382602085E-15</v>
      </c>
      <c r="DI138" s="22">
        <f t="shared" si="123"/>
        <v>0.23838503090113886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69.340708727809556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-1.2505552149377763E-12</v>
      </c>
      <c r="DP138" s="17">
        <f>DO138*VLOOKUP('Données projet'!$B$14,Paramètres!$A$1:$I$89,3,0)*VLOOKUP('Données projet'!$B$14,Paramètres!$A$1:$I$89,5,0)</f>
        <v>-6.9906036515021697E-13</v>
      </c>
      <c r="DQ138" s="13" t="e">
        <f t="shared" si="151"/>
        <v>#NUM!</v>
      </c>
      <c r="DR138" s="20" t="e">
        <f t="shared" si="124"/>
        <v>#NUM!</v>
      </c>
      <c r="DS138" s="59" t="e">
        <f t="shared" si="125"/>
        <v>#NUM!</v>
      </c>
      <c r="DT138" s="59">
        <f ca="1">AVERAGE(OFFSET($DS$3,0,0,'Données projet'!$E$14+1,1))-AVERAGE(OFFSET($H$3,0,0,'Données projet'!$E$14+1,1))</f>
        <v>532.64469322244281</v>
      </c>
      <c r="DU138" s="59">
        <f t="shared" si="152"/>
        <v>525.88014011096413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1.4274828463871005</v>
      </c>
      <c r="EB138" s="21">
        <f>EXP(-LN(2)/25)*EB137+(1-EXP(-LN(2)/25))/(LN(2)/25)*Calculateur!DW138*Calculateur!DY138*VLOOKUP('Données projet'!$B$14,Paramètres!$A$1:$I$89,3,0)*0.475*44/12</f>
        <v>2.1088766437502753</v>
      </c>
      <c r="EC138" s="21">
        <f>EXP(-LN(2)/2)*EC137+(1-EXP(-LN(2)/2))/(LN(2)/2)*DW138*DZ138*VLOOKUP('Données projet'!$B$14,Paramètres!$A$1:$I$89,3,0)*0.475*44/12</f>
        <v>5.7264241570473004E-15</v>
      </c>
      <c r="ED138" s="22">
        <f t="shared" si="126"/>
        <v>3.5363594901373818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69.340708727809556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-1.1368683772161603E-13</v>
      </c>
      <c r="EK138" s="17">
        <f>EJ138*VLOOKUP('Données projet'!$B$15,Paramètres!$A$1:$I$89,3,0)*VLOOKUP('Données projet'!$B$15,Paramètres!$A$1:$I$89,5,0)</f>
        <v>-1.0286385077051818E-13</v>
      </c>
      <c r="EL138" s="13" t="e">
        <f t="shared" si="153"/>
        <v>#NUM!</v>
      </c>
      <c r="EM138" s="20" t="e">
        <f t="shared" si="127"/>
        <v>#NUM!</v>
      </c>
      <c r="EN138" s="59" t="e">
        <f t="shared" si="128"/>
        <v>#NUM!</v>
      </c>
      <c r="EO138" s="59">
        <f ca="1">AVERAGE(OFFSET($EN$3,0,0,'Données projet'!$E$15+1,1))-AVERAGE(OFFSET($H$3,0,0,'Données projet'!$E$15+1,1))</f>
        <v>398.27843768730202</v>
      </c>
      <c r="EP138" s="59">
        <f t="shared" si="154"/>
        <v>252.3617347568813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0</v>
      </c>
      <c r="EW138" s="21">
        <f>EXP(-LN(2)/25)*EW137+(1-EXP(-LN(2)/25))/(LN(2)/25)*Calculateur!ER138*Calculateur!ET138*VLOOKUP('Données projet'!$B$15,Paramètres!$A$1:$I$89,3,0)*0.475*44/12</f>
        <v>0.16899226410150187</v>
      </c>
      <c r="EX138" s="21">
        <f>EXP(-LN(2)/2)*EX137+(1-EXP(-LN(2)/2))/(LN(2)/2)*ER138*EU138*VLOOKUP('Données projet'!$B$15,Paramètres!$A$1:$I$89,3,0)*0.475*44/12</f>
        <v>9.7178483904086771E-16</v>
      </c>
      <c r="EY138" s="22">
        <f t="shared" si="129"/>
        <v>0.16899226410150284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69.340708727809556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-1.1368683772161603E-13</v>
      </c>
      <c r="FF138" s="17">
        <f>FE138*VLOOKUP('Données projet'!$B$16,Paramètres!$A$1:$I$89,3,0)*VLOOKUP('Données projet'!$B$16,Paramètres!$A$1:$I$89,5,0)</f>
        <v>-1.0995790944434703E-13</v>
      </c>
      <c r="FG138" s="13" t="e">
        <f t="shared" si="155"/>
        <v>#NUM!</v>
      </c>
      <c r="FH138" s="20" t="e">
        <f t="shared" si="130"/>
        <v>#NUM!</v>
      </c>
      <c r="FI138" s="59" t="e">
        <f t="shared" si="131"/>
        <v>#NUM!</v>
      </c>
      <c r="FJ138" s="59">
        <f ca="1">AVERAGE(OFFSET($FI$3,0,0,'Données projet'!$E$16+1,1))-AVERAGE(OFFSET($H$3,0,0,'Données projet'!$E$16+1,1))</f>
        <v>422.28024471365825</v>
      </c>
      <c r="FK138" s="59">
        <f t="shared" si="156"/>
        <v>266.49730479813206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0</v>
      </c>
      <c r="FR138" s="21">
        <f>EXP(-LN(2)/25)*FR137+(1-EXP(-LN(2)/25))/(LN(2)/25)*Calculateur!FM138*Calculateur!FO138*VLOOKUP('Données projet'!$B$16,Paramètres!$A$1:$I$89,3,0)*0.475*44/12</f>
        <v>0.18064690300505357</v>
      </c>
      <c r="FS138" s="21">
        <f>EXP(-LN(2)/2)*FS137+(1-EXP(-LN(2)/2))/(LN(2)/2)*FM138*FP138*VLOOKUP('Données projet'!$B$16,Paramètres!$A$1:$I$89,3,0)*0.475*44/12</f>
        <v>1.0388044831126515E-15</v>
      </c>
      <c r="FT138" s="22">
        <f t="shared" si="132"/>
        <v>0.18064690300505459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69.340708727809556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3.4106051316484809E-13</v>
      </c>
      <c r="GA138" s="17">
        <f>FZ138*VLOOKUP('Données projet'!$B$17,Paramètres!$A$1:$I$89,3,0)*VLOOKUP('Données projet'!$B$17,Paramètres!$A$1:$I$89,5,0)</f>
        <v>2.6602720026858149E-13</v>
      </c>
      <c r="GB138" s="13">
        <f t="shared" si="157"/>
        <v>3.5662905043956649E-12</v>
      </c>
      <c r="GC138" s="20">
        <f t="shared" si="133"/>
        <v>6.6746200022902298E-12</v>
      </c>
      <c r="GD138" s="59">
        <f t="shared" si="134"/>
        <v>290.91593200197502</v>
      </c>
      <c r="GE138" s="59">
        <f ca="1">AVERAGE(OFFSET($GD$3,0,0,'Données projet'!$E$17+1,1))-AVERAGE(OFFSET($H$3,0,0,'Données projet'!$E$17+1,1))</f>
        <v>300.95722646933314</v>
      </c>
      <c r="GF138" s="59">
        <f t="shared" si="158"/>
        <v>269.52365224623759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>
        <f>EXP(-LN(2)/35)*GL137+(1-EXP(-LN(2)/35))/(LN(2)/35)*GH138*GI138*VLOOKUP('Données projet'!$B$17,Paramètres!$A$1:$I$89,3,0)*0.475*44/12</f>
        <v>0.11123242958860498</v>
      </c>
      <c r="GM138" s="21">
        <f>EXP(-LN(2)/25)*GM137+(1-EXP(-LN(2)/25))/(LN(2)/25)*Calculateur!GH138*Calculateur!GJ138*VLOOKUP('Données projet'!$B$17,Paramètres!$A$1:$I$89,3,0)*0.475*44/12</f>
        <v>0.33946856447562052</v>
      </c>
      <c r="GN138" s="21">
        <f>EXP(-LN(2)/2)*GN137+(1-EXP(-LN(2)/2))/(LN(2)/2)*GH138*GK138*VLOOKUP('Données projet'!$B$17,Paramètres!$A$1:$I$89,3,0)*0.475*44/12</f>
        <v>1.3909391971862663E-15</v>
      </c>
      <c r="GO138" s="21">
        <f t="shared" si="135"/>
        <v>0.45070099406422687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69.340708727809556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1.4000000000000001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5.1333333333333337</v>
      </c>
      <c r="H139" s="67">
        <f t="shared" si="110"/>
        <v>236.13333333333335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69.352145957427595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-3.4106051316484809E-13</v>
      </c>
      <c r="O139" s="13">
        <f>N139*VLOOKUP('Données projet'!$B$9,Paramètres!$A$1:$I$89,3,0)*VLOOKUP('Données projet'!$B$9,Paramètres!$A$1:$I$89,5,0)</f>
        <v>-3.0859155231155454E-13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479.46542424895119</v>
      </c>
      <c r="T139" s="59">
        <f t="shared" si="142"/>
        <v>337.96395820277337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0.29516532781812571</v>
      </c>
      <c r="AA139" s="21">
        <f>EXP(-LN(2)/25)*AA138+(1-EXP(-LN(2)/25))/(LN(2)/25)*Calculateur!V139*Calculateur!X139*VLOOKUP('Données projet'!$B$9,Paramètres!$A$1:$I$89,3,0)*0.475*44/12</f>
        <v>0.59710459942933169</v>
      </c>
      <c r="AB139" s="21">
        <f>EXP(-LN(2)/2)*AB138+(1-EXP(-LN(2)/2))/(LN(2)/2)*V139*Y139*VLOOKUP('Données projet'!$B$9,Paramètres!$A$1:$I$89,3,0)*0.475*44/12</f>
        <v>2.3929010744113335E-15</v>
      </c>
      <c r="AC139" s="22">
        <f t="shared" si="111"/>
        <v>0.8922699272474599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69.352145957427595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-3.4106051316484809E-13</v>
      </c>
      <c r="AJ139" s="13">
        <f>AI139*VLOOKUP('Données projet'!$B$10,Paramètres!$A$1:$I$89,3,0)*VLOOKUP('Données projet'!$B$10,Paramètres!$A$1:$I$89,5,0)</f>
        <v>-3.2987372833304104E-13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508.94560627895089</v>
      </c>
      <c r="AO139" s="59">
        <f t="shared" si="144"/>
        <v>357.86868650263034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0.31552155732282428</v>
      </c>
      <c r="AV139" s="21">
        <f>EXP(-LN(2)/25)*AV138+(1-EXP(-LN(2)/25))/(LN(2)/25)*Calculateur!AQ139*Calculateur!AS139*VLOOKUP('Données projet'!$B$10,Paramètres!$A$1:$I$89,3,0)*0.475*44/12</f>
        <v>0.63828422697618203</v>
      </c>
      <c r="AW139" s="21">
        <f>EXP(-LN(2)/2)*AW138+(1-EXP(-LN(2)/2))/(LN(2)/2)*AQ139*AT139*VLOOKUP('Données projet'!$B$10,Paramètres!$A$1:$I$89,3,0)*0.475*44/12</f>
        <v>2.5579287347155517E-15</v>
      </c>
      <c r="AX139" s="21">
        <f t="shared" si="114"/>
        <v>0.95380578429900886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69.352145957427595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1.7053025658242404E-13</v>
      </c>
      <c r="BE139" s="13">
        <f>BD139*VLOOKUP('Données projet'!$B$11,Paramètres!$A$1:$I$89,3,0)*VLOOKUP('Données projet'!$B$11,Paramètres!$A$1:$I$89,5,0)</f>
        <v>1.3301360013429075E-13</v>
      </c>
      <c r="BF139" s="13">
        <f t="shared" si="145"/>
        <v>1.9329766731057041E-12</v>
      </c>
      <c r="BG139" s="20">
        <f t="shared" si="115"/>
        <v>3.5982663925596575E-12</v>
      </c>
      <c r="BH139" s="59">
        <f t="shared" si="116"/>
        <v>290.95786851057142</v>
      </c>
      <c r="BI139" s="59">
        <f ca="1">AVERAGE(OFFSET($BH$3,0,0,'Données projet'!$E$11+1,1))-AVERAGE(OFFSET($H$3,0,0,'Données projet'!$E$11+1,1))</f>
        <v>383.03154033422328</v>
      </c>
      <c r="BJ139" s="59">
        <f t="shared" si="146"/>
        <v>373.27897156169877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0.17720824792036494</v>
      </c>
      <c r="BQ139" s="21">
        <f>EXP(-LN(2)/25)*BQ138+(1-EXP(-LN(2)/25))/(LN(2)/25)*Calculateur!BL139*Calculateur!BN139*VLOOKUP('Données projet'!$B$11,Paramètres!$A$1:$I$89,3,0)*0.475*44/12</f>
        <v>0.44299187899914966</v>
      </c>
      <c r="BR139" s="21">
        <f>EXP(-LN(2)/2)*BR138+(1-EXP(-LN(2)/2))/(LN(2)/2)*BL139*BO139*VLOOKUP('Données projet'!$B$11,Paramètres!$A$1:$I$89,3,0)*0.475*44/12</f>
        <v>1.4511924547268946E-15</v>
      </c>
      <c r="BS139" s="22">
        <f t="shared" si="117"/>
        <v>0.62020012691951598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69.352145957427595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-3.4106051316484809E-13</v>
      </c>
      <c r="BZ139" s="13">
        <f>BY139*VLOOKUP('Données projet'!$B$12,Paramètres!$A$1:$I$89,3,0)*VLOOKUP('Données projet'!$B$12,Paramètres!$A$1:$I$89,5,0)</f>
        <v>-2.8730937629006804E-13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449.94334483948603</v>
      </c>
      <c r="CE139" s="59">
        <f t="shared" si="148"/>
        <v>318.02929110264176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0.27480909831342765</v>
      </c>
      <c r="CL139" s="21">
        <f>EXP(-LN(2)/25)*CL138+(1-EXP(-LN(2)/25))/(LN(2)/25)*Calculateur!CG139*Calculateur!CI139*VLOOKUP('Données projet'!$B$12,Paramètres!$A$1:$I$89,3,0)*0.475*44/12</f>
        <v>0.55592497188248124</v>
      </c>
      <c r="CM139" s="21">
        <f>EXP(-LN(2)/2)*CM138+(1-EXP(-LN(2)/2))/(LN(2)/2)*CG139*CJ139*VLOOKUP('Données projet'!$B$12,Paramètres!$A$1:$I$89,3,0)*0.475*44/12</f>
        <v>2.2278734141070957E-15</v>
      </c>
      <c r="CN139" s="22">
        <f t="shared" si="120"/>
        <v>0.83073407019591117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69.352145957427595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3.7</v>
      </c>
      <c r="CT139" s="12">
        <f>IF('Données projet'!$A$140&gt;35,CT138+CS139-DB138,IF(A139&lt;'Données projet'!$A$140,$CQ$205^A139,IF(A139='Données projet'!$A$140,'Données projet'!$B$140,CT138+CS139-DB138)))</f>
        <v>442.20000000000016</v>
      </c>
      <c r="CU139" s="17">
        <f>CT139*VLOOKUP('Données projet'!$B$13,Paramètres!$A$1:$I$89,3,0)*VLOOKUP('Données projet'!$B$13,Paramètres!$A$1:$I$89,5,0)</f>
        <v>379.40760000000017</v>
      </c>
      <c r="CV139" s="13">
        <f t="shared" si="149"/>
        <v>87.589117272674955</v>
      </c>
      <c r="CW139" s="20">
        <f t="shared" si="121"/>
        <v>813.35261591657581</v>
      </c>
      <c r="CX139" s="59">
        <f t="shared" si="122"/>
        <v>1104.3104844271436</v>
      </c>
      <c r="CY139" s="59">
        <f ca="1">AVERAGE(OFFSET($CX$3,0,0,'Données projet'!$E$13+1,1))-AVERAGE(OFFSET($H$3,0,0,'Données projet'!$E$13+1,1))</f>
        <v>565.32667500225568</v>
      </c>
      <c r="CZ139" s="59">
        <f t="shared" si="150"/>
        <v>275.06957234480944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0</v>
      </c>
      <c r="DG139" s="21">
        <f>EXP(-LN(2)/25)*DG138+(1-EXP(-LN(2)/25))/(LN(2)/25)*Calculateur!DB139*Calculateur!DD139*VLOOKUP('Données projet'!$B$13,Paramètres!$A$1:$I$89,3,0)*0.475*44/12</f>
        <v>0.23186637969502219</v>
      </c>
      <c r="DH139" s="21">
        <f>EXP(-LN(2)/2)*DH138+(1-EXP(-LN(2)/2))/(LN(2)/2)*DB139*DE139*VLOOKUP('Données projet'!$B$13,Paramètres!$A$1:$I$89,3,0)*0.475*44/12</f>
        <v>7.8642962269003857E-16</v>
      </c>
      <c r="DI139" s="22">
        <f t="shared" si="123"/>
        <v>0.23186637969502297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69.352145957427595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-1.2505552149377763E-12</v>
      </c>
      <c r="DP139" s="17">
        <f>DO139*VLOOKUP('Données projet'!$B$14,Paramètres!$A$1:$I$89,3,0)*VLOOKUP('Données projet'!$B$14,Paramètres!$A$1:$I$89,5,0)</f>
        <v>-6.9906036515021697E-13</v>
      </c>
      <c r="DQ139" s="13" t="e">
        <f t="shared" si="151"/>
        <v>#NUM!</v>
      </c>
      <c r="DR139" s="20" t="e">
        <f t="shared" si="124"/>
        <v>#NUM!</v>
      </c>
      <c r="DS139" s="59" t="e">
        <f t="shared" si="125"/>
        <v>#NUM!</v>
      </c>
      <c r="DT139" s="59">
        <f ca="1">AVERAGE(OFFSET($DS$3,0,0,'Données projet'!$E$14+1,1))-AVERAGE(OFFSET($H$3,0,0,'Données projet'!$E$14+1,1))</f>
        <v>532.64469322244281</v>
      </c>
      <c r="DU139" s="59">
        <f t="shared" si="152"/>
        <v>525.88014011096413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1.3994907784480135</v>
      </c>
      <c r="EB139" s="21">
        <f>EXP(-LN(2)/25)*EB138+(1-EXP(-LN(2)/25))/(LN(2)/25)*Calculateur!DW139*Calculateur!DY139*VLOOKUP('Données projet'!$B$14,Paramètres!$A$1:$I$89,3,0)*0.475*44/12</f>
        <v>2.0512093010259211</v>
      </c>
      <c r="EC139" s="21">
        <f>EXP(-LN(2)/2)*EC138+(1-EXP(-LN(2)/2))/(LN(2)/2)*DW139*DZ139*VLOOKUP('Données projet'!$B$14,Paramètres!$A$1:$I$89,3,0)*0.475*44/12</f>
        <v>4.0491933533986053E-15</v>
      </c>
      <c r="ED139" s="22">
        <f t="shared" si="126"/>
        <v>3.4507000794739384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69.352145957427595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-1.1368683772161603E-13</v>
      </c>
      <c r="EK139" s="17">
        <f>EJ139*VLOOKUP('Données projet'!$B$15,Paramètres!$A$1:$I$89,3,0)*VLOOKUP('Données projet'!$B$15,Paramètres!$A$1:$I$89,5,0)</f>
        <v>-1.0286385077051818E-13</v>
      </c>
      <c r="EL139" s="13" t="e">
        <f t="shared" si="153"/>
        <v>#NUM!</v>
      </c>
      <c r="EM139" s="20" t="e">
        <f t="shared" si="127"/>
        <v>#NUM!</v>
      </c>
      <c r="EN139" s="59" t="e">
        <f t="shared" si="128"/>
        <v>#NUM!</v>
      </c>
      <c r="EO139" s="59">
        <f ca="1">AVERAGE(OFFSET($EN$3,0,0,'Données projet'!$E$15+1,1))-AVERAGE(OFFSET($H$3,0,0,'Données projet'!$E$15+1,1))</f>
        <v>398.27843768730202</v>
      </c>
      <c r="EP139" s="59">
        <f t="shared" si="154"/>
        <v>252.3617347568813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0</v>
      </c>
      <c r="EW139" s="21">
        <f>EXP(-LN(2)/25)*EW138+(1-EXP(-LN(2)/25))/(LN(2)/25)*Calculateur!ER139*Calculateur!ET139*VLOOKUP('Données projet'!$B$15,Paramètres!$A$1:$I$89,3,0)*0.475*44/12</f>
        <v>0.16437116175272937</v>
      </c>
      <c r="EX139" s="21">
        <f>EXP(-LN(2)/2)*EX138+(1-EXP(-LN(2)/2))/(LN(2)/2)*ER139*EU139*VLOOKUP('Données projet'!$B$15,Paramètres!$A$1:$I$89,3,0)*0.475*44/12</f>
        <v>6.8715564954007516E-16</v>
      </c>
      <c r="EY139" s="22">
        <f t="shared" si="129"/>
        <v>0.16437116175273006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69.352145957427595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-1.1368683772161603E-13</v>
      </c>
      <c r="FF139" s="17">
        <f>FE139*VLOOKUP('Données projet'!$B$16,Paramètres!$A$1:$I$89,3,0)*VLOOKUP('Données projet'!$B$16,Paramètres!$A$1:$I$89,5,0)</f>
        <v>-1.0995790944434703E-13</v>
      </c>
      <c r="FG139" s="13" t="e">
        <f t="shared" si="155"/>
        <v>#NUM!</v>
      </c>
      <c r="FH139" s="20" t="e">
        <f t="shared" si="130"/>
        <v>#NUM!</v>
      </c>
      <c r="FI139" s="59" t="e">
        <f t="shared" si="131"/>
        <v>#NUM!</v>
      </c>
      <c r="FJ139" s="59">
        <f ca="1">AVERAGE(OFFSET($FI$3,0,0,'Données projet'!$E$16+1,1))-AVERAGE(OFFSET($H$3,0,0,'Données projet'!$E$16+1,1))</f>
        <v>422.28024471365825</v>
      </c>
      <c r="FK139" s="59">
        <f t="shared" si="156"/>
        <v>266.49730479813206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0</v>
      </c>
      <c r="FR139" s="21">
        <f>EXP(-LN(2)/25)*FR138+(1-EXP(-LN(2)/25))/(LN(2)/25)*Calculateur!FM139*Calculateur!FO139*VLOOKUP('Données projet'!$B$16,Paramètres!$A$1:$I$89,3,0)*0.475*44/12</f>
        <v>0.17570710394257263</v>
      </c>
      <c r="FS139" s="21">
        <f>EXP(-LN(2)/2)*FS138+(1-EXP(-LN(2)/2))/(LN(2)/2)*FM139*FP139*VLOOKUP('Données projet'!$B$16,Paramètres!$A$1:$I$89,3,0)*0.475*44/12</f>
        <v>7.3454569433594227E-16</v>
      </c>
      <c r="FT139" s="22">
        <f t="shared" si="132"/>
        <v>0.17570710394257336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69.352145957427595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3.4106051316484809E-13</v>
      </c>
      <c r="GA139" s="17">
        <f>FZ139*VLOOKUP('Données projet'!$B$17,Paramètres!$A$1:$I$89,3,0)*VLOOKUP('Données projet'!$B$17,Paramètres!$A$1:$I$89,5,0)</f>
        <v>2.6602720026858149E-13</v>
      </c>
      <c r="GB139" s="13">
        <f t="shared" si="157"/>
        <v>3.5662905043956649E-12</v>
      </c>
      <c r="GC139" s="20">
        <f t="shared" si="133"/>
        <v>6.6746200022902298E-12</v>
      </c>
      <c r="GD139" s="59">
        <f t="shared" si="134"/>
        <v>290.95786851057449</v>
      </c>
      <c r="GE139" s="59">
        <f ca="1">AVERAGE(OFFSET($GD$3,0,0,'Données projet'!$E$17+1,1))-AVERAGE(OFFSET($H$3,0,0,'Données projet'!$E$17+1,1))</f>
        <v>300.95722646933314</v>
      </c>
      <c r="GF139" s="59">
        <f t="shared" si="158"/>
        <v>269.52365224623759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>
        <f>EXP(-LN(2)/35)*GL138+(1-EXP(-LN(2)/35))/(LN(2)/35)*GH139*GI139*VLOOKUP('Données projet'!$B$17,Paramètres!$A$1:$I$89,3,0)*0.475*44/12</f>
        <v>0.10905122948945534</v>
      </c>
      <c r="GM139" s="21">
        <f>EXP(-LN(2)/25)*GM138+(1-EXP(-LN(2)/25))/(LN(2)/25)*Calculateur!GH139*Calculateur!GJ139*VLOOKUP('Données projet'!$B$17,Paramètres!$A$1:$I$89,3,0)*0.475*44/12</f>
        <v>0.33018577872815874</v>
      </c>
      <c r="GN139" s="21">
        <f>EXP(-LN(2)/2)*GN138+(1-EXP(-LN(2)/2))/(LN(2)/2)*GH139*GK139*VLOOKUP('Données projet'!$B$17,Paramètres!$A$1:$I$89,3,0)*0.475*44/12</f>
        <v>9.8354253854858127E-16</v>
      </c>
      <c r="GO139" s="21">
        <f t="shared" si="135"/>
        <v>0.43923700821761508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69.352145957427595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1.4000000000000001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5.1333333333333337</v>
      </c>
      <c r="H140" s="67">
        <f t="shared" si="110"/>
        <v>236.13333333333335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69.363384776681571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-3.4106051316484809E-13</v>
      </c>
      <c r="O140" s="13">
        <f>N140*VLOOKUP('Données projet'!$B$9,Paramètres!$A$1:$I$89,3,0)*VLOOKUP('Données projet'!$B$9,Paramètres!$A$1:$I$89,5,0)</f>
        <v>-3.0859155231155454E-13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479.46542424895119</v>
      </c>
      <c r="T140" s="59">
        <f t="shared" si="142"/>
        <v>337.96395820277337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0.28937731577268544</v>
      </c>
      <c r="AA140" s="21">
        <f>EXP(-LN(2)/25)*AA139+(1-EXP(-LN(2)/25))/(LN(2)/25)*Calculateur!V140*Calculateur!X140*VLOOKUP('Données projet'!$B$9,Paramètres!$A$1:$I$89,3,0)*0.475*44/12</f>
        <v>0.58077674275757041</v>
      </c>
      <c r="AB140" s="21">
        <f>EXP(-LN(2)/2)*AB139+(1-EXP(-LN(2)/2))/(LN(2)/2)*V140*Y140*VLOOKUP('Données projet'!$B$9,Paramètres!$A$1:$I$89,3,0)*0.475*44/12</f>
        <v>1.6920365764248293E-15</v>
      </c>
      <c r="AC140" s="22">
        <f t="shared" si="111"/>
        <v>0.87015405853025751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69.363384776681571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-3.4106051316484809E-13</v>
      </c>
      <c r="AJ140" s="13">
        <f>AI140*VLOOKUP('Données projet'!$B$10,Paramètres!$A$1:$I$89,3,0)*VLOOKUP('Données projet'!$B$10,Paramètres!$A$1:$I$89,5,0)</f>
        <v>-3.2987372833304104E-13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508.94560627895089</v>
      </c>
      <c r="AO140" s="59">
        <f t="shared" si="144"/>
        <v>357.86868650263034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0.3093343720328709</v>
      </c>
      <c r="AV140" s="21">
        <f>EXP(-LN(2)/25)*AV139+(1-EXP(-LN(2)/25))/(LN(2)/25)*Calculateur!AQ140*Calculateur!AS140*VLOOKUP('Données projet'!$B$10,Paramètres!$A$1:$I$89,3,0)*0.475*44/12</f>
        <v>0.62083031122360965</v>
      </c>
      <c r="AW140" s="21">
        <f>EXP(-LN(2)/2)*AW139+(1-EXP(-LN(2)/2))/(LN(2)/2)*AQ140*AT140*VLOOKUP('Données projet'!$B$10,Paramètres!$A$1:$I$89,3,0)*0.475*44/12</f>
        <v>1.808728754109292E-15</v>
      </c>
      <c r="AX140" s="21">
        <f t="shared" si="114"/>
        <v>0.93016468325648227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69.363384776681571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1.7053025658242404E-13</v>
      </c>
      <c r="BE140" s="13">
        <f>BD140*VLOOKUP('Données projet'!$B$11,Paramètres!$A$1:$I$89,3,0)*VLOOKUP('Données projet'!$B$11,Paramètres!$A$1:$I$89,5,0)</f>
        <v>1.3301360013429075E-13</v>
      </c>
      <c r="BF140" s="13">
        <f t="shared" si="145"/>
        <v>1.9329766731057041E-12</v>
      </c>
      <c r="BG140" s="20">
        <f t="shared" si="115"/>
        <v>3.5982663925596575E-12</v>
      </c>
      <c r="BH140" s="59">
        <f t="shared" si="116"/>
        <v>290.99907751450269</v>
      </c>
      <c r="BI140" s="59">
        <f ca="1">AVERAGE(OFFSET($BH$3,0,0,'Données projet'!$E$11+1,1))-AVERAGE(OFFSET($H$3,0,0,'Données projet'!$E$11+1,1))</f>
        <v>383.03154033422328</v>
      </c>
      <c r="BJ140" s="59">
        <f t="shared" si="146"/>
        <v>373.27897156169877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0.17373330226500516</v>
      </c>
      <c r="BQ140" s="21">
        <f>EXP(-LN(2)/25)*BQ139+(1-EXP(-LN(2)/25))/(LN(2)/25)*Calculateur!BL140*Calculateur!BN140*VLOOKUP('Données projet'!$B$11,Paramètres!$A$1:$I$89,3,0)*0.475*44/12</f>
        <v>0.43087824277198744</v>
      </c>
      <c r="BR140" s="21">
        <f>EXP(-LN(2)/2)*BR139+(1-EXP(-LN(2)/2))/(LN(2)/2)*BL140*BO140*VLOOKUP('Données projet'!$B$11,Paramètres!$A$1:$I$89,3,0)*0.475*44/12</f>
        <v>1.026148025544139E-15</v>
      </c>
      <c r="BS140" s="22">
        <f t="shared" si="117"/>
        <v>0.60461154503699366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69.363384776681571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-3.4106051316484809E-13</v>
      </c>
      <c r="BZ140" s="13">
        <f>BY140*VLOOKUP('Données projet'!$B$12,Paramètres!$A$1:$I$89,3,0)*VLOOKUP('Données projet'!$B$12,Paramètres!$A$1:$I$89,5,0)</f>
        <v>-2.8730937629006804E-13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449.94334483948603</v>
      </c>
      <c r="CE140" s="59">
        <f t="shared" si="148"/>
        <v>318.02929110264176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0.26942025951250048</v>
      </c>
      <c r="CL140" s="21">
        <f>EXP(-LN(2)/25)*CL139+(1-EXP(-LN(2)/25))/(LN(2)/25)*Calculateur!CG140*Calculateur!CI140*VLOOKUP('Données projet'!$B$12,Paramètres!$A$1:$I$89,3,0)*0.475*44/12</f>
        <v>0.54072317429153116</v>
      </c>
      <c r="CM140" s="21">
        <f>EXP(-LN(2)/2)*CM139+(1-EXP(-LN(2)/2))/(LN(2)/2)*CG140*CJ140*VLOOKUP('Données projet'!$B$12,Paramètres!$A$1:$I$89,3,0)*0.475*44/12</f>
        <v>1.5753443987403527E-15</v>
      </c>
      <c r="CN140" s="22">
        <f t="shared" si="120"/>
        <v>0.8101434338040332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69.363384776681571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3.7</v>
      </c>
      <c r="CT140" s="12">
        <f>IF('Données projet'!$A$140&gt;35,CT139+CS140-DB139,IF(A140&lt;'Données projet'!$A$140,$CQ$205^A140,IF(A140='Données projet'!$A$140,'Données projet'!$B$140,CT139+CS140-DB139)))</f>
        <v>445.90000000000015</v>
      </c>
      <c r="CU140" s="17">
        <f>CT140*VLOOKUP('Données projet'!$B$13,Paramètres!$A$1:$I$89,3,0)*VLOOKUP('Données projet'!$B$13,Paramètres!$A$1:$I$89,5,0)</f>
        <v>382.58220000000017</v>
      </c>
      <c r="CV140" s="13">
        <f t="shared" si="149"/>
        <v>88.236376062294653</v>
      </c>
      <c r="CW140" s="20">
        <f t="shared" si="121"/>
        <v>820.00901997516348</v>
      </c>
      <c r="CX140" s="59">
        <f t="shared" si="122"/>
        <v>1111.0080974896625</v>
      </c>
      <c r="CY140" s="59">
        <f ca="1">AVERAGE(OFFSET($CX$3,0,0,'Données projet'!$E$13+1,1))-AVERAGE(OFFSET($H$3,0,0,'Données projet'!$E$13+1,1))</f>
        <v>565.32667500225568</v>
      </c>
      <c r="CZ140" s="59">
        <f t="shared" si="150"/>
        <v>275.06957234480944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0</v>
      </c>
      <c r="DG140" s="21">
        <f>EXP(-LN(2)/25)*DG139+(1-EXP(-LN(2)/25))/(LN(2)/25)*Calculateur!DB140*Calculateur!DD140*VLOOKUP('Données projet'!$B$13,Paramètres!$A$1:$I$89,3,0)*0.475*44/12</f>
        <v>0.22552598134893884</v>
      </c>
      <c r="DH140" s="21">
        <f>EXP(-LN(2)/2)*DH139+(1-EXP(-LN(2)/2))/(LN(2)/2)*DB140*DE140*VLOOKUP('Données projet'!$B$13,Paramètres!$A$1:$I$89,3,0)*0.475*44/12</f>
        <v>5.5608971913010423E-16</v>
      </c>
      <c r="DI140" s="22">
        <f t="shared" si="123"/>
        <v>0.22552598134893939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69.363384776681571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-1.2505552149377763E-12</v>
      </c>
      <c r="DP140" s="17">
        <f>DO140*VLOOKUP('Données projet'!$B$14,Paramètres!$A$1:$I$89,3,0)*VLOOKUP('Données projet'!$B$14,Paramètres!$A$1:$I$89,5,0)</f>
        <v>-6.9906036515021697E-13</v>
      </c>
      <c r="DQ140" s="13" t="e">
        <f t="shared" si="151"/>
        <v>#NUM!</v>
      </c>
      <c r="DR140" s="20" t="e">
        <f t="shared" si="124"/>
        <v>#NUM!</v>
      </c>
      <c r="DS140" s="59" t="e">
        <f t="shared" si="125"/>
        <v>#NUM!</v>
      </c>
      <c r="DT140" s="59">
        <f ca="1">AVERAGE(OFFSET($DS$3,0,0,'Données projet'!$E$14+1,1))-AVERAGE(OFFSET($H$3,0,0,'Données projet'!$E$14+1,1))</f>
        <v>532.64469322244281</v>
      </c>
      <c r="DU140" s="59">
        <f t="shared" si="152"/>
        <v>525.88014011096413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1.3720476178877363</v>
      </c>
      <c r="EB140" s="21">
        <f>EXP(-LN(2)/25)*EB139+(1-EXP(-LN(2)/25))/(LN(2)/25)*Calculateur!DW140*Calculateur!DY140*VLOOKUP('Données projet'!$B$14,Paramètres!$A$1:$I$89,3,0)*0.475*44/12</f>
        <v>1.9951188748209583</v>
      </c>
      <c r="EC140" s="21">
        <f>EXP(-LN(2)/2)*EC139+(1-EXP(-LN(2)/2))/(LN(2)/2)*DW140*DZ140*VLOOKUP('Données projet'!$B$14,Paramètres!$A$1:$I$89,3,0)*0.475*44/12</f>
        <v>2.8632120785236502E-15</v>
      </c>
      <c r="ED140" s="22">
        <f t="shared" si="126"/>
        <v>3.3671664927086971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69.363384776681571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-1.1368683772161603E-13</v>
      </c>
      <c r="EK140" s="17">
        <f>EJ140*VLOOKUP('Données projet'!$B$15,Paramètres!$A$1:$I$89,3,0)*VLOOKUP('Données projet'!$B$15,Paramètres!$A$1:$I$89,5,0)</f>
        <v>-1.0286385077051818E-13</v>
      </c>
      <c r="EL140" s="13" t="e">
        <f t="shared" si="153"/>
        <v>#NUM!</v>
      </c>
      <c r="EM140" s="20" t="e">
        <f t="shared" si="127"/>
        <v>#NUM!</v>
      </c>
      <c r="EN140" s="59" t="e">
        <f t="shared" si="128"/>
        <v>#NUM!</v>
      </c>
      <c r="EO140" s="59">
        <f ca="1">AVERAGE(OFFSET($EN$3,0,0,'Données projet'!$E$15+1,1))-AVERAGE(OFFSET($H$3,0,0,'Données projet'!$E$15+1,1))</f>
        <v>398.27843768730202</v>
      </c>
      <c r="EP140" s="59">
        <f t="shared" si="154"/>
        <v>252.3617347568813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0</v>
      </c>
      <c r="EW140" s="21">
        <f>EXP(-LN(2)/25)*EW139+(1-EXP(-LN(2)/25))/(LN(2)/25)*Calculateur!ER140*Calculateur!ET140*VLOOKUP('Données projet'!$B$15,Paramètres!$A$1:$I$89,3,0)*0.475*44/12</f>
        <v>0.15987642369069727</v>
      </c>
      <c r="EX140" s="21">
        <f>EXP(-LN(2)/2)*EX139+(1-EXP(-LN(2)/2))/(LN(2)/2)*ER140*EU140*VLOOKUP('Données projet'!$B$15,Paramètres!$A$1:$I$89,3,0)*0.475*44/12</f>
        <v>4.8589241952043386E-16</v>
      </c>
      <c r="EY140" s="22">
        <f t="shared" si="129"/>
        <v>0.15987642369069777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69.363384776681571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-1.1368683772161603E-13</v>
      </c>
      <c r="FF140" s="17">
        <f>FE140*VLOOKUP('Données projet'!$B$16,Paramètres!$A$1:$I$89,3,0)*VLOOKUP('Données projet'!$B$16,Paramètres!$A$1:$I$89,5,0)</f>
        <v>-1.0995790944434703E-13</v>
      </c>
      <c r="FG140" s="13" t="e">
        <f t="shared" si="155"/>
        <v>#NUM!</v>
      </c>
      <c r="FH140" s="20" t="e">
        <f t="shared" si="130"/>
        <v>#NUM!</v>
      </c>
      <c r="FI140" s="59" t="e">
        <f t="shared" si="131"/>
        <v>#NUM!</v>
      </c>
      <c r="FJ140" s="59">
        <f ca="1">AVERAGE(OFFSET($FI$3,0,0,'Données projet'!$E$16+1,1))-AVERAGE(OFFSET($H$3,0,0,'Données projet'!$E$16+1,1))</f>
        <v>422.28024471365825</v>
      </c>
      <c r="FK140" s="59">
        <f t="shared" si="156"/>
        <v>266.49730479813206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0</v>
      </c>
      <c r="FR140" s="21">
        <f>EXP(-LN(2)/25)*FR139+(1-EXP(-LN(2)/25))/(LN(2)/25)*Calculateur!FM140*Calculateur!FO140*VLOOKUP('Données projet'!$B$16,Paramètres!$A$1:$I$89,3,0)*0.475*44/12</f>
        <v>0.17090238394522797</v>
      </c>
      <c r="FS140" s="21">
        <f>EXP(-LN(2)/2)*FS139+(1-EXP(-LN(2)/2))/(LN(2)/2)*FM140*FP140*VLOOKUP('Données projet'!$B$16,Paramètres!$A$1:$I$89,3,0)*0.475*44/12</f>
        <v>5.1940224155632574E-16</v>
      </c>
      <c r="FT140" s="22">
        <f t="shared" si="132"/>
        <v>0.1709023839452285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69.363384776681571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3.4106051316484809E-13</v>
      </c>
      <c r="GA140" s="17">
        <f>FZ140*VLOOKUP('Données projet'!$B$17,Paramètres!$A$1:$I$89,3,0)*VLOOKUP('Données projet'!$B$17,Paramètres!$A$1:$I$89,5,0)</f>
        <v>2.6602720026858149E-13</v>
      </c>
      <c r="GB140" s="13">
        <f t="shared" si="157"/>
        <v>3.5662905043956649E-12</v>
      </c>
      <c r="GC140" s="20">
        <f t="shared" si="133"/>
        <v>6.6746200022902298E-12</v>
      </c>
      <c r="GD140" s="59">
        <f t="shared" si="134"/>
        <v>290.99907751450576</v>
      </c>
      <c r="GE140" s="59">
        <f ca="1">AVERAGE(OFFSET($GD$3,0,0,'Données projet'!$E$17+1,1))-AVERAGE(OFFSET($H$3,0,0,'Données projet'!$E$17+1,1))</f>
        <v>300.95722646933314</v>
      </c>
      <c r="GF140" s="59">
        <f t="shared" si="158"/>
        <v>269.52365224623759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>
        <f>EXP(-LN(2)/35)*GL139+(1-EXP(-LN(2)/35))/(LN(2)/35)*GH140*GI140*VLOOKUP('Données projet'!$B$17,Paramètres!$A$1:$I$89,3,0)*0.475*44/12</f>
        <v>0.10691280139384933</v>
      </c>
      <c r="GM140" s="21">
        <f>EXP(-LN(2)/25)*GM139+(1-EXP(-LN(2)/25))/(LN(2)/25)*Calculateur!GH140*Calculateur!GJ140*VLOOKUP('Données projet'!$B$17,Paramètres!$A$1:$I$89,3,0)*0.475*44/12</f>
        <v>0.32115683124512179</v>
      </c>
      <c r="GN140" s="21">
        <f>EXP(-LN(2)/2)*GN139+(1-EXP(-LN(2)/2))/(LN(2)/2)*GH140*GK140*VLOOKUP('Données projet'!$B$17,Paramètres!$A$1:$I$89,3,0)*0.475*44/12</f>
        <v>6.9546959859313315E-16</v>
      </c>
      <c r="GO140" s="21">
        <f t="shared" si="135"/>
        <v>0.42806963263897185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69.363384776681571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1.4000000000000001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5.1333333333333337</v>
      </c>
      <c r="H141" s="67">
        <f t="shared" si="110"/>
        <v>236.13333333333335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69.374428627547729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-3.4106051316484809E-13</v>
      </c>
      <c r="O141" s="13">
        <f>N141*VLOOKUP('Données projet'!$B$9,Paramètres!$A$1:$I$89,3,0)*VLOOKUP('Données projet'!$B$9,Paramètres!$A$1:$I$89,5,0)</f>
        <v>-3.0859155231155454E-13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479.46542424895119</v>
      </c>
      <c r="T141" s="59">
        <f t="shared" si="142"/>
        <v>337.96395820277337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0.28370280311311752</v>
      </c>
      <c r="AA141" s="21">
        <f>EXP(-LN(2)/25)*AA140+(1-EXP(-LN(2)/25))/(LN(2)/25)*Calculateur!V141*Calculateur!X141*VLOOKUP('Données projet'!$B$9,Paramètres!$A$1:$I$89,3,0)*0.475*44/12</f>
        <v>0.56489537218514307</v>
      </c>
      <c r="AB141" s="21">
        <f>EXP(-LN(2)/2)*AB140+(1-EXP(-LN(2)/2))/(LN(2)/2)*V141*Y141*VLOOKUP('Données projet'!$B$9,Paramètres!$A$1:$I$89,3,0)*0.475*44/12</f>
        <v>1.1964505372056668E-15</v>
      </c>
      <c r="AC141" s="22">
        <f t="shared" si="111"/>
        <v>0.84859817529826176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69.374428627547729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-3.4106051316484809E-13</v>
      </c>
      <c r="AJ141" s="13">
        <f>AI141*VLOOKUP('Données projet'!$B$10,Paramètres!$A$1:$I$89,3,0)*VLOOKUP('Données projet'!$B$10,Paramètres!$A$1:$I$89,5,0)</f>
        <v>-3.2987372833304104E-13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508.94560627895089</v>
      </c>
      <c r="AO141" s="59">
        <f t="shared" si="144"/>
        <v>357.86868650263034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0.30326851367264307</v>
      </c>
      <c r="AV141" s="21">
        <f>EXP(-LN(2)/25)*AV140+(1-EXP(-LN(2)/25))/(LN(2)/25)*Calculateur!AQ141*Calculateur!AS141*VLOOKUP('Données projet'!$B$10,Paramètres!$A$1:$I$89,3,0)*0.475*44/12</f>
        <v>0.60385367371515286</v>
      </c>
      <c r="AW141" s="21">
        <f>EXP(-LN(2)/2)*AW140+(1-EXP(-LN(2)/2))/(LN(2)/2)*AQ141*AT141*VLOOKUP('Données projet'!$B$10,Paramètres!$A$1:$I$89,3,0)*0.475*44/12</f>
        <v>1.2789643673577759E-15</v>
      </c>
      <c r="AX141" s="21">
        <f t="shared" si="114"/>
        <v>0.90712218738779726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69.374428627547729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1.7053025658242404E-13</v>
      </c>
      <c r="BE141" s="13">
        <f>BD141*VLOOKUP('Données projet'!$B$11,Paramètres!$A$1:$I$89,3,0)*VLOOKUP('Données projet'!$B$11,Paramètres!$A$1:$I$89,5,0)</f>
        <v>1.3301360013429075E-13</v>
      </c>
      <c r="BF141" s="13">
        <f t="shared" si="145"/>
        <v>1.9329766731057041E-12</v>
      </c>
      <c r="BG141" s="20">
        <f t="shared" si="115"/>
        <v>3.5982663925596575E-12</v>
      </c>
      <c r="BH141" s="59">
        <f t="shared" si="116"/>
        <v>291.03957163434524</v>
      </c>
      <c r="BI141" s="59">
        <f ca="1">AVERAGE(OFFSET($BH$3,0,0,'Données projet'!$E$11+1,1))-AVERAGE(OFFSET($H$3,0,0,'Données projet'!$E$11+1,1))</f>
        <v>383.03154033422328</v>
      </c>
      <c r="BJ141" s="59">
        <f t="shared" si="146"/>
        <v>373.27897156169877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0.17032649817443943</v>
      </c>
      <c r="BQ141" s="21">
        <f>EXP(-LN(2)/25)*BQ140+(1-EXP(-LN(2)/25))/(LN(2)/25)*Calculateur!BL141*Calculateur!BN141*VLOOKUP('Données projet'!$B$11,Paramètres!$A$1:$I$89,3,0)*0.475*44/12</f>
        <v>0.41909585456448545</v>
      </c>
      <c r="BR141" s="21">
        <f>EXP(-LN(2)/2)*BR140+(1-EXP(-LN(2)/2))/(LN(2)/2)*BL141*BO141*VLOOKUP('Données projet'!$B$11,Paramètres!$A$1:$I$89,3,0)*0.475*44/12</f>
        <v>7.2559622736344728E-16</v>
      </c>
      <c r="BS141" s="22">
        <f t="shared" si="117"/>
        <v>0.58942235273892563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69.374428627547729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-3.4106051316484809E-13</v>
      </c>
      <c r="BZ141" s="13">
        <f>BY141*VLOOKUP('Données projet'!$B$12,Paramètres!$A$1:$I$89,3,0)*VLOOKUP('Données projet'!$B$12,Paramètres!$A$1:$I$89,5,0)</f>
        <v>-2.8730937629006804E-13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449.94334483948603</v>
      </c>
      <c r="CE141" s="59">
        <f t="shared" si="148"/>
        <v>318.02929110264176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0.26413709255359241</v>
      </c>
      <c r="CL141" s="21">
        <f>EXP(-LN(2)/25)*CL140+(1-EXP(-LN(2)/25))/(LN(2)/25)*Calculateur!CG141*Calculateur!CI141*VLOOKUP('Données projet'!$B$12,Paramètres!$A$1:$I$89,3,0)*0.475*44/12</f>
        <v>0.5259370706551334</v>
      </c>
      <c r="CM141" s="21">
        <f>EXP(-LN(2)/2)*CM140+(1-EXP(-LN(2)/2))/(LN(2)/2)*CG141*CJ141*VLOOKUP('Données projet'!$B$12,Paramètres!$A$1:$I$89,3,0)*0.475*44/12</f>
        <v>1.1139367070535478E-15</v>
      </c>
      <c r="CN141" s="22">
        <f t="shared" si="120"/>
        <v>0.79007416320872692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69.374428627547729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3.7</v>
      </c>
      <c r="CT141" s="12">
        <f>IF('Données projet'!$A$140&gt;35,CT140+CS141-DB140,IF(A141&lt;'Données projet'!$A$140,$CQ$205^A141,IF(A141='Données projet'!$A$140,'Données projet'!$B$140,CT140+CS141-DB140)))</f>
        <v>449.60000000000014</v>
      </c>
      <c r="CU141" s="17">
        <f>CT141*VLOOKUP('Données projet'!$B$13,Paramètres!$A$1:$I$89,3,0)*VLOOKUP('Données projet'!$B$13,Paramètres!$A$1:$I$89,5,0)</f>
        <v>385.75680000000017</v>
      </c>
      <c r="CV141" s="13">
        <f t="shared" si="149"/>
        <v>88.883009980379086</v>
      </c>
      <c r="CW141" s="20">
        <f t="shared" si="121"/>
        <v>826.66433571582718</v>
      </c>
      <c r="CX141" s="59">
        <f t="shared" si="122"/>
        <v>1117.7039073501687</v>
      </c>
      <c r="CY141" s="59">
        <f ca="1">AVERAGE(OFFSET($CX$3,0,0,'Données projet'!$E$13+1,1))-AVERAGE(OFFSET($H$3,0,0,'Données projet'!$E$13+1,1))</f>
        <v>565.32667500225568</v>
      </c>
      <c r="CZ141" s="59">
        <f t="shared" si="150"/>
        <v>275.06957234480944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0</v>
      </c>
      <c r="DG141" s="21">
        <f>EXP(-LN(2)/25)*DG140+(1-EXP(-LN(2)/25))/(LN(2)/25)*Calculateur!DB141*Calculateur!DD141*VLOOKUP('Données projet'!$B$13,Paramètres!$A$1:$I$89,3,0)*0.475*44/12</f>
        <v>0.21935896152905618</v>
      </c>
      <c r="DH141" s="21">
        <f>EXP(-LN(2)/2)*DH140+(1-EXP(-LN(2)/2))/(LN(2)/2)*DB141*DE141*VLOOKUP('Données projet'!$B$13,Paramètres!$A$1:$I$89,3,0)*0.475*44/12</f>
        <v>3.9321481134501929E-16</v>
      </c>
      <c r="DI141" s="22">
        <f t="shared" si="123"/>
        <v>0.21935896152905657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69.374428627547729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-1.2505552149377763E-12</v>
      </c>
      <c r="DP141" s="17">
        <f>DO141*VLOOKUP('Données projet'!$B$14,Paramètres!$A$1:$I$89,3,0)*VLOOKUP('Données projet'!$B$14,Paramètres!$A$1:$I$89,5,0)</f>
        <v>-6.9906036515021697E-13</v>
      </c>
      <c r="DQ141" s="13" t="e">
        <f t="shared" si="151"/>
        <v>#NUM!</v>
      </c>
      <c r="DR141" s="20" t="e">
        <f t="shared" si="124"/>
        <v>#NUM!</v>
      </c>
      <c r="DS141" s="59" t="e">
        <f t="shared" si="125"/>
        <v>#NUM!</v>
      </c>
      <c r="DT141" s="59">
        <f ca="1">AVERAGE(OFFSET($DS$3,0,0,'Données projet'!$E$14+1,1))-AVERAGE(OFFSET($H$3,0,0,'Données projet'!$E$14+1,1))</f>
        <v>532.64469322244281</v>
      </c>
      <c r="DU141" s="59">
        <f t="shared" si="152"/>
        <v>525.88014011096413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1.345142600967371</v>
      </c>
      <c r="EB141" s="21">
        <f>EXP(-LN(2)/25)*EB140+(1-EXP(-LN(2)/25))/(LN(2)/25)*Calculateur!DW141*Calculateur!DY141*VLOOKUP('Données projet'!$B$14,Paramètres!$A$1:$I$89,3,0)*0.475*44/12</f>
        <v>1.9405622442702375</v>
      </c>
      <c r="EC141" s="21">
        <f>EXP(-LN(2)/2)*EC140+(1-EXP(-LN(2)/2))/(LN(2)/2)*DW141*DZ141*VLOOKUP('Données projet'!$B$14,Paramètres!$A$1:$I$89,3,0)*0.475*44/12</f>
        <v>2.0245966766993026E-15</v>
      </c>
      <c r="ED141" s="22">
        <f t="shared" si="126"/>
        <v>3.285704845237611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69.374428627547729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-1.1368683772161603E-13</v>
      </c>
      <c r="EK141" s="17">
        <f>EJ141*VLOOKUP('Données projet'!$B$15,Paramètres!$A$1:$I$89,3,0)*VLOOKUP('Données projet'!$B$15,Paramètres!$A$1:$I$89,5,0)</f>
        <v>-1.0286385077051818E-13</v>
      </c>
      <c r="EL141" s="13" t="e">
        <f t="shared" si="153"/>
        <v>#NUM!</v>
      </c>
      <c r="EM141" s="20" t="e">
        <f t="shared" si="127"/>
        <v>#NUM!</v>
      </c>
      <c r="EN141" s="59" t="e">
        <f t="shared" si="128"/>
        <v>#NUM!</v>
      </c>
      <c r="EO141" s="59">
        <f ca="1">AVERAGE(OFFSET($EN$3,0,0,'Données projet'!$E$15+1,1))-AVERAGE(OFFSET($H$3,0,0,'Données projet'!$E$15+1,1))</f>
        <v>398.27843768730202</v>
      </c>
      <c r="EP141" s="59">
        <f t="shared" si="154"/>
        <v>252.3617347568813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0</v>
      </c>
      <c r="EW141" s="21">
        <f>EXP(-LN(2)/25)*EW140+(1-EXP(-LN(2)/25))/(LN(2)/25)*Calculateur!ER141*Calculateur!ET141*VLOOKUP('Données projet'!$B$15,Paramètres!$A$1:$I$89,3,0)*0.475*44/12</f>
        <v>0.15550459447733944</v>
      </c>
      <c r="EX141" s="21">
        <f>EXP(-LN(2)/2)*EX140+(1-EXP(-LN(2)/2))/(LN(2)/2)*ER141*EU141*VLOOKUP('Données projet'!$B$15,Paramètres!$A$1:$I$89,3,0)*0.475*44/12</f>
        <v>3.4357782477003758E-16</v>
      </c>
      <c r="EY141" s="22">
        <f t="shared" si="129"/>
        <v>0.15550459447733977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69.374428627547729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-1.1368683772161603E-13</v>
      </c>
      <c r="FF141" s="17">
        <f>FE141*VLOOKUP('Données projet'!$B$16,Paramètres!$A$1:$I$89,3,0)*VLOOKUP('Données projet'!$B$16,Paramètres!$A$1:$I$89,5,0)</f>
        <v>-1.0995790944434703E-13</v>
      </c>
      <c r="FG141" s="13" t="e">
        <f t="shared" si="155"/>
        <v>#NUM!</v>
      </c>
      <c r="FH141" s="20" t="e">
        <f t="shared" si="130"/>
        <v>#NUM!</v>
      </c>
      <c r="FI141" s="59" t="e">
        <f t="shared" si="131"/>
        <v>#NUM!</v>
      </c>
      <c r="FJ141" s="59">
        <f ca="1">AVERAGE(OFFSET($FI$3,0,0,'Données projet'!$E$16+1,1))-AVERAGE(OFFSET($H$3,0,0,'Données projet'!$E$16+1,1))</f>
        <v>422.28024471365825</v>
      </c>
      <c r="FK141" s="59">
        <f t="shared" si="156"/>
        <v>266.49730479813206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0</v>
      </c>
      <c r="FR141" s="21">
        <f>EXP(-LN(2)/25)*FR140+(1-EXP(-LN(2)/25))/(LN(2)/25)*Calculateur!FM141*Calculateur!FO141*VLOOKUP('Données projet'!$B$16,Paramètres!$A$1:$I$89,3,0)*0.475*44/12</f>
        <v>0.16622904926887994</v>
      </c>
      <c r="FS141" s="21">
        <f>EXP(-LN(2)/2)*FS140+(1-EXP(-LN(2)/2))/(LN(2)/2)*FM141*FP141*VLOOKUP('Données projet'!$B$16,Paramètres!$A$1:$I$89,3,0)*0.475*44/12</f>
        <v>3.6727284716797114E-16</v>
      </c>
      <c r="FT141" s="22">
        <f t="shared" si="132"/>
        <v>0.1662290492688803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69.374428627547729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3.4106051316484809E-13</v>
      </c>
      <c r="GA141" s="17">
        <f>FZ141*VLOOKUP('Données projet'!$B$17,Paramètres!$A$1:$I$89,3,0)*VLOOKUP('Données projet'!$B$17,Paramètres!$A$1:$I$89,5,0)</f>
        <v>2.6602720026858149E-13</v>
      </c>
      <c r="GB141" s="13">
        <f t="shared" si="157"/>
        <v>3.5662905043956649E-12</v>
      </c>
      <c r="GC141" s="20">
        <f t="shared" si="133"/>
        <v>6.6746200022902298E-12</v>
      </c>
      <c r="GD141" s="59">
        <f t="shared" si="134"/>
        <v>291.03957163434831</v>
      </c>
      <c r="GE141" s="59">
        <f ca="1">AVERAGE(OFFSET($GD$3,0,0,'Données projet'!$E$17+1,1))-AVERAGE(OFFSET($H$3,0,0,'Données projet'!$E$17+1,1))</f>
        <v>300.95722646933314</v>
      </c>
      <c r="GF141" s="59">
        <f t="shared" si="158"/>
        <v>269.52365224623759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>
        <f>EXP(-LN(2)/35)*GL140+(1-EXP(-LN(2)/35))/(LN(2)/35)*GH141*GI141*VLOOKUP('Données projet'!$B$17,Paramètres!$A$1:$I$89,3,0)*0.475*44/12</f>
        <v>0.10481630656888581</v>
      </c>
      <c r="GM141" s="21">
        <f>EXP(-LN(2)/25)*GM140+(1-EXP(-LN(2)/25))/(LN(2)/25)*Calculateur!GH141*Calculateur!GJ141*VLOOKUP('Données projet'!$B$17,Paramètres!$A$1:$I$89,3,0)*0.475*44/12</f>
        <v>0.31237478080582021</v>
      </c>
      <c r="GN141" s="21">
        <f>EXP(-LN(2)/2)*GN140+(1-EXP(-LN(2)/2))/(LN(2)/2)*GH141*GK141*VLOOKUP('Données projet'!$B$17,Paramètres!$A$1:$I$89,3,0)*0.475*44/12</f>
        <v>4.9177126927429063E-16</v>
      </c>
      <c r="GO141" s="21">
        <f t="shared" si="135"/>
        <v>0.4171910873747065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69.374428627547729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1.4000000000000001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5.1333333333333337</v>
      </c>
      <c r="H142" s="67">
        <f t="shared" si="110"/>
        <v>236.13333333333335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69.385280892291703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-3.4106051316484809E-13</v>
      </c>
      <c r="O142" s="13">
        <f>N142*VLOOKUP('Données projet'!$B$9,Paramètres!$A$1:$I$89,3,0)*VLOOKUP('Données projet'!$B$9,Paramètres!$A$1:$I$89,5,0)</f>
        <v>-3.0859155231155454E-13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479.46542424895119</v>
      </c>
      <c r="T142" s="59">
        <f t="shared" si="142"/>
        <v>337.96395820277337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0.27813956418569274</v>
      </c>
      <c r="AA142" s="21">
        <f>EXP(-LN(2)/25)*AA141+(1-EXP(-LN(2)/25))/(LN(2)/25)*Calculateur!V142*Calculateur!X142*VLOOKUP('Données projet'!$B$9,Paramètres!$A$1:$I$89,3,0)*0.475*44/12</f>
        <v>0.54944827852618383</v>
      </c>
      <c r="AB142" s="21">
        <f>EXP(-LN(2)/2)*AB141+(1-EXP(-LN(2)/2))/(LN(2)/2)*V142*Y142*VLOOKUP('Données projet'!$B$9,Paramètres!$A$1:$I$89,3,0)*0.475*44/12</f>
        <v>8.4601828821241466E-16</v>
      </c>
      <c r="AC142" s="22">
        <f t="shared" si="111"/>
        <v>0.82758784271187746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69.385280892291703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-3.4106051316484809E-13</v>
      </c>
      <c r="AJ142" s="13">
        <f>AI142*VLOOKUP('Données projet'!$B$10,Paramètres!$A$1:$I$89,3,0)*VLOOKUP('Données projet'!$B$10,Paramètres!$A$1:$I$89,5,0)</f>
        <v>-3.2987372833304104E-13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508.94560627895089</v>
      </c>
      <c r="AO142" s="59">
        <f t="shared" si="144"/>
        <v>357.86868650263034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0.29732160309505107</v>
      </c>
      <c r="AV142" s="21">
        <f>EXP(-LN(2)/25)*AV141+(1-EXP(-LN(2)/25))/(LN(2)/25)*Calculateur!AQ142*Calculateur!AS142*VLOOKUP('Données projet'!$B$10,Paramètres!$A$1:$I$89,3,0)*0.475*44/12</f>
        <v>0.58734126325212743</v>
      </c>
      <c r="AW142" s="21">
        <f>EXP(-LN(2)/2)*AW141+(1-EXP(-LN(2)/2))/(LN(2)/2)*AQ142*AT142*VLOOKUP('Données projet'!$B$10,Paramètres!$A$1:$I$89,3,0)*0.475*44/12</f>
        <v>9.0436437705464598E-16</v>
      </c>
      <c r="AX142" s="21">
        <f t="shared" si="114"/>
        <v>0.88466286634717939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69.385280892291703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1.7053025658242404E-13</v>
      </c>
      <c r="BE142" s="13">
        <f>BD142*VLOOKUP('Données projet'!$B$11,Paramètres!$A$1:$I$89,3,0)*VLOOKUP('Données projet'!$B$11,Paramètres!$A$1:$I$89,5,0)</f>
        <v>1.3301360013429075E-13</v>
      </c>
      <c r="BF142" s="13">
        <f t="shared" si="145"/>
        <v>1.9329766731057041E-12</v>
      </c>
      <c r="BG142" s="20">
        <f t="shared" si="115"/>
        <v>3.5982663925596575E-12</v>
      </c>
      <c r="BH142" s="59">
        <f t="shared" si="116"/>
        <v>291.07936327173979</v>
      </c>
      <c r="BI142" s="59">
        <f ca="1">AVERAGE(OFFSET($BH$3,0,0,'Données projet'!$E$11+1,1))-AVERAGE(OFFSET($H$3,0,0,'Données projet'!$E$11+1,1))</f>
        <v>383.03154033422328</v>
      </c>
      <c r="BJ142" s="59">
        <f t="shared" si="146"/>
        <v>373.27897156169877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0.16698649943414437</v>
      </c>
      <c r="BQ142" s="21">
        <f>EXP(-LN(2)/25)*BQ141+(1-EXP(-LN(2)/25))/(LN(2)/25)*Calculateur!BL142*Calculateur!BN142*VLOOKUP('Données projet'!$B$11,Paramètres!$A$1:$I$89,3,0)*0.475*44/12</f>
        <v>0.40763565638212645</v>
      </c>
      <c r="BR142" s="21">
        <f>EXP(-LN(2)/2)*BR141+(1-EXP(-LN(2)/2))/(LN(2)/2)*BL142*BO142*VLOOKUP('Données projet'!$B$11,Paramètres!$A$1:$I$89,3,0)*0.475*44/12</f>
        <v>5.1307401277206949E-16</v>
      </c>
      <c r="BS142" s="22">
        <f t="shared" si="117"/>
        <v>0.57462215581627141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69.385280892291703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-3.4106051316484809E-13</v>
      </c>
      <c r="BZ142" s="13">
        <f>BY142*VLOOKUP('Données projet'!$B$12,Paramètres!$A$1:$I$89,3,0)*VLOOKUP('Données projet'!$B$12,Paramètres!$A$1:$I$89,5,0)</f>
        <v>-2.8730937629006804E-13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449.94334483948603</v>
      </c>
      <c r="CE142" s="59">
        <f t="shared" si="148"/>
        <v>318.02929110264176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0.25895752527633487</v>
      </c>
      <c r="CL142" s="21">
        <f>EXP(-LN(2)/25)*CL141+(1-EXP(-LN(2)/25))/(LN(2)/25)*Calculateur!CG142*Calculateur!CI142*VLOOKUP('Données projet'!$B$12,Paramètres!$A$1:$I$89,3,0)*0.475*44/12</f>
        <v>0.51155529380024023</v>
      </c>
      <c r="CM142" s="21">
        <f>EXP(-LN(2)/2)*CM141+(1-EXP(-LN(2)/2))/(LN(2)/2)*CG142*CJ142*VLOOKUP('Données projet'!$B$12,Paramètres!$A$1:$I$89,3,0)*0.475*44/12</f>
        <v>7.8767219937017635E-16</v>
      </c>
      <c r="CN142" s="22">
        <f t="shared" si="120"/>
        <v>0.77051281907657587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69.385280892291703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3.7</v>
      </c>
      <c r="CT142" s="12">
        <f>IF('Données projet'!$A$140&gt;35,CT141+CS142-DB141,IF(A142&lt;'Données projet'!$A$140,$CQ$205^A142,IF(A142='Données projet'!$A$140,'Données projet'!$B$140,CT141+CS142-DB141)))</f>
        <v>453.30000000000013</v>
      </c>
      <c r="CU142" s="17">
        <f>CT142*VLOOKUP('Données projet'!$B$13,Paramètres!$A$1:$I$89,3,0)*VLOOKUP('Données projet'!$B$13,Paramètres!$A$1:$I$89,5,0)</f>
        <v>388.93140000000017</v>
      </c>
      <c r="CV142" s="13">
        <f t="shared" si="149"/>
        <v>89.529024765288796</v>
      </c>
      <c r="CW142" s="20">
        <f t="shared" si="121"/>
        <v>833.31857313287821</v>
      </c>
      <c r="CX142" s="59">
        <f t="shared" si="122"/>
        <v>1124.3979364046145</v>
      </c>
      <c r="CY142" s="59">
        <f ca="1">AVERAGE(OFFSET($CX$3,0,0,'Données projet'!$E$13+1,1))-AVERAGE(OFFSET($H$3,0,0,'Données projet'!$E$13+1,1))</f>
        <v>565.32667500225568</v>
      </c>
      <c r="CZ142" s="59">
        <f t="shared" si="150"/>
        <v>275.06957234480944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0</v>
      </c>
      <c r="DG142" s="21">
        <f>EXP(-LN(2)/25)*DG141+(1-EXP(-LN(2)/25))/(LN(2)/25)*Calculateur!DB142*Calculateur!DD142*VLOOKUP('Données projet'!$B$13,Paramètres!$A$1:$I$89,3,0)*0.475*44/12</f>
        <v>0.2133605791904577</v>
      </c>
      <c r="DH142" s="21">
        <f>EXP(-LN(2)/2)*DH141+(1-EXP(-LN(2)/2))/(LN(2)/2)*DB142*DE142*VLOOKUP('Données projet'!$B$13,Paramètres!$A$1:$I$89,3,0)*0.475*44/12</f>
        <v>2.7804485956505211E-16</v>
      </c>
      <c r="DI142" s="22">
        <f t="shared" si="123"/>
        <v>0.21336057919045798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69.385280892291703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-1.2505552149377763E-12</v>
      </c>
      <c r="DP142" s="17">
        <f>DO142*VLOOKUP('Données projet'!$B$14,Paramètres!$A$1:$I$89,3,0)*VLOOKUP('Données projet'!$B$14,Paramètres!$A$1:$I$89,5,0)</f>
        <v>-6.9906036515021697E-13</v>
      </c>
      <c r="DQ142" s="13" t="e">
        <f t="shared" si="151"/>
        <v>#NUM!</v>
      </c>
      <c r="DR142" s="20" t="e">
        <f t="shared" si="124"/>
        <v>#NUM!</v>
      </c>
      <c r="DS142" s="59" t="e">
        <f t="shared" si="125"/>
        <v>#NUM!</v>
      </c>
      <c r="DT142" s="59">
        <f ca="1">AVERAGE(OFFSET($DS$3,0,0,'Données projet'!$E$14+1,1))-AVERAGE(OFFSET($H$3,0,0,'Données projet'!$E$14+1,1))</f>
        <v>532.64469322244281</v>
      </c>
      <c r="DU142" s="59">
        <f t="shared" si="152"/>
        <v>525.88014011096413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1.3187651750183742</v>
      </c>
      <c r="EB142" s="21">
        <f>EXP(-LN(2)/25)*EB141+(1-EXP(-LN(2)/25))/(LN(2)/25)*Calculateur!DW142*Calculateur!DY142*VLOOKUP('Données projet'!$B$14,Paramètres!$A$1:$I$89,3,0)*0.475*44/12</f>
        <v>1.8874974676509346</v>
      </c>
      <c r="EC142" s="21">
        <f>EXP(-LN(2)/2)*EC141+(1-EXP(-LN(2)/2))/(LN(2)/2)*DW142*DZ142*VLOOKUP('Données projet'!$B$14,Paramètres!$A$1:$I$89,3,0)*0.475*44/12</f>
        <v>1.4316060392618251E-15</v>
      </c>
      <c r="ED142" s="22">
        <f t="shared" si="126"/>
        <v>3.2062626426693099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69.385280892291703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-1.1368683772161603E-13</v>
      </c>
      <c r="EK142" s="17">
        <f>EJ142*VLOOKUP('Données projet'!$B$15,Paramètres!$A$1:$I$89,3,0)*VLOOKUP('Données projet'!$B$15,Paramètres!$A$1:$I$89,5,0)</f>
        <v>-1.0286385077051818E-13</v>
      </c>
      <c r="EL142" s="13" t="e">
        <f t="shared" si="153"/>
        <v>#NUM!</v>
      </c>
      <c r="EM142" s="20" t="e">
        <f t="shared" si="127"/>
        <v>#NUM!</v>
      </c>
      <c r="EN142" s="59" t="e">
        <f t="shared" si="128"/>
        <v>#NUM!</v>
      </c>
      <c r="EO142" s="59">
        <f ca="1">AVERAGE(OFFSET($EN$3,0,0,'Données projet'!$E$15+1,1))-AVERAGE(OFFSET($H$3,0,0,'Données projet'!$E$15+1,1))</f>
        <v>398.27843768730202</v>
      </c>
      <c r="EP142" s="59">
        <f t="shared" si="154"/>
        <v>252.3617347568813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0</v>
      </c>
      <c r="EW142" s="21">
        <f>EXP(-LN(2)/25)*EW141+(1-EXP(-LN(2)/25))/(LN(2)/25)*Calculateur!ER142*Calculateur!ET142*VLOOKUP('Données projet'!$B$15,Paramètres!$A$1:$I$89,3,0)*0.475*44/12</f>
        <v>0.15125231316372539</v>
      </c>
      <c r="EX142" s="21">
        <f>EXP(-LN(2)/2)*EX141+(1-EXP(-LN(2)/2))/(LN(2)/2)*ER142*EU142*VLOOKUP('Données projet'!$B$15,Paramètres!$A$1:$I$89,3,0)*0.475*44/12</f>
        <v>2.4294620976021693E-16</v>
      </c>
      <c r="EY142" s="22">
        <f t="shared" si="129"/>
        <v>0.15125231316372564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69.385280892291703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-1.1368683772161603E-13</v>
      </c>
      <c r="FF142" s="17">
        <f>FE142*VLOOKUP('Données projet'!$B$16,Paramètres!$A$1:$I$89,3,0)*VLOOKUP('Données projet'!$B$16,Paramètres!$A$1:$I$89,5,0)</f>
        <v>-1.0995790944434703E-13</v>
      </c>
      <c r="FG142" s="13" t="e">
        <f t="shared" si="155"/>
        <v>#NUM!</v>
      </c>
      <c r="FH142" s="20" t="e">
        <f t="shared" si="130"/>
        <v>#NUM!</v>
      </c>
      <c r="FI142" s="59" t="e">
        <f t="shared" si="131"/>
        <v>#NUM!</v>
      </c>
      <c r="FJ142" s="59">
        <f ca="1">AVERAGE(OFFSET($FI$3,0,0,'Données projet'!$E$16+1,1))-AVERAGE(OFFSET($H$3,0,0,'Données projet'!$E$16+1,1))</f>
        <v>422.28024471365825</v>
      </c>
      <c r="FK142" s="59">
        <f t="shared" si="156"/>
        <v>266.49730479813206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0</v>
      </c>
      <c r="FR142" s="21">
        <f>EXP(-LN(2)/25)*FR141+(1-EXP(-LN(2)/25))/(LN(2)/25)*Calculateur!FM142*Calculateur!FO142*VLOOKUP('Données projet'!$B$16,Paramètres!$A$1:$I$89,3,0)*0.475*44/12</f>
        <v>0.16168350717501664</v>
      </c>
      <c r="FS142" s="21">
        <f>EXP(-LN(2)/2)*FS141+(1-EXP(-LN(2)/2))/(LN(2)/2)*FM142*FP142*VLOOKUP('Données projet'!$B$16,Paramètres!$A$1:$I$89,3,0)*0.475*44/12</f>
        <v>2.5970112077816287E-16</v>
      </c>
      <c r="FT142" s="22">
        <f t="shared" si="132"/>
        <v>0.16168350717501689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69.385280892291703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3.4106051316484809E-13</v>
      </c>
      <c r="GA142" s="17">
        <f>FZ142*VLOOKUP('Données projet'!$B$17,Paramètres!$A$1:$I$89,3,0)*VLOOKUP('Données projet'!$B$17,Paramètres!$A$1:$I$89,5,0)</f>
        <v>2.6602720026858149E-13</v>
      </c>
      <c r="GB142" s="13">
        <f t="shared" si="157"/>
        <v>3.5662905043956649E-12</v>
      </c>
      <c r="GC142" s="20">
        <f t="shared" si="133"/>
        <v>6.6746200022902298E-12</v>
      </c>
      <c r="GD142" s="59">
        <f t="shared" si="134"/>
        <v>291.07936327174286</v>
      </c>
      <c r="GE142" s="59">
        <f ca="1">AVERAGE(OFFSET($GD$3,0,0,'Données projet'!$E$17+1,1))-AVERAGE(OFFSET($H$3,0,0,'Données projet'!$E$17+1,1))</f>
        <v>300.95722646933314</v>
      </c>
      <c r="GF142" s="59">
        <f t="shared" si="158"/>
        <v>269.52365224623759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>
        <f>EXP(-LN(2)/35)*GL141+(1-EXP(-LN(2)/35))/(LN(2)/35)*GH142*GI142*VLOOKUP('Données projet'!$B$17,Paramètres!$A$1:$I$89,3,0)*0.475*44/12</f>
        <v>0.10276092272870424</v>
      </c>
      <c r="GM142" s="21">
        <f>EXP(-LN(2)/25)*GM141+(1-EXP(-LN(2)/25))/(LN(2)/25)*Calculateur!GH142*Calculateur!GJ142*VLOOKUP('Données projet'!$B$17,Paramètres!$A$1:$I$89,3,0)*0.475*44/12</f>
        <v>0.30383287599760928</v>
      </c>
      <c r="GN142" s="21">
        <f>EXP(-LN(2)/2)*GN141+(1-EXP(-LN(2)/2))/(LN(2)/2)*GH142*GK142*VLOOKUP('Données projet'!$B$17,Paramètres!$A$1:$I$89,3,0)*0.475*44/12</f>
        <v>3.4773479929656657E-16</v>
      </c>
      <c r="GO142" s="21">
        <f t="shared" si="135"/>
        <v>0.40659379872631385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69.385280892291703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1.4000000000000001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5.1333333333333337</v>
      </c>
      <c r="H143" s="67">
        <f t="shared" si="110"/>
        <v>236.13333333333335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69.39594489450441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-3.4106051316484809E-13</v>
      </c>
      <c r="O143" s="13">
        <f>N143*VLOOKUP('Données projet'!$B$9,Paramètres!$A$1:$I$89,3,0)*VLOOKUP('Données projet'!$B$9,Paramètres!$A$1:$I$89,5,0)</f>
        <v>-3.0859155231155454E-13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479.46542424895119</v>
      </c>
      <c r="T143" s="59">
        <f t="shared" si="142"/>
        <v>337.96395820277337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0.27268541698039406</v>
      </c>
      <c r="AA143" s="21">
        <f>EXP(-LN(2)/25)*AA142+(1-EXP(-LN(2)/25))/(LN(2)/25)*Calculateur!V143*Calculateur!X143*VLOOKUP('Données projet'!$B$9,Paramètres!$A$1:$I$89,3,0)*0.475*44/12</f>
        <v>0.53442358645565613</v>
      </c>
      <c r="AB143" s="21">
        <f>EXP(-LN(2)/2)*AB142+(1-EXP(-LN(2)/2))/(LN(2)/2)*V143*Y143*VLOOKUP('Données projet'!$B$9,Paramètres!$A$1:$I$89,3,0)*0.475*44/12</f>
        <v>5.9822526860283339E-16</v>
      </c>
      <c r="AC143" s="22">
        <f t="shared" si="111"/>
        <v>0.80710900343605074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69.39594489450441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-3.4106051316484809E-13</v>
      </c>
      <c r="AJ143" s="13">
        <f>AI143*VLOOKUP('Données projet'!$B$10,Paramètres!$A$1:$I$89,3,0)*VLOOKUP('Données projet'!$B$10,Paramètres!$A$1:$I$89,5,0)</f>
        <v>-3.2987372833304104E-13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508.94560627895089</v>
      </c>
      <c r="AO143" s="59">
        <f t="shared" si="144"/>
        <v>357.86868650263034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0.29149130780662835</v>
      </c>
      <c r="AV143" s="21">
        <f>EXP(-LN(2)/25)*AV142+(1-EXP(-LN(2)/25))/(LN(2)/25)*Calculateur!AQ143*Calculateur!AS143*VLOOKUP('Données projet'!$B$10,Paramètres!$A$1:$I$89,3,0)*0.475*44/12</f>
        <v>0.57128038552156335</v>
      </c>
      <c r="AW143" s="21">
        <f>EXP(-LN(2)/2)*AW142+(1-EXP(-LN(2)/2))/(LN(2)/2)*AQ143*AT143*VLOOKUP('Données projet'!$B$10,Paramètres!$A$1:$I$89,3,0)*0.475*44/12</f>
        <v>6.3948218367888793E-16</v>
      </c>
      <c r="AX143" s="21">
        <f t="shared" si="114"/>
        <v>0.86277169332819237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69.39594489450441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1.7053025658242404E-13</v>
      </c>
      <c r="BE143" s="13">
        <f>BD143*VLOOKUP('Données projet'!$B$11,Paramètres!$A$1:$I$89,3,0)*VLOOKUP('Données projet'!$B$11,Paramètres!$A$1:$I$89,5,0)</f>
        <v>1.3301360013429075E-13</v>
      </c>
      <c r="BF143" s="13">
        <f t="shared" si="145"/>
        <v>1.9329766731057041E-12</v>
      </c>
      <c r="BG143" s="20">
        <f t="shared" si="115"/>
        <v>3.5982663925596575E-12</v>
      </c>
      <c r="BH143" s="59">
        <f t="shared" si="116"/>
        <v>291.1184646131864</v>
      </c>
      <c r="BI143" s="59">
        <f ca="1">AVERAGE(OFFSET($BH$3,0,0,'Données projet'!$E$11+1,1))-AVERAGE(OFFSET($H$3,0,0,'Données projet'!$E$11+1,1))</f>
        <v>383.03154033422328</v>
      </c>
      <c r="BJ143" s="59">
        <f t="shared" si="146"/>
        <v>373.27897156169877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0.16371199603194844</v>
      </c>
      <c r="BQ143" s="21">
        <f>EXP(-LN(2)/25)*BQ142+(1-EXP(-LN(2)/25))/(LN(2)/25)*Calculateur!BL143*Calculateur!BN143*VLOOKUP('Données projet'!$B$11,Paramètres!$A$1:$I$89,3,0)*0.475*44/12</f>
        <v>0.39648883792172968</v>
      </c>
      <c r="BR143" s="21">
        <f>EXP(-LN(2)/2)*BR142+(1-EXP(-LN(2)/2))/(LN(2)/2)*BL143*BO143*VLOOKUP('Données projet'!$B$11,Paramètres!$A$1:$I$89,3,0)*0.475*44/12</f>
        <v>3.6279811368172364E-16</v>
      </c>
      <c r="BS143" s="22">
        <f t="shared" si="117"/>
        <v>0.56020083395367848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69.39594489450441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-3.4106051316484809E-13</v>
      </c>
      <c r="BZ143" s="13">
        <f>BY143*VLOOKUP('Données projet'!$B$12,Paramètres!$A$1:$I$89,3,0)*VLOOKUP('Données projet'!$B$12,Paramètres!$A$1:$I$89,5,0)</f>
        <v>-2.8730937629006804E-13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449.94334483948603</v>
      </c>
      <c r="CE143" s="59">
        <f t="shared" si="148"/>
        <v>318.02929110264176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0.25387952615416026</v>
      </c>
      <c r="CL143" s="21">
        <f>EXP(-LN(2)/25)*CL142+(1-EXP(-LN(2)/25))/(LN(2)/25)*Calculateur!CG143*Calculateur!CI143*VLOOKUP('Données projet'!$B$12,Paramètres!$A$1:$I$89,3,0)*0.475*44/12</f>
        <v>0.49756678738974891</v>
      </c>
      <c r="CM143" s="21">
        <f>EXP(-LN(2)/2)*CM142+(1-EXP(-LN(2)/2))/(LN(2)/2)*CG143*CJ143*VLOOKUP('Données projet'!$B$12,Paramètres!$A$1:$I$89,3,0)*0.475*44/12</f>
        <v>5.5696835352677392E-16</v>
      </c>
      <c r="CN143" s="22">
        <f t="shared" si="120"/>
        <v>0.75144631354390967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69.39594489450441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>
        <f>VLOOKUP(A143,'Données projet'!$A$139:$I$159,2,0)</f>
        <v>457</v>
      </c>
      <c r="CR143" s="12">
        <f>VLOOKUP(A143,'Données projet'!$A$139:$I$159,9,0)</f>
        <v>3.7</v>
      </c>
      <c r="CS143" s="12">
        <f t="array" ref="CS143">INDEX(CR:CR,MIN(IF(ISNUMBER(CR143:CR339),ROW(CR143:CR339),"")))</f>
        <v>3.7</v>
      </c>
      <c r="CT143" s="12">
        <f>IF('Données projet'!$A$140&gt;35,CT142+CS143-DB142,IF(A143&lt;'Données projet'!$A$140,$CQ$205^A143,IF(A143='Données projet'!$A$140,'Données projet'!$B$140,CT142+CS143-DB142)))</f>
        <v>457.00000000000011</v>
      </c>
      <c r="CU143" s="17">
        <f>CT143*VLOOKUP('Données projet'!$B$13,Paramètres!$A$1:$I$89,3,0)*VLOOKUP('Données projet'!$B$13,Paramètres!$A$1:$I$89,5,0)</f>
        <v>392.10600000000017</v>
      </c>
      <c r="CV143" s="13">
        <f t="shared" si="149"/>
        <v>90.174426056298898</v>
      </c>
      <c r="CW143" s="20">
        <f t="shared" si="121"/>
        <v>839.97174204805413</v>
      </c>
      <c r="CX143" s="59">
        <f t="shared" si="122"/>
        <v>1131.0902066612371</v>
      </c>
      <c r="CY143" s="59">
        <f ca="1">AVERAGE(OFFSET($CX$3,0,0,'Données projet'!$E$13+1,1))-AVERAGE(OFFSET($H$3,0,0,'Données projet'!$E$13+1,1))</f>
        <v>565.32667500225568</v>
      </c>
      <c r="CZ143" s="59">
        <f t="shared" si="150"/>
        <v>275.06957234480944</v>
      </c>
      <c r="DA143" s="15">
        <f>IF(ISNA(VLOOKUP(A143,'Données projet'!$A$139:$I$159,3,0)),0,VLOOKUP(A143,'Données projet'!$A$139:$I$159,3,0))</f>
        <v>12</v>
      </c>
      <c r="DB143" s="15">
        <f>IF(ISNA(VLOOKUP(A143,'Données projet'!$A$139:$I$159,4,0)),0,VLOOKUP(A143,'Données projet'!$A$139:$I$159,4,0))</f>
        <v>30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0</v>
      </c>
      <c r="DG143" s="21">
        <f>EXP(-LN(2)/25)*DG142+(1-EXP(-LN(2)/25))/(LN(2)/25)*Calculateur!DB143*Calculateur!DD143*VLOOKUP('Données projet'!$B$13,Paramètres!$A$1:$I$89,3,0)*0.475*44/12</f>
        <v>0.20752622293234943</v>
      </c>
      <c r="DH143" s="21">
        <f>EXP(-LN(2)/2)*DH142+(1-EXP(-LN(2)/2))/(LN(2)/2)*DB143*DE143*VLOOKUP('Données projet'!$B$13,Paramètres!$A$1:$I$89,3,0)*0.475*44/12</f>
        <v>1.9660740567250964E-16</v>
      </c>
      <c r="DI143" s="22">
        <f t="shared" si="123"/>
        <v>0.20752622293234962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69.39594489450441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-1.2505552149377763E-12</v>
      </c>
      <c r="DP143" s="17">
        <f>DO143*VLOOKUP('Données projet'!$B$14,Paramètres!$A$1:$I$89,3,0)*VLOOKUP('Données projet'!$B$14,Paramètres!$A$1:$I$89,5,0)</f>
        <v>-6.9906036515021697E-13</v>
      </c>
      <c r="DQ143" s="13" t="e">
        <f t="shared" si="151"/>
        <v>#NUM!</v>
      </c>
      <c r="DR143" s="20" t="e">
        <f t="shared" si="124"/>
        <v>#NUM!</v>
      </c>
      <c r="DS143" s="59" t="e">
        <f t="shared" si="125"/>
        <v>#NUM!</v>
      </c>
      <c r="DT143" s="59">
        <f ca="1">AVERAGE(OFFSET($DS$3,0,0,'Données projet'!$E$14+1,1))-AVERAGE(OFFSET($H$3,0,0,'Données projet'!$E$14+1,1))</f>
        <v>532.64469322244281</v>
      </c>
      <c r="DU143" s="59">
        <f t="shared" si="152"/>
        <v>525.88014011096413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1.292904994303596</v>
      </c>
      <c r="EB143" s="21">
        <f>EXP(-LN(2)/25)*EB142+(1-EXP(-LN(2)/25))/(LN(2)/25)*Calculateur!DW143*Calculateur!DY143*VLOOKUP('Données projet'!$B$14,Paramètres!$A$1:$I$89,3,0)*0.475*44/12</f>
        <v>1.8358837501388419</v>
      </c>
      <c r="EC143" s="21">
        <f>EXP(-LN(2)/2)*EC142+(1-EXP(-LN(2)/2))/(LN(2)/2)*DW143*DZ143*VLOOKUP('Données projet'!$B$14,Paramètres!$A$1:$I$89,3,0)*0.475*44/12</f>
        <v>1.0122983383496513E-15</v>
      </c>
      <c r="ED143" s="22">
        <f t="shared" si="126"/>
        <v>3.1287887444424385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69.39594489450441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-1.1368683772161603E-13</v>
      </c>
      <c r="EK143" s="17">
        <f>EJ143*VLOOKUP('Données projet'!$B$15,Paramètres!$A$1:$I$89,3,0)*VLOOKUP('Données projet'!$B$15,Paramètres!$A$1:$I$89,5,0)</f>
        <v>-1.0286385077051818E-13</v>
      </c>
      <c r="EL143" s="13" t="e">
        <f t="shared" si="153"/>
        <v>#NUM!</v>
      </c>
      <c r="EM143" s="20" t="e">
        <f t="shared" si="127"/>
        <v>#NUM!</v>
      </c>
      <c r="EN143" s="59" t="e">
        <f t="shared" si="128"/>
        <v>#NUM!</v>
      </c>
      <c r="EO143" s="59">
        <f ca="1">AVERAGE(OFFSET($EN$3,0,0,'Données projet'!$E$15+1,1))-AVERAGE(OFFSET($H$3,0,0,'Données projet'!$E$15+1,1))</f>
        <v>398.27843768730202</v>
      </c>
      <c r="EP143" s="59">
        <f t="shared" si="154"/>
        <v>252.3617347568813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0</v>
      </c>
      <c r="EW143" s="21">
        <f>EXP(-LN(2)/25)*EW142+(1-EXP(-LN(2)/25))/(LN(2)/25)*Calculateur!ER143*Calculateur!ET143*VLOOKUP('Données projet'!$B$15,Paramètres!$A$1:$I$89,3,0)*0.475*44/12</f>
        <v>0.14711631070624986</v>
      </c>
      <c r="EX143" s="21">
        <f>EXP(-LN(2)/2)*EX142+(1-EXP(-LN(2)/2))/(LN(2)/2)*ER143*EU143*VLOOKUP('Données projet'!$B$15,Paramètres!$A$1:$I$89,3,0)*0.475*44/12</f>
        <v>1.7178891238501879E-16</v>
      </c>
      <c r="EY143" s="22">
        <f t="shared" si="129"/>
        <v>0.14711631070625003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69.39594489450441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-1.1368683772161603E-13</v>
      </c>
      <c r="FF143" s="17">
        <f>FE143*VLOOKUP('Données projet'!$B$16,Paramètres!$A$1:$I$89,3,0)*VLOOKUP('Données projet'!$B$16,Paramètres!$A$1:$I$89,5,0)</f>
        <v>-1.0995790944434703E-13</v>
      </c>
      <c r="FG143" s="13" t="e">
        <f t="shared" si="155"/>
        <v>#NUM!</v>
      </c>
      <c r="FH143" s="20" t="e">
        <f t="shared" si="130"/>
        <v>#NUM!</v>
      </c>
      <c r="FI143" s="59" t="e">
        <f t="shared" si="131"/>
        <v>#NUM!</v>
      </c>
      <c r="FJ143" s="59">
        <f ca="1">AVERAGE(OFFSET($FI$3,0,0,'Données projet'!$E$16+1,1))-AVERAGE(OFFSET($H$3,0,0,'Données projet'!$E$16+1,1))</f>
        <v>422.28024471365825</v>
      </c>
      <c r="FK143" s="59">
        <f t="shared" si="156"/>
        <v>266.49730479813206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0</v>
      </c>
      <c r="FR143" s="21">
        <f>EXP(-LN(2)/25)*FR142+(1-EXP(-LN(2)/25))/(LN(2)/25)*Calculateur!FM143*Calculateur!FO143*VLOOKUP('Données projet'!$B$16,Paramètres!$A$1:$I$89,3,0)*0.475*44/12</f>
        <v>0.15726226316874969</v>
      </c>
      <c r="FS143" s="21">
        <f>EXP(-LN(2)/2)*FS142+(1-EXP(-LN(2)/2))/(LN(2)/2)*FM143*FP143*VLOOKUP('Données projet'!$B$16,Paramètres!$A$1:$I$89,3,0)*0.475*44/12</f>
        <v>1.8363642358398557E-16</v>
      </c>
      <c r="FT143" s="22">
        <f t="shared" si="132"/>
        <v>0.15726226316874989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69.39594489450441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3.4106051316484809E-13</v>
      </c>
      <c r="GA143" s="17">
        <f>FZ143*VLOOKUP('Données projet'!$B$17,Paramètres!$A$1:$I$89,3,0)*VLOOKUP('Données projet'!$B$17,Paramètres!$A$1:$I$89,5,0)</f>
        <v>2.6602720026858149E-13</v>
      </c>
      <c r="GB143" s="13">
        <f t="shared" si="157"/>
        <v>3.5662905043956649E-12</v>
      </c>
      <c r="GC143" s="20">
        <f t="shared" si="133"/>
        <v>6.6746200022902298E-12</v>
      </c>
      <c r="GD143" s="59">
        <f t="shared" si="134"/>
        <v>291.11846461318947</v>
      </c>
      <c r="GE143" s="59">
        <f ca="1">AVERAGE(OFFSET($GD$3,0,0,'Données projet'!$E$17+1,1))-AVERAGE(OFFSET($H$3,0,0,'Données projet'!$E$17+1,1))</f>
        <v>300.95722646933314</v>
      </c>
      <c r="GF143" s="59">
        <f t="shared" si="158"/>
        <v>269.52365224623759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>
        <f>EXP(-LN(2)/35)*GL142+(1-EXP(-LN(2)/35))/(LN(2)/35)*GH143*GI143*VLOOKUP('Données projet'!$B$17,Paramètres!$A$1:$I$89,3,0)*0.475*44/12</f>
        <v>0.10074584371196828</v>
      </c>
      <c r="GM143" s="21">
        <f>EXP(-LN(2)/25)*GM142+(1-EXP(-LN(2)/25))/(LN(2)/25)*Calculateur!GH143*Calculateur!GJ143*VLOOKUP('Données projet'!$B$17,Paramètres!$A$1:$I$89,3,0)*0.475*44/12</f>
        <v>0.29552455002557815</v>
      </c>
      <c r="GN143" s="21">
        <f>EXP(-LN(2)/2)*GN142+(1-EXP(-LN(2)/2))/(LN(2)/2)*GH143*GK143*VLOOKUP('Données projet'!$B$17,Paramètres!$A$1:$I$89,3,0)*0.475*44/12</f>
        <v>2.4588563463714532E-16</v>
      </c>
      <c r="GO143" s="21">
        <f t="shared" si="135"/>
        <v>0.39627039373754663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69.39594489450441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1.4000000000000001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5.1333333333333337</v>
      </c>
      <c r="H144" s="67">
        <f t="shared" si="110"/>
        <v>236.13333333333335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69.406423900119847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-3.4106051316484809E-13</v>
      </c>
      <c r="O144" s="13">
        <f>N144*VLOOKUP('Données projet'!$B$9,Paramètres!$A$1:$I$89,3,0)*VLOOKUP('Données projet'!$B$9,Paramètres!$A$1:$I$89,5,0)</f>
        <v>-3.0859155231155454E-13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479.46542424895119</v>
      </c>
      <c r="T144" s="59">
        <f t="shared" si="142"/>
        <v>337.96395820277337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0.26733822227508997</v>
      </c>
      <c r="AA144" s="21">
        <f>EXP(-LN(2)/25)*AA143+(1-EXP(-LN(2)/25))/(LN(2)/25)*Calculateur!V144*Calculateur!X144*VLOOKUP('Données projet'!$B$9,Paramètres!$A$1:$I$89,3,0)*0.475*44/12</f>
        <v>0.5198097453799112</v>
      </c>
      <c r="AB144" s="21">
        <f>EXP(-LN(2)/2)*AB143+(1-EXP(-LN(2)/2))/(LN(2)/2)*V144*Y144*VLOOKUP('Données projet'!$B$9,Paramètres!$A$1:$I$89,3,0)*0.475*44/12</f>
        <v>4.2300914410620733E-16</v>
      </c>
      <c r="AC144" s="22">
        <f t="shared" si="111"/>
        <v>0.78714796765500161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69.406423900119847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-3.4106051316484809E-13</v>
      </c>
      <c r="AJ144" s="13">
        <f>AI144*VLOOKUP('Données projet'!$B$10,Paramètres!$A$1:$I$89,3,0)*VLOOKUP('Données projet'!$B$10,Paramètres!$A$1:$I$89,5,0)</f>
        <v>-3.2987372833304104E-13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508.94560627895089</v>
      </c>
      <c r="AO144" s="59">
        <f t="shared" si="144"/>
        <v>357.86868650263034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0.2857753410526826</v>
      </c>
      <c r="AV144" s="21">
        <f>EXP(-LN(2)/25)*AV143+(1-EXP(-LN(2)/25))/(LN(2)/25)*Calculateur!AQ144*Calculateur!AS144*VLOOKUP('Données projet'!$B$10,Paramètres!$A$1:$I$89,3,0)*0.475*44/12</f>
        <v>0.55565869333714646</v>
      </c>
      <c r="AW144" s="21">
        <f>EXP(-LN(2)/2)*AW143+(1-EXP(-LN(2)/2))/(LN(2)/2)*AQ144*AT144*VLOOKUP('Données projet'!$B$10,Paramètres!$A$1:$I$89,3,0)*0.475*44/12</f>
        <v>4.5218218852732299E-16</v>
      </c>
      <c r="AX144" s="21">
        <f t="shared" si="114"/>
        <v>0.84143403438982944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69.406423900119847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1.7053025658242404E-13</v>
      </c>
      <c r="BE144" s="13">
        <f>BD144*VLOOKUP('Données projet'!$B$11,Paramètres!$A$1:$I$89,3,0)*VLOOKUP('Données projet'!$B$11,Paramètres!$A$1:$I$89,5,0)</f>
        <v>1.3301360013429075E-13</v>
      </c>
      <c r="BF144" s="13">
        <f t="shared" si="145"/>
        <v>1.9329766731057041E-12</v>
      </c>
      <c r="BG144" s="20">
        <f t="shared" si="115"/>
        <v>3.5982663925596575E-12</v>
      </c>
      <c r="BH144" s="59">
        <f t="shared" si="116"/>
        <v>291.15688763377636</v>
      </c>
      <c r="BI144" s="59">
        <f ca="1">AVERAGE(OFFSET($BH$3,0,0,'Données projet'!$E$11+1,1))-AVERAGE(OFFSET($H$3,0,0,'Données projet'!$E$11+1,1))</f>
        <v>383.03154033422328</v>
      </c>
      <c r="BJ144" s="59">
        <f t="shared" si="146"/>
        <v>373.27897156169877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0.1605017036442197</v>
      </c>
      <c r="BQ144" s="21">
        <f>EXP(-LN(2)/25)*BQ143+(1-EXP(-LN(2)/25))/(LN(2)/25)*Calculateur!BL144*Calculateur!BN144*VLOOKUP('Données projet'!$B$11,Paramètres!$A$1:$I$89,3,0)*0.475*44/12</f>
        <v>0.38564682979831816</v>
      </c>
      <c r="BR144" s="21">
        <f>EXP(-LN(2)/2)*BR143+(1-EXP(-LN(2)/2))/(LN(2)/2)*BL144*BO144*VLOOKUP('Données projet'!$B$11,Paramètres!$A$1:$I$89,3,0)*0.475*44/12</f>
        <v>2.5653700638603474E-16</v>
      </c>
      <c r="BS144" s="22">
        <f t="shared" si="117"/>
        <v>0.54614853344253811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69.406423900119847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-3.4106051316484809E-13</v>
      </c>
      <c r="BZ144" s="13">
        <f>BY144*VLOOKUP('Données projet'!$B$12,Paramètres!$A$1:$I$89,3,0)*VLOOKUP('Données projet'!$B$12,Paramètres!$A$1:$I$89,5,0)</f>
        <v>-2.8730937629006804E-13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449.94334483948603</v>
      </c>
      <c r="CE144" s="59">
        <f t="shared" si="148"/>
        <v>318.02929110264176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0.24890110349749783</v>
      </c>
      <c r="CL144" s="21">
        <f>EXP(-LN(2)/25)*CL143+(1-EXP(-LN(2)/25))/(LN(2)/25)*Calculateur!CG144*Calculateur!CI144*VLOOKUP('Données projet'!$B$12,Paramètres!$A$1:$I$89,3,0)*0.475*44/12</f>
        <v>0.48396079742267606</v>
      </c>
      <c r="CM144" s="21">
        <f>EXP(-LN(2)/2)*CM143+(1-EXP(-LN(2)/2))/(LN(2)/2)*CG144*CJ144*VLOOKUP('Données projet'!$B$12,Paramètres!$A$1:$I$89,3,0)*0.475*44/12</f>
        <v>3.9383609968508817E-16</v>
      </c>
      <c r="CN144" s="22">
        <f t="shared" si="120"/>
        <v>0.73286190092017434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69.406423900119847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4</v>
      </c>
      <c r="CT144" s="12">
        <f>IF('Données projet'!$A$140&gt;35,CT143+CS144-DB143,IF(A144&lt;'Données projet'!$A$140,$CQ$205^A144,IF(A144='Données projet'!$A$140,'Données projet'!$B$140,CT143+CS144-DB143)))</f>
        <v>431.00000000000011</v>
      </c>
      <c r="CU144" s="17">
        <f>CT144*VLOOKUP('Données projet'!$B$13,Paramètres!$A$1:$I$89,3,0)*VLOOKUP('Données projet'!$B$13,Paramètres!$A$1:$I$89,5,0)</f>
        <v>369.79800000000012</v>
      </c>
      <c r="CV144" s="13">
        <f t="shared" si="149"/>
        <v>85.625978667852522</v>
      </c>
      <c r="CW144" s="20">
        <f t="shared" si="121"/>
        <v>793.19676284650996</v>
      </c>
      <c r="CX144" s="59">
        <f t="shared" si="122"/>
        <v>1084.3536504802828</v>
      </c>
      <c r="CY144" s="59">
        <f ca="1">AVERAGE(OFFSET($CX$3,0,0,'Données projet'!$E$13+1,1))-AVERAGE(OFFSET($H$3,0,0,'Données projet'!$E$13+1,1))</f>
        <v>565.32667500225568</v>
      </c>
      <c r="CZ144" s="59">
        <f t="shared" si="150"/>
        <v>275.06957234480944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0</v>
      </c>
      <c r="DG144" s="21">
        <f>EXP(-LN(2)/25)*DG143+(1-EXP(-LN(2)/25))/(LN(2)/25)*Calculateur!DB144*Calculateur!DD144*VLOOKUP('Données projet'!$B$13,Paramètres!$A$1:$I$89,3,0)*0.475*44/12</f>
        <v>0.20185140745293459</v>
      </c>
      <c r="DH144" s="21">
        <f>EXP(-LN(2)/2)*DH143+(1-EXP(-LN(2)/2))/(LN(2)/2)*DB144*DE144*VLOOKUP('Données projet'!$B$13,Paramètres!$A$1:$I$89,3,0)*0.475*44/12</f>
        <v>1.3902242978252606E-16</v>
      </c>
      <c r="DI144" s="22">
        <f t="shared" si="123"/>
        <v>0.20185140745293473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69.406423900119847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-1.2505552149377763E-12</v>
      </c>
      <c r="DP144" s="17">
        <f>DO144*VLOOKUP('Données projet'!$B$14,Paramètres!$A$1:$I$89,3,0)*VLOOKUP('Données projet'!$B$14,Paramètres!$A$1:$I$89,5,0)</f>
        <v>-6.9906036515021697E-13</v>
      </c>
      <c r="DQ144" s="13" t="e">
        <f t="shared" si="151"/>
        <v>#NUM!</v>
      </c>
      <c r="DR144" s="20" t="e">
        <f t="shared" si="124"/>
        <v>#NUM!</v>
      </c>
      <c r="DS144" s="59" t="e">
        <f t="shared" si="125"/>
        <v>#NUM!</v>
      </c>
      <c r="DT144" s="59">
        <f ca="1">AVERAGE(OFFSET($DS$3,0,0,'Données projet'!$E$14+1,1))-AVERAGE(OFFSET($H$3,0,0,'Données projet'!$E$14+1,1))</f>
        <v>532.64469322244281</v>
      </c>
      <c r="DU144" s="59">
        <f t="shared" si="152"/>
        <v>525.88014011096413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1.2675519159594817</v>
      </c>
      <c r="EB144" s="21">
        <f>EXP(-LN(2)/25)*EB143+(1-EXP(-LN(2)/25))/(LN(2)/25)*Calculateur!DW144*Calculateur!DY144*VLOOKUP('Données projet'!$B$14,Paramètres!$A$1:$I$89,3,0)*0.475*44/12</f>
        <v>1.7856814124463647</v>
      </c>
      <c r="EC144" s="21">
        <f>EXP(-LN(2)/2)*EC143+(1-EXP(-LN(2)/2))/(LN(2)/2)*DW144*DZ144*VLOOKUP('Données projet'!$B$14,Paramètres!$A$1:$I$89,3,0)*0.475*44/12</f>
        <v>7.1580301963091256E-16</v>
      </c>
      <c r="ED144" s="22">
        <f t="shared" si="126"/>
        <v>3.053233328405847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69.406423900119847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-1.1368683772161603E-13</v>
      </c>
      <c r="EK144" s="17">
        <f>EJ144*VLOOKUP('Données projet'!$B$15,Paramètres!$A$1:$I$89,3,0)*VLOOKUP('Données projet'!$B$15,Paramètres!$A$1:$I$89,5,0)</f>
        <v>-1.0286385077051818E-13</v>
      </c>
      <c r="EL144" s="13" t="e">
        <f t="shared" si="153"/>
        <v>#NUM!</v>
      </c>
      <c r="EM144" s="20" t="e">
        <f t="shared" si="127"/>
        <v>#NUM!</v>
      </c>
      <c r="EN144" s="59" t="e">
        <f t="shared" si="128"/>
        <v>#NUM!</v>
      </c>
      <c r="EO144" s="59">
        <f ca="1">AVERAGE(OFFSET($EN$3,0,0,'Données projet'!$E$15+1,1))-AVERAGE(OFFSET($H$3,0,0,'Données projet'!$E$15+1,1))</f>
        <v>398.27843768730202</v>
      </c>
      <c r="EP144" s="59">
        <f t="shared" si="154"/>
        <v>252.3617347568813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0</v>
      </c>
      <c r="EW144" s="21">
        <f>EXP(-LN(2)/25)*EW143+(1-EXP(-LN(2)/25))/(LN(2)/25)*Calculateur!ER144*Calculateur!ET144*VLOOKUP('Données projet'!$B$15,Paramètres!$A$1:$I$89,3,0)*0.475*44/12</f>
        <v>0.14309340745347693</v>
      </c>
      <c r="EX144" s="21">
        <f>EXP(-LN(2)/2)*EX143+(1-EXP(-LN(2)/2))/(LN(2)/2)*ER144*EU144*VLOOKUP('Données projet'!$B$15,Paramètres!$A$1:$I$89,3,0)*0.475*44/12</f>
        <v>1.2147310488010846E-16</v>
      </c>
      <c r="EY144" s="22">
        <f t="shared" si="129"/>
        <v>0.14309340745347704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69.406423900119847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-1.1368683772161603E-13</v>
      </c>
      <c r="FF144" s="17">
        <f>FE144*VLOOKUP('Données projet'!$B$16,Paramètres!$A$1:$I$89,3,0)*VLOOKUP('Données projet'!$B$16,Paramètres!$A$1:$I$89,5,0)</f>
        <v>-1.0995790944434703E-13</v>
      </c>
      <c r="FG144" s="13" t="e">
        <f t="shared" si="155"/>
        <v>#NUM!</v>
      </c>
      <c r="FH144" s="20" t="e">
        <f t="shared" si="130"/>
        <v>#NUM!</v>
      </c>
      <c r="FI144" s="59" t="e">
        <f t="shared" si="131"/>
        <v>#NUM!</v>
      </c>
      <c r="FJ144" s="59">
        <f ca="1">AVERAGE(OFFSET($FI$3,0,0,'Données projet'!$E$16+1,1))-AVERAGE(OFFSET($H$3,0,0,'Données projet'!$E$16+1,1))</f>
        <v>422.28024471365825</v>
      </c>
      <c r="FK144" s="59">
        <f t="shared" si="156"/>
        <v>266.49730479813206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0</v>
      </c>
      <c r="FR144" s="21">
        <f>EXP(-LN(2)/25)*FR143+(1-EXP(-LN(2)/25))/(LN(2)/25)*Calculateur!FM144*Calculateur!FO144*VLOOKUP('Données projet'!$B$16,Paramètres!$A$1:$I$89,3,0)*0.475*44/12</f>
        <v>0.15296191831233724</v>
      </c>
      <c r="FS144" s="21">
        <f>EXP(-LN(2)/2)*FS143+(1-EXP(-LN(2)/2))/(LN(2)/2)*FM144*FP144*VLOOKUP('Données projet'!$B$16,Paramètres!$A$1:$I$89,3,0)*0.475*44/12</f>
        <v>1.2985056038908144E-16</v>
      </c>
      <c r="FT144" s="22">
        <f t="shared" si="132"/>
        <v>0.15296191831233738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69.406423900119847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3.4106051316484809E-13</v>
      </c>
      <c r="GA144" s="17">
        <f>FZ144*VLOOKUP('Données projet'!$B$17,Paramètres!$A$1:$I$89,3,0)*VLOOKUP('Données projet'!$B$17,Paramètres!$A$1:$I$89,5,0)</f>
        <v>2.6602720026858149E-13</v>
      </c>
      <c r="GB144" s="13">
        <f t="shared" si="157"/>
        <v>3.5662905043956649E-12</v>
      </c>
      <c r="GC144" s="20">
        <f t="shared" si="133"/>
        <v>6.6746200022902298E-12</v>
      </c>
      <c r="GD144" s="59">
        <f t="shared" si="134"/>
        <v>291.15688763377943</v>
      </c>
      <c r="GE144" s="59">
        <f ca="1">AVERAGE(OFFSET($GD$3,0,0,'Données projet'!$E$17+1,1))-AVERAGE(OFFSET($H$3,0,0,'Données projet'!$E$17+1,1))</f>
        <v>300.95722646933314</v>
      </c>
      <c r="GF144" s="59">
        <f t="shared" si="158"/>
        <v>269.52365224623759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>
        <f>EXP(-LN(2)/35)*GL143+(1-EXP(-LN(2)/35))/(LN(2)/35)*GH144*GI144*VLOOKUP('Données projet'!$B$17,Paramètres!$A$1:$I$89,3,0)*0.475*44/12</f>
        <v>9.8770279165673672E-2</v>
      </c>
      <c r="GM144" s="21">
        <f>EXP(-LN(2)/25)*GM143+(1-EXP(-LN(2)/25))/(LN(2)/25)*Calculateur!GH144*Calculateur!GJ144*VLOOKUP('Données projet'!$B$17,Paramètres!$A$1:$I$89,3,0)*0.475*44/12</f>
        <v>0.28744341566416803</v>
      </c>
      <c r="GN144" s="21">
        <f>EXP(-LN(2)/2)*GN143+(1-EXP(-LN(2)/2))/(LN(2)/2)*GH144*GK144*VLOOKUP('Données projet'!$B$17,Paramètres!$A$1:$I$89,3,0)*0.475*44/12</f>
        <v>1.7386739964828329E-16</v>
      </c>
      <c r="GO144" s="21">
        <f t="shared" si="135"/>
        <v>0.38621369482984186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69.406423900119847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1.4000000000000001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5.1333333333333337</v>
      </c>
      <c r="H145" s="67">
        <f t="shared" si="110"/>
        <v>236.13333333333335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69.416721118415424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-3.4106051316484809E-13</v>
      </c>
      <c r="O145" s="13">
        <f>N145*VLOOKUP('Données projet'!$B$9,Paramètres!$A$1:$I$89,3,0)*VLOOKUP('Données projet'!$B$9,Paramètres!$A$1:$I$89,5,0)</f>
        <v>-3.0859155231155454E-13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479.46542424895119</v>
      </c>
      <c r="T145" s="59">
        <f t="shared" si="142"/>
        <v>337.96395820277337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0.26209588279649015</v>
      </c>
      <c r="AA145" s="21">
        <f>EXP(-LN(2)/25)*AA144+(1-EXP(-LN(2)/25))/(LN(2)/25)*Calculateur!V145*Calculateur!X145*VLOOKUP('Données projet'!$B$9,Paramètres!$A$1:$I$89,3,0)*0.475*44/12</f>
        <v>0.50559552055689105</v>
      </c>
      <c r="AB145" s="21">
        <f>EXP(-LN(2)/2)*AB144+(1-EXP(-LN(2)/2))/(LN(2)/2)*V145*Y145*VLOOKUP('Données projet'!$B$9,Paramètres!$A$1:$I$89,3,0)*0.475*44/12</f>
        <v>2.9911263430141669E-16</v>
      </c>
      <c r="AC145" s="22">
        <f t="shared" si="111"/>
        <v>0.7676914033533816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69.416721118415424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-3.4106051316484809E-13</v>
      </c>
      <c r="AJ145" s="13">
        <f>AI145*VLOOKUP('Données projet'!$B$10,Paramètres!$A$1:$I$89,3,0)*VLOOKUP('Données projet'!$B$10,Paramètres!$A$1:$I$89,5,0)</f>
        <v>-3.2987372833304104E-13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508.94560627895089</v>
      </c>
      <c r="AO145" s="59">
        <f t="shared" si="144"/>
        <v>357.86868650263034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0.28017146092038625</v>
      </c>
      <c r="AV145" s="21">
        <f>EXP(-LN(2)/25)*AV144+(1-EXP(-LN(2)/25))/(LN(2)/25)*Calculateur!AQ145*Calculateur!AS145*VLOOKUP('Données projet'!$B$10,Paramètres!$A$1:$I$89,3,0)*0.475*44/12</f>
        <v>0.54046417714702144</v>
      </c>
      <c r="AW145" s="21">
        <f>EXP(-LN(2)/2)*AW144+(1-EXP(-LN(2)/2))/(LN(2)/2)*AQ145*AT145*VLOOKUP('Données projet'!$B$10,Paramètres!$A$1:$I$89,3,0)*0.475*44/12</f>
        <v>3.1974109183944396E-16</v>
      </c>
      <c r="AX145" s="21">
        <f t="shared" si="114"/>
        <v>0.82063563806740802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69.416721118415424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1.7053025658242404E-13</v>
      </c>
      <c r="BE145" s="13">
        <f>BD145*VLOOKUP('Données projet'!$B$11,Paramètres!$A$1:$I$89,3,0)*VLOOKUP('Données projet'!$B$11,Paramètres!$A$1:$I$89,5,0)</f>
        <v>1.3301360013429075E-13</v>
      </c>
      <c r="BF145" s="13">
        <f t="shared" si="145"/>
        <v>1.9329766731057041E-12</v>
      </c>
      <c r="BG145" s="20">
        <f t="shared" si="115"/>
        <v>3.5982663925596575E-12</v>
      </c>
      <c r="BH145" s="59">
        <f t="shared" si="116"/>
        <v>291.19464410086016</v>
      </c>
      <c r="BI145" s="59">
        <f ca="1">AVERAGE(OFFSET($BH$3,0,0,'Données projet'!$E$11+1,1))-AVERAGE(OFFSET($H$3,0,0,'Données projet'!$E$11+1,1))</f>
        <v>383.03154033422328</v>
      </c>
      <c r="BJ145" s="59">
        <f t="shared" si="146"/>
        <v>373.27897156169877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0.1573543631321293</v>
      </c>
      <c r="BQ145" s="21">
        <f>EXP(-LN(2)/25)*BQ144+(1-EXP(-LN(2)/25))/(LN(2)/25)*Calculateur!BL145*Calculateur!BN145*VLOOKUP('Données projet'!$B$11,Paramètres!$A$1:$I$89,3,0)*0.475*44/12</f>
        <v>0.37510129695719779</v>
      </c>
      <c r="BR145" s="21">
        <f>EXP(-LN(2)/2)*BR144+(1-EXP(-LN(2)/2))/(LN(2)/2)*BL145*BO145*VLOOKUP('Données projet'!$B$11,Paramètres!$A$1:$I$89,3,0)*0.475*44/12</f>
        <v>1.8139905684086182E-16</v>
      </c>
      <c r="BS145" s="22">
        <f t="shared" si="117"/>
        <v>0.53245566008932732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69.416721118415424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-3.4106051316484809E-13</v>
      </c>
      <c r="BZ145" s="13">
        <f>BY145*VLOOKUP('Données projet'!$B$12,Paramètres!$A$1:$I$89,3,0)*VLOOKUP('Données projet'!$B$12,Paramètres!$A$1:$I$89,5,0)</f>
        <v>-2.8730937629006804E-13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449.94334483948603</v>
      </c>
      <c r="CE145" s="59">
        <f t="shared" si="148"/>
        <v>318.02929110264176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0.24402030467259458</v>
      </c>
      <c r="CL145" s="21">
        <f>EXP(-LN(2)/25)*CL144+(1-EXP(-LN(2)/25))/(LN(2)/25)*Calculateur!CG145*Calculateur!CI145*VLOOKUP('Données projet'!$B$12,Paramètres!$A$1:$I$89,3,0)*0.475*44/12</f>
        <v>0.47072686396676078</v>
      </c>
      <c r="CM145" s="21">
        <f>EXP(-LN(2)/2)*CM144+(1-EXP(-LN(2)/2))/(LN(2)/2)*CG145*CJ145*VLOOKUP('Données projet'!$B$12,Paramètres!$A$1:$I$89,3,0)*0.475*44/12</f>
        <v>2.7848417676338696E-16</v>
      </c>
      <c r="CN145" s="22">
        <f t="shared" si="120"/>
        <v>0.71474716863935572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69.416721118415424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4</v>
      </c>
      <c r="CT145" s="12">
        <f>IF('Données projet'!$A$140&gt;35,CT144+CS145-DB144,IF(A145&lt;'Données projet'!$A$140,$CQ$205^A145,IF(A145='Données projet'!$A$140,'Données projet'!$B$140,CT144+CS145-DB144)))</f>
        <v>435.00000000000011</v>
      </c>
      <c r="CU145" s="17">
        <f>CT145*VLOOKUP('Données projet'!$B$13,Paramètres!$A$1:$I$89,3,0)*VLOOKUP('Données projet'!$B$13,Paramètres!$A$1:$I$89,5,0)</f>
        <v>373.23000000000013</v>
      </c>
      <c r="CV145" s="13">
        <f t="shared" si="149"/>
        <v>86.327773459005058</v>
      </c>
      <c r="CW145" s="20">
        <f t="shared" si="121"/>
        <v>800.39645544110078</v>
      </c>
      <c r="CX145" s="59">
        <f t="shared" si="122"/>
        <v>1091.5910995419574</v>
      </c>
      <c r="CY145" s="59">
        <f ca="1">AVERAGE(OFFSET($CX$3,0,0,'Données projet'!$E$13+1,1))-AVERAGE(OFFSET($H$3,0,0,'Données projet'!$E$13+1,1))</f>
        <v>565.32667500225568</v>
      </c>
      <c r="CZ145" s="59">
        <f t="shared" si="150"/>
        <v>275.06957234480944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0</v>
      </c>
      <c r="DG145" s="21">
        <f>EXP(-LN(2)/25)*DG144+(1-EXP(-LN(2)/25))/(LN(2)/25)*Calculateur!DB145*Calculateur!DD145*VLOOKUP('Données projet'!$B$13,Paramètres!$A$1:$I$89,3,0)*0.475*44/12</f>
        <v>0.1963317701012299</v>
      </c>
      <c r="DH145" s="21">
        <f>EXP(-LN(2)/2)*DH144+(1-EXP(-LN(2)/2))/(LN(2)/2)*DB145*DE145*VLOOKUP('Données projet'!$B$13,Paramètres!$A$1:$I$89,3,0)*0.475*44/12</f>
        <v>9.8303702836254822E-17</v>
      </c>
      <c r="DI145" s="22">
        <f t="shared" si="123"/>
        <v>0.19633177010123001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69.416721118415424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-1.2505552149377763E-12</v>
      </c>
      <c r="DP145" s="17">
        <f>DO145*VLOOKUP('Données projet'!$B$14,Paramètres!$A$1:$I$89,3,0)*VLOOKUP('Données projet'!$B$14,Paramètres!$A$1:$I$89,5,0)</f>
        <v>-6.9906036515021697E-13</v>
      </c>
      <c r="DQ145" s="13" t="e">
        <f t="shared" si="151"/>
        <v>#NUM!</v>
      </c>
      <c r="DR145" s="20" t="e">
        <f t="shared" si="124"/>
        <v>#NUM!</v>
      </c>
      <c r="DS145" s="59" t="e">
        <f t="shared" si="125"/>
        <v>#NUM!</v>
      </c>
      <c r="DT145" s="59">
        <f ca="1">AVERAGE(OFFSET($DS$3,0,0,'Données projet'!$E$14+1,1))-AVERAGE(OFFSET($H$3,0,0,'Données projet'!$E$14+1,1))</f>
        <v>532.64469322244281</v>
      </c>
      <c r="DU145" s="59">
        <f t="shared" si="152"/>
        <v>525.88014011096413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1.2426959960178448</v>
      </c>
      <c r="EB145" s="21">
        <f>EXP(-LN(2)/25)*EB144+(1-EXP(-LN(2)/25))/(LN(2)/25)*Calculateur!DW145*Calculateur!DY145*VLOOKUP('Données projet'!$B$14,Paramètres!$A$1:$I$89,3,0)*0.475*44/12</f>
        <v>1.7368518603181147</v>
      </c>
      <c r="EC145" s="21">
        <f>EXP(-LN(2)/2)*EC144+(1-EXP(-LN(2)/2))/(LN(2)/2)*DW145*DZ145*VLOOKUP('Données projet'!$B$14,Paramètres!$A$1:$I$89,3,0)*0.475*44/12</f>
        <v>5.0614916917482566E-16</v>
      </c>
      <c r="ED145" s="22">
        <f t="shared" si="126"/>
        <v>2.9795478563359601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69.416721118415424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-1.1368683772161603E-13</v>
      </c>
      <c r="EK145" s="17">
        <f>EJ145*VLOOKUP('Données projet'!$B$15,Paramètres!$A$1:$I$89,3,0)*VLOOKUP('Données projet'!$B$15,Paramètres!$A$1:$I$89,5,0)</f>
        <v>-1.0286385077051818E-13</v>
      </c>
      <c r="EL145" s="13" t="e">
        <f t="shared" si="153"/>
        <v>#NUM!</v>
      </c>
      <c r="EM145" s="20" t="e">
        <f t="shared" si="127"/>
        <v>#NUM!</v>
      </c>
      <c r="EN145" s="59" t="e">
        <f t="shared" si="128"/>
        <v>#NUM!</v>
      </c>
      <c r="EO145" s="59">
        <f ca="1">AVERAGE(OFFSET($EN$3,0,0,'Données projet'!$E$15+1,1))-AVERAGE(OFFSET($H$3,0,0,'Données projet'!$E$15+1,1))</f>
        <v>398.27843768730202</v>
      </c>
      <c r="EP145" s="59">
        <f t="shared" si="154"/>
        <v>252.3617347568813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0</v>
      </c>
      <c r="EW145" s="21">
        <f>EXP(-LN(2)/25)*EW144+(1-EXP(-LN(2)/25))/(LN(2)/25)*Calculateur!ER145*Calculateur!ET145*VLOOKUP('Données projet'!$B$15,Paramètres!$A$1:$I$89,3,0)*0.475*44/12</f>
        <v>0.13918051070170634</v>
      </c>
      <c r="EX145" s="21">
        <f>EXP(-LN(2)/2)*EX144+(1-EXP(-LN(2)/2))/(LN(2)/2)*ER145*EU145*VLOOKUP('Données projet'!$B$15,Paramètres!$A$1:$I$89,3,0)*0.475*44/12</f>
        <v>8.5894456192509395E-17</v>
      </c>
      <c r="EY145" s="22">
        <f t="shared" si="129"/>
        <v>0.13918051070170642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69.416721118415424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-1.1368683772161603E-13</v>
      </c>
      <c r="FF145" s="17">
        <f>FE145*VLOOKUP('Données projet'!$B$16,Paramètres!$A$1:$I$89,3,0)*VLOOKUP('Données projet'!$B$16,Paramètres!$A$1:$I$89,5,0)</f>
        <v>-1.0995790944434703E-13</v>
      </c>
      <c r="FG145" s="13" t="e">
        <f t="shared" si="155"/>
        <v>#NUM!</v>
      </c>
      <c r="FH145" s="20" t="e">
        <f t="shared" si="130"/>
        <v>#NUM!</v>
      </c>
      <c r="FI145" s="59" t="e">
        <f t="shared" si="131"/>
        <v>#NUM!</v>
      </c>
      <c r="FJ145" s="59">
        <f ca="1">AVERAGE(OFFSET($FI$3,0,0,'Données projet'!$E$16+1,1))-AVERAGE(OFFSET($H$3,0,0,'Données projet'!$E$16+1,1))</f>
        <v>422.28024471365825</v>
      </c>
      <c r="FK145" s="59">
        <f t="shared" si="156"/>
        <v>266.49730479813206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0</v>
      </c>
      <c r="FR145" s="21">
        <f>EXP(-LN(2)/25)*FR144+(1-EXP(-LN(2)/25))/(LN(2)/25)*Calculateur!FM145*Calculateur!FO145*VLOOKUP('Données projet'!$B$16,Paramètres!$A$1:$I$89,3,0)*0.475*44/12</f>
        <v>0.1487791666121687</v>
      </c>
      <c r="FS145" s="21">
        <f>EXP(-LN(2)/2)*FS144+(1-EXP(-LN(2)/2))/(LN(2)/2)*FM145*FP145*VLOOKUP('Données projet'!$B$16,Paramètres!$A$1:$I$89,3,0)*0.475*44/12</f>
        <v>9.1818211791992784E-17</v>
      </c>
      <c r="FT145" s="22">
        <f t="shared" si="132"/>
        <v>0.14877916661216878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69.416721118415424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3.4106051316484809E-13</v>
      </c>
      <c r="GA145" s="17">
        <f>FZ145*VLOOKUP('Données projet'!$B$17,Paramètres!$A$1:$I$89,3,0)*VLOOKUP('Données projet'!$B$17,Paramètres!$A$1:$I$89,5,0)</f>
        <v>2.6602720026858149E-13</v>
      </c>
      <c r="GB145" s="13">
        <f t="shared" si="157"/>
        <v>3.5662905043956649E-12</v>
      </c>
      <c r="GC145" s="20">
        <f t="shared" si="133"/>
        <v>6.6746200022902298E-12</v>
      </c>
      <c r="GD145" s="59">
        <f t="shared" si="134"/>
        <v>291.19464410086323</v>
      </c>
      <c r="GE145" s="59">
        <f ca="1">AVERAGE(OFFSET($GD$3,0,0,'Données projet'!$E$17+1,1))-AVERAGE(OFFSET($H$3,0,0,'Données projet'!$E$17+1,1))</f>
        <v>300.95722646933314</v>
      </c>
      <c r="GF145" s="59">
        <f t="shared" si="158"/>
        <v>269.52365224623759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>
        <f>EXP(-LN(2)/35)*GL144+(1-EXP(-LN(2)/35))/(LN(2)/35)*GH145*GI145*VLOOKUP('Données projet'!$B$17,Paramètres!$A$1:$I$89,3,0)*0.475*44/12</f>
        <v>9.6833454235156505E-2</v>
      </c>
      <c r="GM145" s="21">
        <f>EXP(-LN(2)/25)*GM144+(1-EXP(-LN(2)/25))/(LN(2)/25)*Calculateur!GH145*Calculateur!GJ145*VLOOKUP('Données projet'!$B$17,Paramètres!$A$1:$I$89,3,0)*0.475*44/12</f>
        <v>0.27958326034683911</v>
      </c>
      <c r="GN145" s="21">
        <f>EXP(-LN(2)/2)*GN144+(1-EXP(-LN(2)/2))/(LN(2)/2)*GH145*GK145*VLOOKUP('Données projet'!$B$17,Paramètres!$A$1:$I$89,3,0)*0.475*44/12</f>
        <v>1.2294281731857266E-16</v>
      </c>
      <c r="GO145" s="21">
        <f t="shared" si="135"/>
        <v>0.37641671458199571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69.416721118415424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1.4000000000000001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5.1333333333333337</v>
      </c>
      <c r="H146" s="67">
        <f t="shared" si="110"/>
        <v>236.13333333333335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69.426839702994698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-3.4106051316484809E-13</v>
      </c>
      <c r="O146" s="13">
        <f>N146*VLOOKUP('Données projet'!$B$9,Paramètres!$A$1:$I$89,3,0)*VLOOKUP('Données projet'!$B$9,Paramètres!$A$1:$I$89,5,0)</f>
        <v>-3.0859155231155454E-13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479.46542424895119</v>
      </c>
      <c r="T146" s="59">
        <f t="shared" si="142"/>
        <v>337.96395820277337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0.25695634239755438</v>
      </c>
      <c r="AA146" s="21">
        <f>EXP(-LN(2)/25)*AA145+(1-EXP(-LN(2)/25))/(LN(2)/25)*Calculateur!V146*Calculateur!X146*VLOOKUP('Données projet'!$B$9,Paramètres!$A$1:$I$89,3,0)*0.475*44/12</f>
        <v>0.49176998445914999</v>
      </c>
      <c r="AB146" s="21">
        <f>EXP(-LN(2)/2)*AB145+(1-EXP(-LN(2)/2))/(LN(2)/2)*V146*Y146*VLOOKUP('Données projet'!$B$9,Paramètres!$A$1:$I$89,3,0)*0.475*44/12</f>
        <v>2.1150457205310367E-16</v>
      </c>
      <c r="AC146" s="22">
        <f t="shared" si="111"/>
        <v>0.74872632685670459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69.426839702994698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-3.4106051316484809E-13</v>
      </c>
      <c r="AJ146" s="13">
        <f>AI146*VLOOKUP('Données projet'!$B$10,Paramètres!$A$1:$I$89,3,0)*VLOOKUP('Données projet'!$B$10,Paramètres!$A$1:$I$89,5,0)</f>
        <v>-3.2987372833304104E-13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508.94560627895089</v>
      </c>
      <c r="AO146" s="59">
        <f t="shared" si="144"/>
        <v>357.86868650263034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0.27467746945945487</v>
      </c>
      <c r="AV146" s="21">
        <f>EXP(-LN(2)/25)*AV145+(1-EXP(-LN(2)/25))/(LN(2)/25)*Calculateur!AQ146*Calculateur!AS146*VLOOKUP('Données projet'!$B$10,Paramètres!$A$1:$I$89,3,0)*0.475*44/12</f>
        <v>0.52568515580116026</v>
      </c>
      <c r="AW146" s="21">
        <f>EXP(-LN(2)/2)*AW145+(1-EXP(-LN(2)/2))/(LN(2)/2)*AQ146*AT146*VLOOKUP('Données projet'!$B$10,Paramètres!$A$1:$I$89,3,0)*0.475*44/12</f>
        <v>2.260910942636615E-16</v>
      </c>
      <c r="AX146" s="21">
        <f t="shared" si="114"/>
        <v>0.8003626252606153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69.426839702994698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1.7053025658242404E-13</v>
      </c>
      <c r="BE146" s="13">
        <f>BD146*VLOOKUP('Données projet'!$B$11,Paramètres!$A$1:$I$89,3,0)*VLOOKUP('Données projet'!$B$11,Paramètres!$A$1:$I$89,5,0)</f>
        <v>1.3301360013429075E-13</v>
      </c>
      <c r="BF146" s="13">
        <f t="shared" si="145"/>
        <v>1.9329766731057041E-12</v>
      </c>
      <c r="BG146" s="20">
        <f t="shared" si="115"/>
        <v>3.5982663925596575E-12</v>
      </c>
      <c r="BH146" s="59">
        <f t="shared" si="116"/>
        <v>291.23174557765083</v>
      </c>
      <c r="BI146" s="59">
        <f ca="1">AVERAGE(OFFSET($BH$3,0,0,'Données projet'!$E$11+1,1))-AVERAGE(OFFSET($H$3,0,0,'Données projet'!$E$11+1,1))</f>
        <v>383.03154033422328</v>
      </c>
      <c r="BJ146" s="59">
        <f t="shared" si="146"/>
        <v>373.27897156169877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0.15426874004779284</v>
      </c>
      <c r="BQ146" s="21">
        <f>EXP(-LN(2)/25)*BQ145+(1-EXP(-LN(2)/25))/(LN(2)/25)*Calculateur!BL146*Calculateur!BN146*VLOOKUP('Données projet'!$B$11,Paramètres!$A$1:$I$89,3,0)*0.475*44/12</f>
        <v>0.36484413226618334</v>
      </c>
      <c r="BR146" s="21">
        <f>EXP(-LN(2)/2)*BR145+(1-EXP(-LN(2)/2))/(LN(2)/2)*BL146*BO146*VLOOKUP('Données projet'!$B$11,Paramètres!$A$1:$I$89,3,0)*0.475*44/12</f>
        <v>1.2826850319301737E-16</v>
      </c>
      <c r="BS146" s="22">
        <f t="shared" si="117"/>
        <v>0.51911287231397629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69.426839702994698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-3.4106051316484809E-13</v>
      </c>
      <c r="BZ146" s="13">
        <f>BY146*VLOOKUP('Données projet'!$B$12,Paramètres!$A$1:$I$89,3,0)*VLOOKUP('Données projet'!$B$12,Paramètres!$A$1:$I$89,5,0)</f>
        <v>-2.8730937629006804E-13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449.94334483948603</v>
      </c>
      <c r="CE146" s="59">
        <f t="shared" si="148"/>
        <v>318.02929110264176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0.23923521533565437</v>
      </c>
      <c r="CL146" s="21">
        <f>EXP(-LN(2)/25)*CL145+(1-EXP(-LN(2)/25))/(LN(2)/25)*Calculateur!CG146*Calculateur!CI146*VLOOKUP('Données projet'!$B$12,Paramètres!$A$1:$I$89,3,0)*0.475*44/12</f>
        <v>0.45785481311713977</v>
      </c>
      <c r="CM146" s="21">
        <f>EXP(-LN(2)/2)*CM145+(1-EXP(-LN(2)/2))/(LN(2)/2)*CG146*CJ146*VLOOKUP('Données projet'!$B$12,Paramètres!$A$1:$I$89,3,0)*0.475*44/12</f>
        <v>1.9691804984254409E-16</v>
      </c>
      <c r="CN146" s="22">
        <f t="shared" si="120"/>
        <v>0.69709002845279433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69.426839702994698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4</v>
      </c>
      <c r="CT146" s="12">
        <f>IF('Données projet'!$A$140&gt;35,CT145+CS146-DB145,IF(A146&lt;'Données projet'!$A$140,$CQ$205^A146,IF(A146='Données projet'!$A$140,'Données projet'!$B$140,CT145+CS146-DB145)))</f>
        <v>439.00000000000011</v>
      </c>
      <c r="CU146" s="17">
        <f>CT146*VLOOKUP('Données projet'!$B$13,Paramètres!$A$1:$I$89,3,0)*VLOOKUP('Données projet'!$B$13,Paramètres!$A$1:$I$89,5,0)</f>
        <v>376.66200000000015</v>
      </c>
      <c r="CV146" s="13">
        <f t="shared" si="149"/>
        <v>87.028817478400569</v>
      </c>
      <c r="CW146" s="20">
        <f t="shared" si="121"/>
        <v>807.59484044154794</v>
      </c>
      <c r="CX146" s="59">
        <f t="shared" si="122"/>
        <v>1098.8265860191952</v>
      </c>
      <c r="CY146" s="59">
        <f ca="1">AVERAGE(OFFSET($CX$3,0,0,'Données projet'!$E$13+1,1))-AVERAGE(OFFSET($H$3,0,0,'Données projet'!$E$13+1,1))</f>
        <v>565.32667500225568</v>
      </c>
      <c r="CZ146" s="59">
        <f t="shared" si="150"/>
        <v>275.06957234480944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0</v>
      </c>
      <c r="DG146" s="21">
        <f>EXP(-LN(2)/25)*DG145+(1-EXP(-LN(2)/25))/(LN(2)/25)*Calculateur!DB146*Calculateur!DD146*VLOOKUP('Données projet'!$B$13,Paramètres!$A$1:$I$89,3,0)*0.475*44/12</f>
        <v>0.19096306752317271</v>
      </c>
      <c r="DH146" s="21">
        <f>EXP(-LN(2)/2)*DH145+(1-EXP(-LN(2)/2))/(LN(2)/2)*DB146*DE146*VLOOKUP('Données projet'!$B$13,Paramètres!$A$1:$I$89,3,0)*0.475*44/12</f>
        <v>6.9511214891263028E-17</v>
      </c>
      <c r="DI146" s="22">
        <f t="shared" si="123"/>
        <v>0.1909630675231728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69.426839702994698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-1.2505552149377763E-12</v>
      </c>
      <c r="DP146" s="17">
        <f>DO146*VLOOKUP('Données projet'!$B$14,Paramètres!$A$1:$I$89,3,0)*VLOOKUP('Données projet'!$B$14,Paramètres!$A$1:$I$89,5,0)</f>
        <v>-6.9906036515021697E-13</v>
      </c>
      <c r="DQ146" s="13" t="e">
        <f t="shared" si="151"/>
        <v>#NUM!</v>
      </c>
      <c r="DR146" s="20" t="e">
        <f t="shared" si="124"/>
        <v>#NUM!</v>
      </c>
      <c r="DS146" s="59" t="e">
        <f t="shared" si="125"/>
        <v>#NUM!</v>
      </c>
      <c r="DT146" s="59">
        <f ca="1">AVERAGE(OFFSET($DS$3,0,0,'Données projet'!$E$14+1,1))-AVERAGE(OFFSET($H$3,0,0,'Données projet'!$E$14+1,1))</f>
        <v>532.64469322244281</v>
      </c>
      <c r="DU146" s="59">
        <f t="shared" si="152"/>
        <v>525.88014011096413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1.2183274855056492</v>
      </c>
      <c r="EB146" s="21">
        <f>EXP(-LN(2)/25)*EB145+(1-EXP(-LN(2)/25))/(LN(2)/25)*Calculateur!DW146*Calculateur!DY146*VLOOKUP('Données projet'!$B$14,Paramètres!$A$1:$I$89,3,0)*0.475*44/12</f>
        <v>1.6893575548606461</v>
      </c>
      <c r="EC146" s="21">
        <f>EXP(-LN(2)/2)*EC145+(1-EXP(-LN(2)/2))/(LN(2)/2)*DW146*DZ146*VLOOKUP('Données projet'!$B$14,Paramètres!$A$1:$I$89,3,0)*0.475*44/12</f>
        <v>3.5790150981545628E-16</v>
      </c>
      <c r="ED146" s="22">
        <f t="shared" si="126"/>
        <v>2.9076850403662955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69.426839702994698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-1.1368683772161603E-13</v>
      </c>
      <c r="EK146" s="17">
        <f>EJ146*VLOOKUP('Données projet'!$B$15,Paramètres!$A$1:$I$89,3,0)*VLOOKUP('Données projet'!$B$15,Paramètres!$A$1:$I$89,5,0)</f>
        <v>-1.0286385077051818E-13</v>
      </c>
      <c r="EL146" s="13" t="e">
        <f t="shared" si="153"/>
        <v>#NUM!</v>
      </c>
      <c r="EM146" s="20" t="e">
        <f t="shared" si="127"/>
        <v>#NUM!</v>
      </c>
      <c r="EN146" s="59" t="e">
        <f t="shared" si="128"/>
        <v>#NUM!</v>
      </c>
      <c r="EO146" s="59">
        <f ca="1">AVERAGE(OFFSET($EN$3,0,0,'Données projet'!$E$15+1,1))-AVERAGE(OFFSET($H$3,0,0,'Données projet'!$E$15+1,1))</f>
        <v>398.27843768730202</v>
      </c>
      <c r="EP146" s="59">
        <f t="shared" si="154"/>
        <v>252.3617347568813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0</v>
      </c>
      <c r="EW146" s="21">
        <f>EXP(-LN(2)/25)*EW145+(1-EXP(-LN(2)/25))/(LN(2)/25)*Calculateur!ER146*Calculateur!ET146*VLOOKUP('Données projet'!$B$15,Paramètres!$A$1:$I$89,3,0)*0.475*44/12</f>
        <v>0.13537461231738324</v>
      </c>
      <c r="EX146" s="21">
        <f>EXP(-LN(2)/2)*EX145+(1-EXP(-LN(2)/2))/(LN(2)/2)*ER146*EU146*VLOOKUP('Données projet'!$B$15,Paramètres!$A$1:$I$89,3,0)*0.475*44/12</f>
        <v>6.0736552440054232E-17</v>
      </c>
      <c r="EY146" s="22">
        <f t="shared" si="129"/>
        <v>0.13537461231738329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69.426839702994698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-1.1368683772161603E-13</v>
      </c>
      <c r="FF146" s="17">
        <f>FE146*VLOOKUP('Données projet'!$B$16,Paramètres!$A$1:$I$89,3,0)*VLOOKUP('Données projet'!$B$16,Paramètres!$A$1:$I$89,5,0)</f>
        <v>-1.0995790944434703E-13</v>
      </c>
      <c r="FG146" s="13" t="e">
        <f t="shared" si="155"/>
        <v>#NUM!</v>
      </c>
      <c r="FH146" s="20" t="e">
        <f t="shared" si="130"/>
        <v>#NUM!</v>
      </c>
      <c r="FI146" s="59" t="e">
        <f t="shared" si="131"/>
        <v>#NUM!</v>
      </c>
      <c r="FJ146" s="59">
        <f ca="1">AVERAGE(OFFSET($FI$3,0,0,'Données projet'!$E$16+1,1))-AVERAGE(OFFSET($H$3,0,0,'Données projet'!$E$16+1,1))</f>
        <v>422.28024471365825</v>
      </c>
      <c r="FK146" s="59">
        <f t="shared" si="156"/>
        <v>266.49730479813206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0</v>
      </c>
      <c r="FR146" s="21">
        <f>EXP(-LN(2)/25)*FR145+(1-EXP(-LN(2)/25))/(LN(2)/25)*Calculateur!FM146*Calculateur!FO146*VLOOKUP('Données projet'!$B$16,Paramètres!$A$1:$I$89,3,0)*0.475*44/12</f>
        <v>0.14471079247720262</v>
      </c>
      <c r="FS146" s="21">
        <f>EXP(-LN(2)/2)*FS145+(1-EXP(-LN(2)/2))/(LN(2)/2)*FM146*FP146*VLOOKUP('Données projet'!$B$16,Paramètres!$A$1:$I$89,3,0)*0.475*44/12</f>
        <v>6.4925280194540718E-17</v>
      </c>
      <c r="FT146" s="22">
        <f t="shared" si="132"/>
        <v>0.14471079247720267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69.426839702994698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3.4106051316484809E-13</v>
      </c>
      <c r="GA146" s="17">
        <f>FZ146*VLOOKUP('Données projet'!$B$17,Paramètres!$A$1:$I$89,3,0)*VLOOKUP('Données projet'!$B$17,Paramètres!$A$1:$I$89,5,0)</f>
        <v>2.6602720026858149E-13</v>
      </c>
      <c r="GB146" s="13">
        <f t="shared" si="157"/>
        <v>3.5662905043956649E-12</v>
      </c>
      <c r="GC146" s="20">
        <f t="shared" si="133"/>
        <v>6.6746200022902298E-12</v>
      </c>
      <c r="GD146" s="59">
        <f t="shared" si="134"/>
        <v>291.2317455776539</v>
      </c>
      <c r="GE146" s="59">
        <f ca="1">AVERAGE(OFFSET($GD$3,0,0,'Données projet'!$E$17+1,1))-AVERAGE(OFFSET($H$3,0,0,'Données projet'!$E$17+1,1))</f>
        <v>300.95722646933314</v>
      </c>
      <c r="GF146" s="59">
        <f t="shared" si="158"/>
        <v>269.52365224623759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>
        <f>EXP(-LN(2)/35)*GL145+(1-EXP(-LN(2)/35))/(LN(2)/35)*GH146*GI146*VLOOKUP('Données projet'!$B$17,Paramètres!$A$1:$I$89,3,0)*0.475*44/12</f>
        <v>9.4934609260180228E-2</v>
      </c>
      <c r="GM146" s="21">
        <f>EXP(-LN(2)/25)*GM145+(1-EXP(-LN(2)/25))/(LN(2)/25)*Calculateur!GH146*Calculateur!GJ146*VLOOKUP('Données projet'!$B$17,Paramètres!$A$1:$I$89,3,0)*0.475*44/12</f>
        <v>0.27193804139001015</v>
      </c>
      <c r="GN146" s="21">
        <f>EXP(-LN(2)/2)*GN145+(1-EXP(-LN(2)/2))/(LN(2)/2)*GH146*GK146*VLOOKUP('Données projet'!$B$17,Paramètres!$A$1:$I$89,3,0)*0.475*44/12</f>
        <v>8.6933699824141643E-17</v>
      </c>
      <c r="GO146" s="21">
        <f t="shared" si="135"/>
        <v>0.36687265065019048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69.426839702994698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1.4000000000000001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5.1333333333333337</v>
      </c>
      <c r="H147" s="67">
        <f t="shared" si="110"/>
        <v>236.13333333333335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69.436782752753274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-3.4106051316484809E-13</v>
      </c>
      <c r="O147" s="13">
        <f>N147*VLOOKUP('Données projet'!$B$9,Paramètres!$A$1:$I$89,3,0)*VLOOKUP('Données projet'!$B$9,Paramètres!$A$1:$I$89,5,0)</f>
        <v>-3.0859155231155454E-13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479.46542424895119</v>
      </c>
      <c r="T147" s="59">
        <f t="shared" si="142"/>
        <v>337.96395820277337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0.25191758525103158</v>
      </c>
      <c r="AA147" s="21">
        <f>EXP(-LN(2)/25)*AA146+(1-EXP(-LN(2)/25))/(LN(2)/25)*Calculateur!V147*Calculateur!X147*VLOOKUP('Données projet'!$B$9,Paramètres!$A$1:$I$89,3,0)*0.475*44/12</f>
        <v>0.47832250837305501</v>
      </c>
      <c r="AB147" s="21">
        <f>EXP(-LN(2)/2)*AB146+(1-EXP(-LN(2)/2))/(LN(2)/2)*V147*Y147*VLOOKUP('Données projet'!$B$9,Paramètres!$A$1:$I$89,3,0)*0.475*44/12</f>
        <v>1.4955631715070835E-16</v>
      </c>
      <c r="AC147" s="22">
        <f t="shared" si="111"/>
        <v>0.73024009362408671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69.436782752753274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-3.4106051316484809E-13</v>
      </c>
      <c r="AJ147" s="13">
        <f>AI147*VLOOKUP('Données projet'!$B$10,Paramètres!$A$1:$I$89,3,0)*VLOOKUP('Données projet'!$B$10,Paramètres!$A$1:$I$89,5,0)</f>
        <v>-3.2987372833304104E-13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508.94560627895089</v>
      </c>
      <c r="AO147" s="59">
        <f t="shared" si="144"/>
        <v>357.86868650263034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0.26929121182006843</v>
      </c>
      <c r="AV147" s="21">
        <f>EXP(-LN(2)/25)*AV146+(1-EXP(-LN(2)/25))/(LN(2)/25)*Calculateur!AQ147*Calculateur!AS147*VLOOKUP('Données projet'!$B$10,Paramètres!$A$1:$I$89,3,0)*0.475*44/12</f>
        <v>0.51131026757119669</v>
      </c>
      <c r="AW147" s="21">
        <f>EXP(-LN(2)/2)*AW146+(1-EXP(-LN(2)/2))/(LN(2)/2)*AQ147*AT147*VLOOKUP('Données projet'!$B$10,Paramètres!$A$1:$I$89,3,0)*0.475*44/12</f>
        <v>1.5987054591972198E-16</v>
      </c>
      <c r="AX147" s="21">
        <f t="shared" si="114"/>
        <v>0.78060147939126523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69.436782752753274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1.7053025658242404E-13</v>
      </c>
      <c r="BE147" s="13">
        <f>BD147*VLOOKUP('Données projet'!$B$11,Paramètres!$A$1:$I$89,3,0)*VLOOKUP('Données projet'!$B$11,Paramètres!$A$1:$I$89,5,0)</f>
        <v>1.3301360013429075E-13</v>
      </c>
      <c r="BF147" s="13">
        <f t="shared" si="145"/>
        <v>1.9329766731057041E-12</v>
      </c>
      <c r="BG147" s="20">
        <f t="shared" si="115"/>
        <v>3.5982663925596575E-12</v>
      </c>
      <c r="BH147" s="59">
        <f t="shared" si="116"/>
        <v>291.26820342676558</v>
      </c>
      <c r="BI147" s="59">
        <f ca="1">AVERAGE(OFFSET($BH$3,0,0,'Données projet'!$E$11+1,1))-AVERAGE(OFFSET($H$3,0,0,'Données projet'!$E$11+1,1))</f>
        <v>383.03154033422328</v>
      </c>
      <c r="BJ147" s="59">
        <f t="shared" si="146"/>
        <v>373.27897156169877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0.15124362415009598</v>
      </c>
      <c r="BQ147" s="21">
        <f>EXP(-LN(2)/25)*BQ146+(1-EXP(-LN(2)/25))/(LN(2)/25)*Calculateur!BL147*Calculateur!BN147*VLOOKUP('Données projet'!$B$11,Paramètres!$A$1:$I$89,3,0)*0.475*44/12</f>
        <v>0.3548674502830455</v>
      </c>
      <c r="BR147" s="21">
        <f>EXP(-LN(2)/2)*BR146+(1-EXP(-LN(2)/2))/(LN(2)/2)*BL147*BO147*VLOOKUP('Données projet'!$B$11,Paramètres!$A$1:$I$89,3,0)*0.475*44/12</f>
        <v>9.0699528420430909E-17</v>
      </c>
      <c r="BS147" s="22">
        <f t="shared" si="117"/>
        <v>0.50611107443314163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69.436782752753274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-3.4106051316484809E-13</v>
      </c>
      <c r="BZ147" s="13">
        <f>BY147*VLOOKUP('Données projet'!$B$12,Paramètres!$A$1:$I$89,3,0)*VLOOKUP('Données projet'!$B$12,Paramètres!$A$1:$I$89,5,0)</f>
        <v>-2.8730937629006804E-13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449.94334483948603</v>
      </c>
      <c r="CE147" s="59">
        <f t="shared" si="148"/>
        <v>318.02929110264176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0.23454395868199523</v>
      </c>
      <c r="CL147" s="21">
        <f>EXP(-LN(2)/25)*CL146+(1-EXP(-LN(2)/25))/(LN(2)/25)*Calculateur!CG147*Calculateur!CI147*VLOOKUP('Données projet'!$B$12,Paramètres!$A$1:$I$89,3,0)*0.475*44/12</f>
        <v>0.44533474917491339</v>
      </c>
      <c r="CM147" s="21">
        <f>EXP(-LN(2)/2)*CM146+(1-EXP(-LN(2)/2))/(LN(2)/2)*CG147*CJ147*VLOOKUP('Données projet'!$B$12,Paramètres!$A$1:$I$89,3,0)*0.475*44/12</f>
        <v>1.3924208838169348E-16</v>
      </c>
      <c r="CN147" s="22">
        <f t="shared" si="120"/>
        <v>0.67987870785690874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69.436782752753274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4</v>
      </c>
      <c r="CT147" s="12">
        <f>IF('Données projet'!$A$140&gt;35,CT146+CS147-DB146,IF(A147&lt;'Données projet'!$A$140,$CQ$205^A147,IF(A147='Données projet'!$A$140,'Données projet'!$B$140,CT146+CS147-DB146)))</f>
        <v>443.00000000000011</v>
      </c>
      <c r="CU147" s="17">
        <f>CT147*VLOOKUP('Données projet'!$B$13,Paramètres!$A$1:$I$89,3,0)*VLOOKUP('Données projet'!$B$13,Paramètres!$A$1:$I$89,5,0)</f>
        <v>380.09400000000016</v>
      </c>
      <c r="CV147" s="13">
        <f t="shared" si="149"/>
        <v>87.729118359210247</v>
      </c>
      <c r="CW147" s="20">
        <f t="shared" si="121"/>
        <v>814.79193114229145</v>
      </c>
      <c r="CX147" s="59">
        <f t="shared" si="122"/>
        <v>1106.0601345690534</v>
      </c>
      <c r="CY147" s="59">
        <f ca="1">AVERAGE(OFFSET($CX$3,0,0,'Données projet'!$E$13+1,1))-AVERAGE(OFFSET($H$3,0,0,'Données projet'!$E$13+1,1))</f>
        <v>565.32667500225568</v>
      </c>
      <c r="CZ147" s="59">
        <f t="shared" si="150"/>
        <v>275.06957234480944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0</v>
      </c>
      <c r="DG147" s="21">
        <f>EXP(-LN(2)/25)*DG146+(1-EXP(-LN(2)/25))/(LN(2)/25)*Calculateur!DB147*Calculateur!DD147*VLOOKUP('Données projet'!$B$13,Paramètres!$A$1:$I$89,3,0)*0.475*44/12</f>
        <v>0.1857411723994403</v>
      </c>
      <c r="DH147" s="21">
        <f>EXP(-LN(2)/2)*DH146+(1-EXP(-LN(2)/2))/(LN(2)/2)*DB147*DE147*VLOOKUP('Données projet'!$B$13,Paramètres!$A$1:$I$89,3,0)*0.475*44/12</f>
        <v>4.9151851418127411E-17</v>
      </c>
      <c r="DI147" s="22">
        <f t="shared" si="123"/>
        <v>0.18574117239944035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69.436782752753274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-1.2505552149377763E-12</v>
      </c>
      <c r="DP147" s="17">
        <f>DO147*VLOOKUP('Données projet'!$B$14,Paramètres!$A$1:$I$89,3,0)*VLOOKUP('Données projet'!$B$14,Paramètres!$A$1:$I$89,5,0)</f>
        <v>-6.9906036515021697E-13</v>
      </c>
      <c r="DQ147" s="13" t="e">
        <f t="shared" si="151"/>
        <v>#NUM!</v>
      </c>
      <c r="DR147" s="20" t="e">
        <f t="shared" si="124"/>
        <v>#NUM!</v>
      </c>
      <c r="DS147" s="59" t="e">
        <f t="shared" si="125"/>
        <v>#NUM!</v>
      </c>
      <c r="DT147" s="59">
        <f ca="1">AVERAGE(OFFSET($DS$3,0,0,'Données projet'!$E$14+1,1))-AVERAGE(OFFSET($H$3,0,0,'Données projet'!$E$14+1,1))</f>
        <v>532.64469322244281</v>
      </c>
      <c r="DU147" s="59">
        <f t="shared" si="152"/>
        <v>525.88014011096413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1.1944368266212739</v>
      </c>
      <c r="EB147" s="21">
        <f>EXP(-LN(2)/25)*EB146+(1-EXP(-LN(2)/25))/(LN(2)/25)*Calculateur!DW147*Calculateur!DY147*VLOOKUP('Données projet'!$B$14,Paramètres!$A$1:$I$89,3,0)*0.475*44/12</f>
        <v>1.6431619836835289</v>
      </c>
      <c r="EC147" s="21">
        <f>EXP(-LN(2)/2)*EC146+(1-EXP(-LN(2)/2))/(LN(2)/2)*DW147*DZ147*VLOOKUP('Données projet'!$B$14,Paramètres!$A$1:$I$89,3,0)*0.475*44/12</f>
        <v>2.5307458458741283E-16</v>
      </c>
      <c r="ED147" s="22">
        <f t="shared" si="126"/>
        <v>2.8375988103048031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69.436782752753274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-1.1368683772161603E-13</v>
      </c>
      <c r="EK147" s="17">
        <f>EJ147*VLOOKUP('Données projet'!$B$15,Paramètres!$A$1:$I$89,3,0)*VLOOKUP('Données projet'!$B$15,Paramètres!$A$1:$I$89,5,0)</f>
        <v>-1.0286385077051818E-13</v>
      </c>
      <c r="EL147" s="13" t="e">
        <f t="shared" si="153"/>
        <v>#NUM!</v>
      </c>
      <c r="EM147" s="20" t="e">
        <f t="shared" si="127"/>
        <v>#NUM!</v>
      </c>
      <c r="EN147" s="59" t="e">
        <f t="shared" si="128"/>
        <v>#NUM!</v>
      </c>
      <c r="EO147" s="59">
        <f ca="1">AVERAGE(OFFSET($EN$3,0,0,'Données projet'!$E$15+1,1))-AVERAGE(OFFSET($H$3,0,0,'Données projet'!$E$15+1,1))</f>
        <v>398.27843768730202</v>
      </c>
      <c r="EP147" s="59">
        <f t="shared" si="154"/>
        <v>252.3617347568813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0</v>
      </c>
      <c r="EW147" s="21">
        <f>EXP(-LN(2)/25)*EW146+(1-EXP(-LN(2)/25))/(LN(2)/25)*Calculateur!ER147*Calculateur!ET147*VLOOKUP('Données projet'!$B$15,Paramètres!$A$1:$I$89,3,0)*0.475*44/12</f>
        <v>0.13167278642452293</v>
      </c>
      <c r="EX147" s="21">
        <f>EXP(-LN(2)/2)*EX146+(1-EXP(-LN(2)/2))/(LN(2)/2)*ER147*EU147*VLOOKUP('Données projet'!$B$15,Paramètres!$A$1:$I$89,3,0)*0.475*44/12</f>
        <v>4.2947228096254698E-17</v>
      </c>
      <c r="EY147" s="22">
        <f t="shared" si="129"/>
        <v>0.13167278642452299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69.436782752753274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-1.1368683772161603E-13</v>
      </c>
      <c r="FF147" s="17">
        <f>FE147*VLOOKUP('Données projet'!$B$16,Paramètres!$A$1:$I$89,3,0)*VLOOKUP('Données projet'!$B$16,Paramètres!$A$1:$I$89,5,0)</f>
        <v>-1.0995790944434703E-13</v>
      </c>
      <c r="FG147" s="13" t="e">
        <f t="shared" si="155"/>
        <v>#NUM!</v>
      </c>
      <c r="FH147" s="20" t="e">
        <f t="shared" si="130"/>
        <v>#NUM!</v>
      </c>
      <c r="FI147" s="59" t="e">
        <f t="shared" si="131"/>
        <v>#NUM!</v>
      </c>
      <c r="FJ147" s="59">
        <f ca="1">AVERAGE(OFFSET($FI$3,0,0,'Données projet'!$E$16+1,1))-AVERAGE(OFFSET($H$3,0,0,'Données projet'!$E$16+1,1))</f>
        <v>422.28024471365825</v>
      </c>
      <c r="FK147" s="59">
        <f t="shared" si="156"/>
        <v>266.49730479813206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0</v>
      </c>
      <c r="FR147" s="21">
        <f>EXP(-LN(2)/25)*FR146+(1-EXP(-LN(2)/25))/(LN(2)/25)*Calculateur!FM147*Calculateur!FO147*VLOOKUP('Données projet'!$B$16,Paramètres!$A$1:$I$89,3,0)*0.475*44/12</f>
        <v>0.14075366824690366</v>
      </c>
      <c r="FS147" s="21">
        <f>EXP(-LN(2)/2)*FS146+(1-EXP(-LN(2)/2))/(LN(2)/2)*FM147*FP147*VLOOKUP('Données projet'!$B$16,Paramètres!$A$1:$I$89,3,0)*0.475*44/12</f>
        <v>4.5909105895996392E-17</v>
      </c>
      <c r="FT147" s="22">
        <f t="shared" si="132"/>
        <v>0.14075366824690372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69.436782752753274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3.4106051316484809E-13</v>
      </c>
      <c r="GA147" s="17">
        <f>FZ147*VLOOKUP('Données projet'!$B$17,Paramètres!$A$1:$I$89,3,0)*VLOOKUP('Données projet'!$B$17,Paramètres!$A$1:$I$89,5,0)</f>
        <v>2.6602720026858149E-13</v>
      </c>
      <c r="GB147" s="13">
        <f t="shared" si="157"/>
        <v>3.5662905043956649E-12</v>
      </c>
      <c r="GC147" s="20">
        <f t="shared" si="133"/>
        <v>6.6746200022902298E-12</v>
      </c>
      <c r="GD147" s="59">
        <f t="shared" si="134"/>
        <v>291.26820342676865</v>
      </c>
      <c r="GE147" s="59">
        <f ca="1">AVERAGE(OFFSET($GD$3,0,0,'Données projet'!$E$17+1,1))-AVERAGE(OFFSET($H$3,0,0,'Données projet'!$E$17+1,1))</f>
        <v>300.95722646933314</v>
      </c>
      <c r="GF147" s="59">
        <f t="shared" si="158"/>
        <v>269.52365224623759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>
        <f>EXP(-LN(2)/35)*GL146+(1-EXP(-LN(2)/35))/(LN(2)/35)*GH147*GI147*VLOOKUP('Données projet'!$B$17,Paramètres!$A$1:$I$89,3,0)*0.475*44/12</f>
        <v>9.3072999476982152E-2</v>
      </c>
      <c r="GM147" s="21">
        <f>EXP(-LN(2)/25)*GM146+(1-EXP(-LN(2)/25))/(LN(2)/25)*Calculateur!GH147*Calculateur!GJ147*VLOOKUP('Données projet'!$B$17,Paramètres!$A$1:$I$89,3,0)*0.475*44/12</f>
        <v>0.26450188134760028</v>
      </c>
      <c r="GN147" s="21">
        <f>EXP(-LN(2)/2)*GN146+(1-EXP(-LN(2)/2))/(LN(2)/2)*GH147*GK147*VLOOKUP('Données projet'!$B$17,Paramètres!$A$1:$I$89,3,0)*0.475*44/12</f>
        <v>6.1471408659286329E-17</v>
      </c>
      <c r="GO147" s="21">
        <f t="shared" si="135"/>
        <v>0.3575748808245825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69.436782752753274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1.4000000000000001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5.1333333333333337</v>
      </c>
      <c r="H148" s="67">
        <f t="shared" si="110"/>
        <v>236.13333333333335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69.446553312827874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-3.4106051316484809E-13</v>
      </c>
      <c r="O148" s="13">
        <f>N148*VLOOKUP('Données projet'!$B$9,Paramètres!$A$1:$I$89,3,0)*VLOOKUP('Données projet'!$B$9,Paramètres!$A$1:$I$89,5,0)</f>
        <v>-3.0859155231155454E-13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479.46542424895119</v>
      </c>
      <c r="T148" s="59">
        <f t="shared" si="142"/>
        <v>337.96395820277337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0.24697763505881373</v>
      </c>
      <c r="AA148" s="21">
        <f>EXP(-LN(2)/25)*AA147+(1-EXP(-LN(2)/25))/(LN(2)/25)*Calculateur!V148*Calculateur!X148*VLOOKUP('Données projet'!$B$9,Paramètres!$A$1:$I$89,3,0)*0.475*44/12</f>
        <v>0.46524275422770633</v>
      </c>
      <c r="AB148" s="21">
        <f>EXP(-LN(2)/2)*AB147+(1-EXP(-LN(2)/2))/(LN(2)/2)*V148*Y148*VLOOKUP('Données projet'!$B$9,Paramètres!$A$1:$I$89,3,0)*0.475*44/12</f>
        <v>1.0575228602655183E-16</v>
      </c>
      <c r="AC148" s="22">
        <f t="shared" si="111"/>
        <v>0.71222038928652021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69.446553312827874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-3.4106051316484809E-13</v>
      </c>
      <c r="AJ148" s="13">
        <f>AI148*VLOOKUP('Données projet'!$B$10,Paramètres!$A$1:$I$89,3,0)*VLOOKUP('Données projet'!$B$10,Paramètres!$A$1:$I$89,5,0)</f>
        <v>-3.2987372833304104E-13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508.94560627895089</v>
      </c>
      <c r="AO148" s="59">
        <f t="shared" si="144"/>
        <v>357.86868650263034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0.26401057540769762</v>
      </c>
      <c r="AV148" s="21">
        <f>EXP(-LN(2)/25)*AV147+(1-EXP(-LN(2)/25))/(LN(2)/25)*Calculateur!AQ148*Calculateur!AS148*VLOOKUP('Données projet'!$B$10,Paramètres!$A$1:$I$89,3,0)*0.475*44/12</f>
        <v>0.49732846141582393</v>
      </c>
      <c r="AW148" s="21">
        <f>EXP(-LN(2)/2)*AW147+(1-EXP(-LN(2)/2))/(LN(2)/2)*AQ148*AT148*VLOOKUP('Données projet'!$B$10,Paramètres!$A$1:$I$89,3,0)*0.475*44/12</f>
        <v>1.1304554713183075E-16</v>
      </c>
      <c r="AX148" s="21">
        <f t="shared" si="114"/>
        <v>0.76133903682352166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69.446553312827874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1.7053025658242404E-13</v>
      </c>
      <c r="BE148" s="13">
        <f>BD148*VLOOKUP('Données projet'!$B$11,Paramètres!$A$1:$I$89,3,0)*VLOOKUP('Données projet'!$B$11,Paramètres!$A$1:$I$89,5,0)</f>
        <v>1.3301360013429075E-13</v>
      </c>
      <c r="BF148" s="13">
        <f t="shared" si="145"/>
        <v>1.9329766731057041E-12</v>
      </c>
      <c r="BG148" s="20">
        <f t="shared" si="115"/>
        <v>3.5982663925596575E-12</v>
      </c>
      <c r="BH148" s="59">
        <f t="shared" si="116"/>
        <v>291.30402881370577</v>
      </c>
      <c r="BI148" s="59">
        <f ca="1">AVERAGE(OFFSET($BH$3,0,0,'Données projet'!$E$11+1,1))-AVERAGE(OFFSET($H$3,0,0,'Données projet'!$E$11+1,1))</f>
        <v>383.03154033422328</v>
      </c>
      <c r="BJ148" s="59">
        <f t="shared" si="146"/>
        <v>373.27897156169877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0.14827782893001445</v>
      </c>
      <c r="BQ148" s="21">
        <f>EXP(-LN(2)/25)*BQ147+(1-EXP(-LN(2)/25))/(LN(2)/25)*Calculateur!BL148*Calculateur!BN148*VLOOKUP('Données projet'!$B$11,Paramètres!$A$1:$I$89,3,0)*0.475*44/12</f>
        <v>0.34516358119338747</v>
      </c>
      <c r="BR148" s="21">
        <f>EXP(-LN(2)/2)*BR147+(1-EXP(-LN(2)/2))/(LN(2)/2)*BL148*BO148*VLOOKUP('Données projet'!$B$11,Paramètres!$A$1:$I$89,3,0)*0.475*44/12</f>
        <v>6.4134251596508686E-17</v>
      </c>
      <c r="BS148" s="22">
        <f t="shared" si="117"/>
        <v>0.49344141012340198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69.446553312827874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-3.4106051316484809E-13</v>
      </c>
      <c r="BZ148" s="13">
        <f>BY148*VLOOKUP('Données projet'!$B$12,Paramètres!$A$1:$I$89,3,0)*VLOOKUP('Données projet'!$B$12,Paramètres!$A$1:$I$89,5,0)</f>
        <v>-2.8730937629006804E-13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449.94334483948603</v>
      </c>
      <c r="CE148" s="59">
        <f t="shared" si="148"/>
        <v>318.02929110264176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0.22994469470993034</v>
      </c>
      <c r="CL148" s="21">
        <f>EXP(-LN(2)/25)*CL147+(1-EXP(-LN(2)/25))/(LN(2)/25)*Calculateur!CG148*Calculateur!CI148*VLOOKUP('Données projet'!$B$12,Paramètres!$A$1:$I$89,3,0)*0.475*44/12</f>
        <v>0.43315704703958874</v>
      </c>
      <c r="CM148" s="21">
        <f>EXP(-LN(2)/2)*CM147+(1-EXP(-LN(2)/2))/(LN(2)/2)*CG148*CJ148*VLOOKUP('Données projet'!$B$12,Paramètres!$A$1:$I$89,3,0)*0.475*44/12</f>
        <v>9.8459024921272044E-17</v>
      </c>
      <c r="CN148" s="22">
        <f t="shared" si="120"/>
        <v>0.66310174174951919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69.446553312827874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4</v>
      </c>
      <c r="CT148" s="12">
        <f>IF('Données projet'!$A$140&gt;35,CT147+CS148-DB147,IF(A148&lt;'Données projet'!$A$140,$CQ$205^A148,IF(A148='Données projet'!$A$140,'Données projet'!$B$140,CT147+CS148-DB147)))</f>
        <v>447.00000000000011</v>
      </c>
      <c r="CU148" s="17">
        <f>CT148*VLOOKUP('Données projet'!$B$13,Paramètres!$A$1:$I$89,3,0)*VLOOKUP('Données projet'!$B$13,Paramètres!$A$1:$I$89,5,0)</f>
        <v>383.52600000000012</v>
      </c>
      <c r="CV148" s="13">
        <f t="shared" si="149"/>
        <v>88.428683588808639</v>
      </c>
      <c r="CW148" s="20">
        <f t="shared" si="121"/>
        <v>821.98774058384186</v>
      </c>
      <c r="CX148" s="59">
        <f t="shared" si="122"/>
        <v>1113.2917693975442</v>
      </c>
      <c r="CY148" s="59">
        <f ca="1">AVERAGE(OFFSET($CX$3,0,0,'Données projet'!$E$13+1,1))-AVERAGE(OFFSET($H$3,0,0,'Données projet'!$E$13+1,1))</f>
        <v>565.32667500225568</v>
      </c>
      <c r="CZ148" s="59">
        <f t="shared" si="150"/>
        <v>275.06957234480944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0</v>
      </c>
      <c r="DG148" s="21">
        <f>EXP(-LN(2)/25)*DG147+(1-EXP(-LN(2)/25))/(LN(2)/25)*Calculateur!DB148*Calculateur!DD148*VLOOKUP('Données projet'!$B$13,Paramètres!$A$1:$I$89,3,0)*0.475*44/12</f>
        <v>0.18066207027247386</v>
      </c>
      <c r="DH148" s="21">
        <f>EXP(-LN(2)/2)*DH147+(1-EXP(-LN(2)/2))/(LN(2)/2)*DB148*DE148*VLOOKUP('Données projet'!$B$13,Paramètres!$A$1:$I$89,3,0)*0.475*44/12</f>
        <v>3.4755607445631514E-17</v>
      </c>
      <c r="DI148" s="22">
        <f t="shared" si="123"/>
        <v>0.18066207027247388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69.446553312827874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-1.2505552149377763E-12</v>
      </c>
      <c r="DP148" s="17">
        <f>DO148*VLOOKUP('Données projet'!$B$14,Paramètres!$A$1:$I$89,3,0)*VLOOKUP('Données projet'!$B$14,Paramètres!$A$1:$I$89,5,0)</f>
        <v>-6.9906036515021697E-13</v>
      </c>
      <c r="DQ148" s="13" t="e">
        <f t="shared" si="151"/>
        <v>#NUM!</v>
      </c>
      <c r="DR148" s="20" t="e">
        <f t="shared" si="124"/>
        <v>#NUM!</v>
      </c>
      <c r="DS148" s="59" t="e">
        <f t="shared" si="125"/>
        <v>#NUM!</v>
      </c>
      <c r="DT148" s="59">
        <f ca="1">AVERAGE(OFFSET($DS$3,0,0,'Données projet'!$E$14+1,1))-AVERAGE(OFFSET($H$3,0,0,'Données projet'!$E$14+1,1))</f>
        <v>532.64469322244281</v>
      </c>
      <c r="DU148" s="59">
        <f t="shared" si="152"/>
        <v>525.88014011096413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1.1710146489857582</v>
      </c>
      <c r="EB148" s="21">
        <f>EXP(-LN(2)/25)*EB147+(1-EXP(-LN(2)/25))/(LN(2)/25)*Calculateur!DW148*Calculateur!DY148*VLOOKUP('Données projet'!$B$14,Paramètres!$A$1:$I$89,3,0)*0.475*44/12</f>
        <v>1.5982296328295695</v>
      </c>
      <c r="EC148" s="21">
        <f>EXP(-LN(2)/2)*EC147+(1-EXP(-LN(2)/2))/(LN(2)/2)*DW148*DZ148*VLOOKUP('Données projet'!$B$14,Paramètres!$A$1:$I$89,3,0)*0.475*44/12</f>
        <v>1.7895075490772814E-16</v>
      </c>
      <c r="ED148" s="22">
        <f t="shared" si="126"/>
        <v>2.769244281815328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69.446553312827874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-1.1368683772161603E-13</v>
      </c>
      <c r="EK148" s="17">
        <f>EJ148*VLOOKUP('Données projet'!$B$15,Paramètres!$A$1:$I$89,3,0)*VLOOKUP('Données projet'!$B$15,Paramètres!$A$1:$I$89,5,0)</f>
        <v>-1.0286385077051818E-13</v>
      </c>
      <c r="EL148" s="13" t="e">
        <f t="shared" si="153"/>
        <v>#NUM!</v>
      </c>
      <c r="EM148" s="20" t="e">
        <f t="shared" si="127"/>
        <v>#NUM!</v>
      </c>
      <c r="EN148" s="59" t="e">
        <f t="shared" si="128"/>
        <v>#NUM!</v>
      </c>
      <c r="EO148" s="59">
        <f ca="1">AVERAGE(OFFSET($EN$3,0,0,'Données projet'!$E$15+1,1))-AVERAGE(OFFSET($H$3,0,0,'Données projet'!$E$15+1,1))</f>
        <v>398.27843768730202</v>
      </c>
      <c r="EP148" s="59">
        <f t="shared" si="154"/>
        <v>252.3617347568813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0</v>
      </c>
      <c r="EW148" s="21">
        <f>EXP(-LN(2)/25)*EW147+(1-EXP(-LN(2)/25))/(LN(2)/25)*Calculateur!ER148*Calculateur!ET148*VLOOKUP('Données projet'!$B$15,Paramètres!$A$1:$I$89,3,0)*0.475*44/12</f>
        <v>0.12807218715537347</v>
      </c>
      <c r="EX148" s="21">
        <f>EXP(-LN(2)/2)*EX147+(1-EXP(-LN(2)/2))/(LN(2)/2)*ER148*EU148*VLOOKUP('Données projet'!$B$15,Paramètres!$A$1:$I$89,3,0)*0.475*44/12</f>
        <v>3.0368276220027116E-17</v>
      </c>
      <c r="EY148" s="22">
        <f t="shared" si="129"/>
        <v>0.1280721871553735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69.446553312827874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-1.1368683772161603E-13</v>
      </c>
      <c r="FF148" s="17">
        <f>FE148*VLOOKUP('Données projet'!$B$16,Paramètres!$A$1:$I$89,3,0)*VLOOKUP('Données projet'!$B$16,Paramètres!$A$1:$I$89,5,0)</f>
        <v>-1.0995790944434703E-13</v>
      </c>
      <c r="FG148" s="13" t="e">
        <f t="shared" si="155"/>
        <v>#NUM!</v>
      </c>
      <c r="FH148" s="20" t="e">
        <f t="shared" si="130"/>
        <v>#NUM!</v>
      </c>
      <c r="FI148" s="59" t="e">
        <f t="shared" si="131"/>
        <v>#NUM!</v>
      </c>
      <c r="FJ148" s="59">
        <f ca="1">AVERAGE(OFFSET($FI$3,0,0,'Données projet'!$E$16+1,1))-AVERAGE(OFFSET($H$3,0,0,'Données projet'!$E$16+1,1))</f>
        <v>422.28024471365825</v>
      </c>
      <c r="FK148" s="59">
        <f t="shared" si="156"/>
        <v>266.49730479813206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0</v>
      </c>
      <c r="FR148" s="21">
        <f>EXP(-LN(2)/25)*FR147+(1-EXP(-LN(2)/25))/(LN(2)/25)*Calculateur!FM148*Calculateur!FO148*VLOOKUP('Données projet'!$B$16,Paramètres!$A$1:$I$89,3,0)*0.475*44/12</f>
        <v>0.13690475178677836</v>
      </c>
      <c r="FS148" s="21">
        <f>EXP(-LN(2)/2)*FS147+(1-EXP(-LN(2)/2))/(LN(2)/2)*FM148*FP148*VLOOKUP('Données projet'!$B$16,Paramètres!$A$1:$I$89,3,0)*0.475*44/12</f>
        <v>3.2462640097270359E-17</v>
      </c>
      <c r="FT148" s="22">
        <f t="shared" si="132"/>
        <v>0.13690475178677838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69.446553312827874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3.4106051316484809E-13</v>
      </c>
      <c r="GA148" s="17">
        <f>FZ148*VLOOKUP('Données projet'!$B$17,Paramètres!$A$1:$I$89,3,0)*VLOOKUP('Données projet'!$B$17,Paramètres!$A$1:$I$89,5,0)</f>
        <v>2.6602720026858149E-13</v>
      </c>
      <c r="GB148" s="13">
        <f t="shared" si="157"/>
        <v>3.5662905043956649E-12</v>
      </c>
      <c r="GC148" s="20">
        <f t="shared" si="133"/>
        <v>6.6746200022902298E-12</v>
      </c>
      <c r="GD148" s="59">
        <f t="shared" si="134"/>
        <v>291.30402881370884</v>
      </c>
      <c r="GE148" s="59">
        <f ca="1">AVERAGE(OFFSET($GD$3,0,0,'Données projet'!$E$17+1,1))-AVERAGE(OFFSET($H$3,0,0,'Données projet'!$E$17+1,1))</f>
        <v>300.95722646933314</v>
      </c>
      <c r="GF148" s="59">
        <f t="shared" si="158"/>
        <v>269.52365224623759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>
        <f>EXP(-LN(2)/35)*GL147+(1-EXP(-LN(2)/35))/(LN(2)/35)*GH148*GI148*VLOOKUP('Données projet'!$B$17,Paramètres!$A$1:$I$89,3,0)*0.475*44/12</f>
        <v>9.1247894726162751E-2</v>
      </c>
      <c r="GM148" s="21">
        <f>EXP(-LN(2)/25)*GM147+(1-EXP(-LN(2)/25))/(LN(2)/25)*Calculateur!GH148*Calculateur!GJ148*VLOOKUP('Données projet'!$B$17,Paramètres!$A$1:$I$89,3,0)*0.475*44/12</f>
        <v>0.25726906349260076</v>
      </c>
      <c r="GN148" s="21">
        <f>EXP(-LN(2)/2)*GN147+(1-EXP(-LN(2)/2))/(LN(2)/2)*GH148*GK148*VLOOKUP('Données projet'!$B$17,Paramètres!$A$1:$I$89,3,0)*0.475*44/12</f>
        <v>4.3466849912070822E-17</v>
      </c>
      <c r="GO148" s="21">
        <f t="shared" si="135"/>
        <v>0.34851695821876355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69.446553312827874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1.4000000000000001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5.1333333333333337</v>
      </c>
      <c r="H149" s="67">
        <f t="shared" si="110"/>
        <v>236.13333333333335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69.456154375528882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-3.4106051316484809E-13</v>
      </c>
      <c r="O149" s="13">
        <f>N149*VLOOKUP('Données projet'!$B$9,Paramètres!$A$1:$I$89,3,0)*VLOOKUP('Données projet'!$B$9,Paramètres!$A$1:$I$89,5,0)</f>
        <v>-3.0859155231155454E-13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479.46542424895119</v>
      </c>
      <c r="T149" s="59">
        <f t="shared" si="142"/>
        <v>337.96395820277337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0.24213455427679317</v>
      </c>
      <c r="AA149" s="21">
        <f>EXP(-LN(2)/25)*AA148+(1-EXP(-LN(2)/25))/(LN(2)/25)*Calculateur!V149*Calculateur!X149*VLOOKUP('Données projet'!$B$9,Paramètres!$A$1:$I$89,3,0)*0.475*44/12</f>
        <v>0.45252066664729657</v>
      </c>
      <c r="AB149" s="21">
        <f>EXP(-LN(2)/2)*AB148+(1-EXP(-LN(2)/2))/(LN(2)/2)*V149*Y149*VLOOKUP('Données projet'!$B$9,Paramètres!$A$1:$I$89,3,0)*0.475*44/12</f>
        <v>7.4778158575354173E-17</v>
      </c>
      <c r="AC149" s="22">
        <f t="shared" si="111"/>
        <v>0.69465522092408982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69.456154375528882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-3.4106051316484809E-13</v>
      </c>
      <c r="AJ149" s="13">
        <f>AI149*VLOOKUP('Données projet'!$B$10,Paramètres!$A$1:$I$89,3,0)*VLOOKUP('Données projet'!$B$10,Paramètres!$A$1:$I$89,5,0)</f>
        <v>-3.2987372833304104E-13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508.94560627895089</v>
      </c>
      <c r="AO149" s="59">
        <f t="shared" si="144"/>
        <v>357.86868650263034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0.25883348905450321</v>
      </c>
      <c r="AV149" s="21">
        <f>EXP(-LN(2)/25)*AV148+(1-EXP(-LN(2)/25))/(LN(2)/25)*Calculateur!AQ149*Calculateur!AS149*VLOOKUP('Données projet'!$B$10,Paramètres!$A$1:$I$89,3,0)*0.475*44/12</f>
        <v>0.48372898848504109</v>
      </c>
      <c r="AW149" s="21">
        <f>EXP(-LN(2)/2)*AW148+(1-EXP(-LN(2)/2))/(LN(2)/2)*AQ149*AT149*VLOOKUP('Données projet'!$B$10,Paramètres!$A$1:$I$89,3,0)*0.475*44/12</f>
        <v>7.9935272959860991E-17</v>
      </c>
      <c r="AX149" s="21">
        <f t="shared" si="114"/>
        <v>0.74256247753954441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69.456154375528882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1.7053025658242404E-13</v>
      </c>
      <c r="BE149" s="13">
        <f>BD149*VLOOKUP('Données projet'!$B$11,Paramètres!$A$1:$I$89,3,0)*VLOOKUP('Données projet'!$B$11,Paramètres!$A$1:$I$89,5,0)</f>
        <v>1.3301360013429075E-13</v>
      </c>
      <c r="BF149" s="13">
        <f t="shared" si="145"/>
        <v>1.9329766731057041E-12</v>
      </c>
      <c r="BG149" s="20">
        <f t="shared" si="115"/>
        <v>3.5982663925596575E-12</v>
      </c>
      <c r="BH149" s="59">
        <f t="shared" si="116"/>
        <v>291.33923271027618</v>
      </c>
      <c r="BI149" s="59">
        <f ca="1">AVERAGE(OFFSET($BH$3,0,0,'Données projet'!$E$11+1,1))-AVERAGE(OFFSET($H$3,0,0,'Données projet'!$E$11+1,1))</f>
        <v>383.03154033422328</v>
      </c>
      <c r="BJ149" s="59">
        <f t="shared" si="146"/>
        <v>373.27897156169877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0.14537019114524224</v>
      </c>
      <c r="BQ149" s="21">
        <f>EXP(-LN(2)/25)*BQ148+(1-EXP(-LN(2)/25))/(LN(2)/25)*Calculateur!BL149*Calculateur!BN149*VLOOKUP('Données projet'!$B$11,Paramètres!$A$1:$I$89,3,0)*0.475*44/12</f>
        <v>0.33572506491429044</v>
      </c>
      <c r="BR149" s="21">
        <f>EXP(-LN(2)/2)*BR148+(1-EXP(-LN(2)/2))/(LN(2)/2)*BL149*BO149*VLOOKUP('Données projet'!$B$11,Paramètres!$A$1:$I$89,3,0)*0.475*44/12</f>
        <v>4.5349764210215455E-17</v>
      </c>
      <c r="BS149" s="22">
        <f t="shared" si="117"/>
        <v>0.48109525605953274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69.456154375528882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-3.4106051316484809E-13</v>
      </c>
      <c r="BZ149" s="13">
        <f>BY149*VLOOKUP('Données projet'!$B$12,Paramètres!$A$1:$I$89,3,0)*VLOOKUP('Données projet'!$B$12,Paramètres!$A$1:$I$89,5,0)</f>
        <v>-2.8730937629006804E-13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449.94334483948603</v>
      </c>
      <c r="CE149" s="59">
        <f t="shared" si="148"/>
        <v>318.02929110264176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0.22543561949908361</v>
      </c>
      <c r="CL149" s="21">
        <f>EXP(-LN(2)/25)*CL148+(1-EXP(-LN(2)/25))/(LN(2)/25)*Calculateur!CG149*Calculateur!CI149*VLOOKUP('Données projet'!$B$12,Paramètres!$A$1:$I$89,3,0)*0.475*44/12</f>
        <v>0.4213123448095521</v>
      </c>
      <c r="CM149" s="21">
        <f>EXP(-LN(2)/2)*CM148+(1-EXP(-LN(2)/2))/(LN(2)/2)*CG149*CJ149*VLOOKUP('Données projet'!$B$12,Paramètres!$A$1:$I$89,3,0)*0.475*44/12</f>
        <v>6.962104419084674E-17</v>
      </c>
      <c r="CN149" s="22">
        <f t="shared" si="120"/>
        <v>0.64674796430863579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69.456154375528882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4</v>
      </c>
      <c r="CT149" s="12">
        <f>IF('Données projet'!$A$140&gt;35,CT148+CS149-DB148,IF(A149&lt;'Données projet'!$A$140,$CQ$205^A149,IF(A149='Données projet'!$A$140,'Données projet'!$B$140,CT148+CS149-DB148)))</f>
        <v>451.00000000000011</v>
      </c>
      <c r="CU149" s="17">
        <f>CT149*VLOOKUP('Données projet'!$B$13,Paramètres!$A$1:$I$89,3,0)*VLOOKUP('Données projet'!$B$13,Paramètres!$A$1:$I$89,5,0)</f>
        <v>386.95800000000014</v>
      </c>
      <c r="CV149" s="13">
        <f t="shared" si="149"/>
        <v>89.127520512837165</v>
      </c>
      <c r="CW149" s="20">
        <f t="shared" si="121"/>
        <v>829.18228155985832</v>
      </c>
      <c r="CX149" s="59">
        <f t="shared" si="122"/>
        <v>1120.5215142701309</v>
      </c>
      <c r="CY149" s="59">
        <f ca="1">AVERAGE(OFFSET($CX$3,0,0,'Données projet'!$E$13+1,1))-AVERAGE(OFFSET($H$3,0,0,'Données projet'!$E$13+1,1))</f>
        <v>565.32667500225568</v>
      </c>
      <c r="CZ149" s="59">
        <f t="shared" si="150"/>
        <v>275.06957234480944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0</v>
      </c>
      <c r="DG149" s="21">
        <f>EXP(-LN(2)/25)*DG148+(1-EXP(-LN(2)/25))/(LN(2)/25)*Calculateur!DB149*Calculateur!DD149*VLOOKUP('Données projet'!$B$13,Paramètres!$A$1:$I$89,3,0)*0.475*44/12</f>
        <v>0.17572185646026769</v>
      </c>
      <c r="DH149" s="21">
        <f>EXP(-LN(2)/2)*DH148+(1-EXP(-LN(2)/2))/(LN(2)/2)*DB149*DE149*VLOOKUP('Données projet'!$B$13,Paramètres!$A$1:$I$89,3,0)*0.475*44/12</f>
        <v>2.4575925709063705E-17</v>
      </c>
      <c r="DI149" s="22">
        <f t="shared" si="123"/>
        <v>0.17572185646026772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69.456154375528882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-1.2505552149377763E-12</v>
      </c>
      <c r="DP149" s="17">
        <f>DO149*VLOOKUP('Données projet'!$B$14,Paramètres!$A$1:$I$89,3,0)*VLOOKUP('Données projet'!$B$14,Paramètres!$A$1:$I$89,5,0)</f>
        <v>-6.9906036515021697E-13</v>
      </c>
      <c r="DQ149" s="13" t="e">
        <f t="shared" si="151"/>
        <v>#NUM!</v>
      </c>
      <c r="DR149" s="20" t="e">
        <f t="shared" si="124"/>
        <v>#NUM!</v>
      </c>
      <c r="DS149" s="59" t="e">
        <f t="shared" si="125"/>
        <v>#NUM!</v>
      </c>
      <c r="DT149" s="59">
        <f ca="1">AVERAGE(OFFSET($DS$3,0,0,'Données projet'!$E$14+1,1))-AVERAGE(OFFSET($H$3,0,0,'Données projet'!$E$14+1,1))</f>
        <v>532.64469322244281</v>
      </c>
      <c r="DU149" s="59">
        <f t="shared" si="152"/>
        <v>525.88014011096413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1.1480517659675573</v>
      </c>
      <c r="EB149" s="21">
        <f>EXP(-LN(2)/25)*EB148+(1-EXP(-LN(2)/25))/(LN(2)/25)*Calculateur!DW149*Calculateur!DY149*VLOOKUP('Données projet'!$B$14,Paramètres!$A$1:$I$89,3,0)*0.475*44/12</f>
        <v>1.5545259594726013</v>
      </c>
      <c r="EC149" s="21">
        <f>EXP(-LN(2)/2)*EC148+(1-EXP(-LN(2)/2))/(LN(2)/2)*DW149*DZ149*VLOOKUP('Données projet'!$B$14,Paramètres!$A$1:$I$89,3,0)*0.475*44/12</f>
        <v>1.2653729229370642E-16</v>
      </c>
      <c r="ED149" s="22">
        <f t="shared" si="126"/>
        <v>2.7025777254401584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69.456154375528882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-1.1368683772161603E-13</v>
      </c>
      <c r="EK149" s="17">
        <f>EJ149*VLOOKUP('Données projet'!$B$15,Paramètres!$A$1:$I$89,3,0)*VLOOKUP('Données projet'!$B$15,Paramètres!$A$1:$I$89,5,0)</f>
        <v>-1.0286385077051818E-13</v>
      </c>
      <c r="EL149" s="13" t="e">
        <f t="shared" si="153"/>
        <v>#NUM!</v>
      </c>
      <c r="EM149" s="20" t="e">
        <f t="shared" si="127"/>
        <v>#NUM!</v>
      </c>
      <c r="EN149" s="59" t="e">
        <f t="shared" si="128"/>
        <v>#NUM!</v>
      </c>
      <c r="EO149" s="59">
        <f ca="1">AVERAGE(OFFSET($EN$3,0,0,'Données projet'!$E$15+1,1))-AVERAGE(OFFSET($H$3,0,0,'Données projet'!$E$15+1,1))</f>
        <v>398.27843768730202</v>
      </c>
      <c r="EP149" s="59">
        <f t="shared" si="154"/>
        <v>252.3617347568813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0</v>
      </c>
      <c r="EW149" s="21">
        <f>EXP(-LN(2)/25)*EW148+(1-EXP(-LN(2)/25))/(LN(2)/25)*Calculateur!ER149*Calculateur!ET149*VLOOKUP('Données projet'!$B$15,Paramètres!$A$1:$I$89,3,0)*0.475*44/12</f>
        <v>0.12457004646258617</v>
      </c>
      <c r="EX149" s="21">
        <f>EXP(-LN(2)/2)*EX148+(1-EXP(-LN(2)/2))/(LN(2)/2)*ER149*EU149*VLOOKUP('Données projet'!$B$15,Paramètres!$A$1:$I$89,3,0)*0.475*44/12</f>
        <v>2.1473614048127349E-17</v>
      </c>
      <c r="EY149" s="22">
        <f t="shared" si="129"/>
        <v>0.1245700464625862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69.456154375528882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-1.1368683772161603E-13</v>
      </c>
      <c r="FF149" s="17">
        <f>FE149*VLOOKUP('Données projet'!$B$16,Paramètres!$A$1:$I$89,3,0)*VLOOKUP('Données projet'!$B$16,Paramètres!$A$1:$I$89,5,0)</f>
        <v>-1.0995790944434703E-13</v>
      </c>
      <c r="FG149" s="13" t="e">
        <f t="shared" si="155"/>
        <v>#NUM!</v>
      </c>
      <c r="FH149" s="20" t="e">
        <f t="shared" si="130"/>
        <v>#NUM!</v>
      </c>
      <c r="FI149" s="59" t="e">
        <f t="shared" si="131"/>
        <v>#NUM!</v>
      </c>
      <c r="FJ149" s="59">
        <f ca="1">AVERAGE(OFFSET($FI$3,0,0,'Données projet'!$E$16+1,1))-AVERAGE(OFFSET($H$3,0,0,'Données projet'!$E$16+1,1))</f>
        <v>422.28024471365825</v>
      </c>
      <c r="FK149" s="59">
        <f t="shared" si="156"/>
        <v>266.49730479813206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0</v>
      </c>
      <c r="FR149" s="21">
        <f>EXP(-LN(2)/25)*FR148+(1-EXP(-LN(2)/25))/(LN(2)/25)*Calculateur!FM149*Calculateur!FO149*VLOOKUP('Données projet'!$B$16,Paramètres!$A$1:$I$89,3,0)*0.475*44/12</f>
        <v>0.13316108414966091</v>
      </c>
      <c r="FS149" s="21">
        <f>EXP(-LN(2)/2)*FS148+(1-EXP(-LN(2)/2))/(LN(2)/2)*FM149*FP149*VLOOKUP('Données projet'!$B$16,Paramètres!$A$1:$I$89,3,0)*0.475*44/12</f>
        <v>2.2954552947998196E-17</v>
      </c>
      <c r="FT149" s="22">
        <f t="shared" si="132"/>
        <v>0.13316108414966094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69.456154375528882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3.4106051316484809E-13</v>
      </c>
      <c r="GA149" s="17">
        <f>FZ149*VLOOKUP('Données projet'!$B$17,Paramètres!$A$1:$I$89,3,0)*VLOOKUP('Données projet'!$B$17,Paramètres!$A$1:$I$89,5,0)</f>
        <v>2.6602720026858149E-13</v>
      </c>
      <c r="GB149" s="13">
        <f t="shared" si="157"/>
        <v>3.5662905043956649E-12</v>
      </c>
      <c r="GC149" s="20">
        <f t="shared" si="133"/>
        <v>6.6746200022902298E-12</v>
      </c>
      <c r="GD149" s="59">
        <f t="shared" si="134"/>
        <v>291.33923271027925</v>
      </c>
      <c r="GE149" s="59">
        <f ca="1">AVERAGE(OFFSET($GD$3,0,0,'Données projet'!$E$17+1,1))-AVERAGE(OFFSET($H$3,0,0,'Données projet'!$E$17+1,1))</f>
        <v>300.95722646933314</v>
      </c>
      <c r="GF149" s="59">
        <f t="shared" si="158"/>
        <v>269.52365224623759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>
        <f>EXP(-LN(2)/35)*GL148+(1-EXP(-LN(2)/35))/(LN(2)/35)*GH149*GI149*VLOOKUP('Données projet'!$B$17,Paramètres!$A$1:$I$89,3,0)*0.475*44/12</f>
        <v>8.945857916630294E-2</v>
      </c>
      <c r="GM149" s="21">
        <f>EXP(-LN(2)/25)*GM148+(1-EXP(-LN(2)/25))/(LN(2)/25)*Calculateur!GH149*Calculateur!GJ149*VLOOKUP('Données projet'!$B$17,Paramètres!$A$1:$I$89,3,0)*0.475*44/12</f>
        <v>0.25023402742220352</v>
      </c>
      <c r="GN149" s="21">
        <f>EXP(-LN(2)/2)*GN148+(1-EXP(-LN(2)/2))/(LN(2)/2)*GH149*GK149*VLOOKUP('Données projet'!$B$17,Paramètres!$A$1:$I$89,3,0)*0.475*44/12</f>
        <v>3.0735704329643165E-17</v>
      </c>
      <c r="GO149" s="21">
        <f t="shared" si="135"/>
        <v>0.33969260658850653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69.456154375528882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1.4000000000000001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5.1333333333333337</v>
      </c>
      <c r="H150" s="67">
        <f t="shared" si="110"/>
        <v>236.13333333333335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69.465588881256792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-3.4106051316484809E-13</v>
      </c>
      <c r="O150" s="13">
        <f>N150*VLOOKUP('Données projet'!$B$9,Paramètres!$A$1:$I$89,3,0)*VLOOKUP('Données projet'!$B$9,Paramètres!$A$1:$I$89,5,0)</f>
        <v>-3.0859155231155454E-13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479.46542424895119</v>
      </c>
      <c r="T150" s="59">
        <f t="shared" si="142"/>
        <v>337.96395820277337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0.23738644335492043</v>
      </c>
      <c r="AA150" s="21">
        <f>EXP(-LN(2)/25)*AA149+(1-EXP(-LN(2)/25))/(LN(2)/25)*Calculateur!V150*Calculateur!X150*VLOOKUP('Données projet'!$B$9,Paramètres!$A$1:$I$89,3,0)*0.475*44/12</f>
        <v>0.44014646522079864</v>
      </c>
      <c r="AB150" s="21">
        <f>EXP(-LN(2)/2)*AB149+(1-EXP(-LN(2)/2))/(LN(2)/2)*V150*Y150*VLOOKUP('Données projet'!$B$9,Paramètres!$A$1:$I$89,3,0)*0.475*44/12</f>
        <v>5.2876143013275917E-17</v>
      </c>
      <c r="AC150" s="22">
        <f t="shared" si="111"/>
        <v>0.67753290857571913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69.465588881256792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-3.4106051316484809E-13</v>
      </c>
      <c r="AJ150" s="13">
        <f>AI150*VLOOKUP('Données projet'!$B$10,Paramètres!$A$1:$I$89,3,0)*VLOOKUP('Données projet'!$B$10,Paramètres!$A$1:$I$89,5,0)</f>
        <v>-3.2987372833304104E-13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508.94560627895089</v>
      </c>
      <c r="AO150" s="59">
        <f t="shared" si="144"/>
        <v>357.86868650263034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0.25375792220698407</v>
      </c>
      <c r="AV150" s="21">
        <f>EXP(-LN(2)/25)*AV149+(1-EXP(-LN(2)/25))/(LN(2)/25)*Calculateur!AQ150*Calculateur!AS150*VLOOKUP('Données projet'!$B$10,Paramètres!$A$1:$I$89,3,0)*0.475*44/12</f>
        <v>0.47050139385671569</v>
      </c>
      <c r="AW150" s="21">
        <f>EXP(-LN(2)/2)*AW149+(1-EXP(-LN(2)/2))/(LN(2)/2)*AQ150*AT150*VLOOKUP('Données projet'!$B$10,Paramètres!$A$1:$I$89,3,0)*0.475*44/12</f>
        <v>5.6522773565915374E-17</v>
      </c>
      <c r="AX150" s="21">
        <f t="shared" si="114"/>
        <v>0.72425931606369987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69.465588881256792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1.7053025658242404E-13</v>
      </c>
      <c r="BE150" s="13">
        <f>BD150*VLOOKUP('Données projet'!$B$11,Paramètres!$A$1:$I$89,3,0)*VLOOKUP('Données projet'!$B$11,Paramètres!$A$1:$I$89,5,0)</f>
        <v>1.3301360013429075E-13</v>
      </c>
      <c r="BF150" s="13">
        <f t="shared" si="145"/>
        <v>1.9329766731057041E-12</v>
      </c>
      <c r="BG150" s="20">
        <f t="shared" si="115"/>
        <v>3.5982663925596575E-12</v>
      </c>
      <c r="BH150" s="59">
        <f t="shared" si="116"/>
        <v>291.37382589794515</v>
      </c>
      <c r="BI150" s="59">
        <f ca="1">AVERAGE(OFFSET($BH$3,0,0,'Données projet'!$E$11+1,1))-AVERAGE(OFFSET($H$3,0,0,'Données projet'!$E$11+1,1))</f>
        <v>383.03154033422328</v>
      </c>
      <c r="BJ150" s="59">
        <f t="shared" si="146"/>
        <v>373.27897156169877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0.1425195703639455</v>
      </c>
      <c r="BQ150" s="21">
        <f>EXP(-LN(2)/25)*BQ149+(1-EXP(-LN(2)/25))/(LN(2)/25)*Calculateur!BL150*Calculateur!BN150*VLOOKUP('Données projet'!$B$11,Paramètres!$A$1:$I$89,3,0)*0.475*44/12</f>
        <v>0.32654464535919531</v>
      </c>
      <c r="BR150" s="21">
        <f>EXP(-LN(2)/2)*BR149+(1-EXP(-LN(2)/2))/(LN(2)/2)*BL150*BO150*VLOOKUP('Données projet'!$B$11,Paramètres!$A$1:$I$89,3,0)*0.475*44/12</f>
        <v>3.2067125798254343E-17</v>
      </c>
      <c r="BS150" s="22">
        <f t="shared" si="117"/>
        <v>0.46906421572314089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69.465588881256792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-3.4106051316484809E-13</v>
      </c>
      <c r="BZ150" s="13">
        <f>BY150*VLOOKUP('Données projet'!$B$12,Paramètres!$A$1:$I$89,3,0)*VLOOKUP('Données projet'!$B$12,Paramètres!$A$1:$I$89,5,0)</f>
        <v>-2.8730937629006804E-13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449.94334483948603</v>
      </c>
      <c r="CE150" s="59">
        <f t="shared" si="148"/>
        <v>318.02929110264176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0.22101496450285726</v>
      </c>
      <c r="CL150" s="21">
        <f>EXP(-LN(2)/25)*CL149+(1-EXP(-LN(2)/25))/(LN(2)/25)*Calculateur!CG150*Calculateur!CI150*VLOOKUP('Données projet'!$B$12,Paramètres!$A$1:$I$89,3,0)*0.475*44/12</f>
        <v>0.4097915365848816</v>
      </c>
      <c r="CM150" s="21">
        <f>EXP(-LN(2)/2)*CM149+(1-EXP(-LN(2)/2))/(LN(2)/2)*CG150*CJ150*VLOOKUP('Données projet'!$B$12,Paramètres!$A$1:$I$89,3,0)*0.475*44/12</f>
        <v>4.9229512460636022E-17</v>
      </c>
      <c r="CN150" s="22">
        <f t="shared" si="120"/>
        <v>0.63080650108773884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69.465588881256792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4</v>
      </c>
      <c r="CT150" s="12">
        <f>IF('Données projet'!$A$140&gt;35,CT149+CS150-DB149,IF(A150&lt;'Données projet'!$A$140,$CQ$205^A150,IF(A150='Données projet'!$A$140,'Données projet'!$B$140,CT149+CS150-DB149)))</f>
        <v>455.00000000000011</v>
      </c>
      <c r="CU150" s="17">
        <f>CT150*VLOOKUP('Données projet'!$B$13,Paramètres!$A$1:$I$89,3,0)*VLOOKUP('Données projet'!$B$13,Paramètres!$A$1:$I$89,5,0)</f>
        <v>390.39000000000016</v>
      </c>
      <c r="CV150" s="13">
        <f t="shared" si="149"/>
        <v>89.825636339119924</v>
      </c>
      <c r="CW150" s="20">
        <f t="shared" si="121"/>
        <v>836.37556662396753</v>
      </c>
      <c r="CX150" s="59">
        <f t="shared" si="122"/>
        <v>1127.7493925219092</v>
      </c>
      <c r="CY150" s="59">
        <f ca="1">AVERAGE(OFFSET($CX$3,0,0,'Données projet'!$E$13+1,1))-AVERAGE(OFFSET($H$3,0,0,'Données projet'!$E$13+1,1))</f>
        <v>565.32667500225568</v>
      </c>
      <c r="CZ150" s="59">
        <f t="shared" si="150"/>
        <v>275.06957234480944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0</v>
      </c>
      <c r="DG150" s="21">
        <f>EXP(-LN(2)/25)*DG149+(1-EXP(-LN(2)/25))/(LN(2)/25)*Calculateur!DB150*Calculateur!DD150*VLOOKUP('Données projet'!$B$13,Paramètres!$A$1:$I$89,3,0)*0.475*44/12</f>
        <v>0.17091673305455085</v>
      </c>
      <c r="DH150" s="21">
        <f>EXP(-LN(2)/2)*DH149+(1-EXP(-LN(2)/2))/(LN(2)/2)*DB150*DE150*VLOOKUP('Données projet'!$B$13,Paramètres!$A$1:$I$89,3,0)*0.475*44/12</f>
        <v>1.7377803722815757E-17</v>
      </c>
      <c r="DI150" s="22">
        <f t="shared" si="123"/>
        <v>0.17091673305455088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69.465588881256792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-1.2505552149377763E-12</v>
      </c>
      <c r="DP150" s="17">
        <f>DO150*VLOOKUP('Données projet'!$B$14,Paramètres!$A$1:$I$89,3,0)*VLOOKUP('Données projet'!$B$14,Paramètres!$A$1:$I$89,5,0)</f>
        <v>-6.9906036515021697E-13</v>
      </c>
      <c r="DQ150" s="13" t="e">
        <f t="shared" si="151"/>
        <v>#NUM!</v>
      </c>
      <c r="DR150" s="20" t="e">
        <f t="shared" si="124"/>
        <v>#NUM!</v>
      </c>
      <c r="DS150" s="59" t="e">
        <f t="shared" si="125"/>
        <v>#NUM!</v>
      </c>
      <c r="DT150" s="59">
        <f ca="1">AVERAGE(OFFSET($DS$3,0,0,'Données projet'!$E$14+1,1))-AVERAGE(OFFSET($H$3,0,0,'Données projet'!$E$14+1,1))</f>
        <v>532.64469322244281</v>
      </c>
      <c r="DU150" s="59">
        <f t="shared" si="152"/>
        <v>525.88014011096413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1.1255391710793676</v>
      </c>
      <c r="EB150" s="21">
        <f>EXP(-LN(2)/25)*EB149+(1-EXP(-LN(2)/25))/(LN(2)/25)*Calculateur!DW150*Calculateur!DY150*VLOOKUP('Données projet'!$B$14,Paramètres!$A$1:$I$89,3,0)*0.475*44/12</f>
        <v>1.5120173653618558</v>
      </c>
      <c r="EC150" s="21">
        <f>EXP(-LN(2)/2)*EC149+(1-EXP(-LN(2)/2))/(LN(2)/2)*DW150*DZ150*VLOOKUP('Données projet'!$B$14,Paramètres!$A$1:$I$89,3,0)*0.475*44/12</f>
        <v>8.947537745386407E-17</v>
      </c>
      <c r="ED150" s="22">
        <f t="shared" si="126"/>
        <v>2.6375565364412235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69.465588881256792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-1.1368683772161603E-13</v>
      </c>
      <c r="EK150" s="17">
        <f>EJ150*VLOOKUP('Données projet'!$B$15,Paramètres!$A$1:$I$89,3,0)*VLOOKUP('Données projet'!$B$15,Paramètres!$A$1:$I$89,5,0)</f>
        <v>-1.0286385077051818E-13</v>
      </c>
      <c r="EL150" s="13" t="e">
        <f t="shared" si="153"/>
        <v>#NUM!</v>
      </c>
      <c r="EM150" s="20" t="e">
        <f t="shared" si="127"/>
        <v>#NUM!</v>
      </c>
      <c r="EN150" s="59" t="e">
        <f t="shared" si="128"/>
        <v>#NUM!</v>
      </c>
      <c r="EO150" s="59">
        <f ca="1">AVERAGE(OFFSET($EN$3,0,0,'Données projet'!$E$15+1,1))-AVERAGE(OFFSET($H$3,0,0,'Données projet'!$E$15+1,1))</f>
        <v>398.27843768730202</v>
      </c>
      <c r="EP150" s="59">
        <f t="shared" si="154"/>
        <v>252.3617347568813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0</v>
      </c>
      <c r="EW150" s="21">
        <f>EXP(-LN(2)/25)*EW149+(1-EXP(-LN(2)/25))/(LN(2)/25)*Calculateur!ER150*Calculateur!ET150*VLOOKUP('Données projet'!$B$15,Paramètres!$A$1:$I$89,3,0)*0.475*44/12</f>
        <v>0.12116367199121271</v>
      </c>
      <c r="EX150" s="21">
        <f>EXP(-LN(2)/2)*EX149+(1-EXP(-LN(2)/2))/(LN(2)/2)*ER150*EU150*VLOOKUP('Données projet'!$B$15,Paramètres!$A$1:$I$89,3,0)*0.475*44/12</f>
        <v>1.5184138110013558E-17</v>
      </c>
      <c r="EY150" s="22">
        <f t="shared" si="129"/>
        <v>0.12116367199121272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69.465588881256792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-1.1368683772161603E-13</v>
      </c>
      <c r="FF150" s="17">
        <f>FE150*VLOOKUP('Données projet'!$B$16,Paramètres!$A$1:$I$89,3,0)*VLOOKUP('Données projet'!$B$16,Paramètres!$A$1:$I$89,5,0)</f>
        <v>-1.0995790944434703E-13</v>
      </c>
      <c r="FG150" s="13" t="e">
        <f t="shared" si="155"/>
        <v>#NUM!</v>
      </c>
      <c r="FH150" s="20" t="e">
        <f t="shared" si="130"/>
        <v>#NUM!</v>
      </c>
      <c r="FI150" s="59" t="e">
        <f t="shared" si="131"/>
        <v>#NUM!</v>
      </c>
      <c r="FJ150" s="59">
        <f ca="1">AVERAGE(OFFSET($FI$3,0,0,'Données projet'!$E$16+1,1))-AVERAGE(OFFSET($H$3,0,0,'Données projet'!$E$16+1,1))</f>
        <v>422.28024471365825</v>
      </c>
      <c r="FK150" s="59">
        <f t="shared" si="156"/>
        <v>266.49730479813206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0</v>
      </c>
      <c r="FR150" s="21">
        <f>EXP(-LN(2)/25)*FR149+(1-EXP(-LN(2)/25))/(LN(2)/25)*Calculateur!FM150*Calculateur!FO150*VLOOKUP('Données projet'!$B$16,Paramètres!$A$1:$I$89,3,0)*0.475*44/12</f>
        <v>0.12951978730095137</v>
      </c>
      <c r="FS150" s="21">
        <f>EXP(-LN(2)/2)*FS149+(1-EXP(-LN(2)/2))/(LN(2)/2)*FM150*FP150*VLOOKUP('Données projet'!$B$16,Paramètres!$A$1:$I$89,3,0)*0.475*44/12</f>
        <v>1.6231320048635179E-17</v>
      </c>
      <c r="FT150" s="22">
        <f t="shared" si="132"/>
        <v>0.1295197873009514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69.465588881256792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3.4106051316484809E-13</v>
      </c>
      <c r="GA150" s="17">
        <f>FZ150*VLOOKUP('Données projet'!$B$17,Paramètres!$A$1:$I$89,3,0)*VLOOKUP('Données projet'!$B$17,Paramètres!$A$1:$I$89,5,0)</f>
        <v>2.6602720026858149E-13</v>
      </c>
      <c r="GB150" s="13">
        <f t="shared" si="157"/>
        <v>3.5662905043956649E-12</v>
      </c>
      <c r="GC150" s="20">
        <f t="shared" si="133"/>
        <v>6.6746200022902298E-12</v>
      </c>
      <c r="GD150" s="59">
        <f t="shared" si="134"/>
        <v>291.37382589794822</v>
      </c>
      <c r="GE150" s="59">
        <f ca="1">AVERAGE(OFFSET($GD$3,0,0,'Données projet'!$E$17+1,1))-AVERAGE(OFFSET($H$3,0,0,'Données projet'!$E$17+1,1))</f>
        <v>300.95722646933314</v>
      </c>
      <c r="GF150" s="59">
        <f t="shared" si="158"/>
        <v>269.52365224623759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>
        <f>EXP(-LN(2)/35)*GL149+(1-EXP(-LN(2)/35))/(LN(2)/35)*GH150*GI150*VLOOKUP('Données projet'!$B$17,Paramètres!$A$1:$I$89,3,0)*0.475*44/12</f>
        <v>8.7704350993197247E-2</v>
      </c>
      <c r="GM150" s="21">
        <f>EXP(-LN(2)/25)*GM149+(1-EXP(-LN(2)/25))/(LN(2)/25)*Calculateur!GH150*Calculateur!GJ150*VLOOKUP('Données projet'!$B$17,Paramètres!$A$1:$I$89,3,0)*0.475*44/12</f>
        <v>0.24339136478310777</v>
      </c>
      <c r="GN150" s="21">
        <f>EXP(-LN(2)/2)*GN149+(1-EXP(-LN(2)/2))/(LN(2)/2)*GH150*GK150*VLOOKUP('Données projet'!$B$17,Paramètres!$A$1:$I$89,3,0)*0.475*44/12</f>
        <v>2.1733424956035411E-17</v>
      </c>
      <c r="GO150" s="21">
        <f t="shared" si="135"/>
        <v>0.33109571577630503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69.465588881256792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1.4000000000000001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5.1333333333333337</v>
      </c>
      <c r="H151" s="67">
        <f t="shared" si="110"/>
        <v>236.13333333333335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69.474859719402716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-3.4106051316484809E-13</v>
      </c>
      <c r="O151" s="13">
        <f>N151*VLOOKUP('Données projet'!$B$9,Paramètres!$A$1:$I$89,3,0)*VLOOKUP('Données projet'!$B$9,Paramètres!$A$1:$I$89,5,0)</f>
        <v>-3.0859155231155454E-13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479.46542424895119</v>
      </c>
      <c r="T151" s="59">
        <f t="shared" si="142"/>
        <v>337.96395820277337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0.23273143999216392</v>
      </c>
      <c r="AA151" s="21">
        <f>EXP(-LN(2)/25)*AA150+(1-EXP(-LN(2)/25))/(LN(2)/25)*Calculateur!V151*Calculateur!X151*VLOOKUP('Données projet'!$B$9,Paramètres!$A$1:$I$89,3,0)*0.475*44/12</f>
        <v>0.42811063698303925</v>
      </c>
      <c r="AB151" s="21">
        <f>EXP(-LN(2)/2)*AB150+(1-EXP(-LN(2)/2))/(LN(2)/2)*V151*Y151*VLOOKUP('Données projet'!$B$9,Paramètres!$A$1:$I$89,3,0)*0.475*44/12</f>
        <v>3.7389079287677087E-17</v>
      </c>
      <c r="AC151" s="22">
        <f t="shared" si="111"/>
        <v>0.66084207697520314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69.474859719402716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-3.4106051316484809E-13</v>
      </c>
      <c r="AJ151" s="13">
        <f>AI151*VLOOKUP('Données projet'!$B$10,Paramètres!$A$1:$I$89,3,0)*VLOOKUP('Données projet'!$B$10,Paramètres!$A$1:$I$89,5,0)</f>
        <v>-3.2987372833304104E-13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508.94560627895089</v>
      </c>
      <c r="AO151" s="59">
        <f t="shared" si="144"/>
        <v>357.86868650263034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0.24878188412955468</v>
      </c>
      <c r="AV151" s="21">
        <f>EXP(-LN(2)/25)*AV150+(1-EXP(-LN(2)/25))/(LN(2)/25)*Calculateur!AQ151*Calculateur!AS151*VLOOKUP('Données projet'!$B$10,Paramètres!$A$1:$I$89,3,0)*0.475*44/12</f>
        <v>0.45763550849911083</v>
      </c>
      <c r="AW151" s="21">
        <f>EXP(-LN(2)/2)*AW150+(1-EXP(-LN(2)/2))/(LN(2)/2)*AQ151*AT151*VLOOKUP('Données projet'!$B$10,Paramètres!$A$1:$I$89,3,0)*0.475*44/12</f>
        <v>3.9967636479930495E-17</v>
      </c>
      <c r="AX151" s="21">
        <f t="shared" si="114"/>
        <v>0.70641739262866554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69.474859719402716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1.7053025658242404E-13</v>
      </c>
      <c r="BE151" s="13">
        <f>BD151*VLOOKUP('Données projet'!$B$11,Paramètres!$A$1:$I$89,3,0)*VLOOKUP('Données projet'!$B$11,Paramètres!$A$1:$I$89,5,0)</f>
        <v>1.3301360013429075E-13</v>
      </c>
      <c r="BF151" s="13">
        <f t="shared" si="145"/>
        <v>1.9329766731057041E-12</v>
      </c>
      <c r="BG151" s="20">
        <f t="shared" si="115"/>
        <v>3.5982663925596575E-12</v>
      </c>
      <c r="BH151" s="59">
        <f t="shared" si="116"/>
        <v>291.40781897114687</v>
      </c>
      <c r="BI151" s="59">
        <f ca="1">AVERAGE(OFFSET($BH$3,0,0,'Données projet'!$E$11+1,1))-AVERAGE(OFFSET($H$3,0,0,'Données projet'!$E$11+1,1))</f>
        <v>383.03154033422328</v>
      </c>
      <c r="BJ151" s="59">
        <f t="shared" si="146"/>
        <v>373.27897156169877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0.13972484851746297</v>
      </c>
      <c r="BQ151" s="21">
        <f>EXP(-LN(2)/25)*BQ150+(1-EXP(-LN(2)/25))/(LN(2)/25)*Calculateur!BL151*Calculateur!BN151*VLOOKUP('Données projet'!$B$11,Paramètres!$A$1:$I$89,3,0)*0.475*44/12</f>
        <v>0.31761526485961156</v>
      </c>
      <c r="BR151" s="21">
        <f>EXP(-LN(2)/2)*BR150+(1-EXP(-LN(2)/2))/(LN(2)/2)*BL151*BO151*VLOOKUP('Données projet'!$B$11,Paramètres!$A$1:$I$89,3,0)*0.475*44/12</f>
        <v>2.2674882105107727E-17</v>
      </c>
      <c r="BS151" s="22">
        <f t="shared" si="117"/>
        <v>0.45734011337707453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69.474859719402716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-3.4106051316484809E-13</v>
      </c>
      <c r="BZ151" s="13">
        <f>BY151*VLOOKUP('Données projet'!$B$12,Paramètres!$A$1:$I$89,3,0)*VLOOKUP('Données projet'!$B$12,Paramètres!$A$1:$I$89,5,0)</f>
        <v>-2.8730937629006804E-13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449.94334483948603</v>
      </c>
      <c r="CE151" s="59">
        <f t="shared" si="148"/>
        <v>318.02929110264176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0.2166809958547736</v>
      </c>
      <c r="CL151" s="21">
        <f>EXP(-LN(2)/25)*CL150+(1-EXP(-LN(2)/25))/(LN(2)/25)*Calculateur!CG151*Calculateur!CI151*VLOOKUP('Données projet'!$B$12,Paramètres!$A$1:$I$89,3,0)*0.475*44/12</f>
        <v>0.39858576546696767</v>
      </c>
      <c r="CM151" s="21">
        <f>EXP(-LN(2)/2)*CM150+(1-EXP(-LN(2)/2))/(LN(2)/2)*CG151*CJ151*VLOOKUP('Données projet'!$B$12,Paramètres!$A$1:$I$89,3,0)*0.475*44/12</f>
        <v>3.481052209542337E-17</v>
      </c>
      <c r="CN151" s="22">
        <f t="shared" si="120"/>
        <v>0.6152667613217413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69.474859719402716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4</v>
      </c>
      <c r="CT151" s="12">
        <f>IF('Données projet'!$A$140&gt;35,CT150+CS151-DB150,IF(A151&lt;'Données projet'!$A$140,$CQ$205^A151,IF(A151='Données projet'!$A$140,'Données projet'!$B$140,CT150+CS151-DB150)))</f>
        <v>459.00000000000011</v>
      </c>
      <c r="CU151" s="17">
        <f>CT151*VLOOKUP('Données projet'!$B$13,Paramètres!$A$1:$I$89,3,0)*VLOOKUP('Données projet'!$B$13,Paramètres!$A$1:$I$89,5,0)</f>
        <v>393.82200000000012</v>
      </c>
      <c r="CV151" s="13">
        <f t="shared" si="149"/>
        <v>90.523038141437951</v>
      </c>
      <c r="CW151" s="20">
        <f t="shared" si="121"/>
        <v>843.56760809633795</v>
      </c>
      <c r="CX151" s="59">
        <f t="shared" si="122"/>
        <v>1134.9754270674812</v>
      </c>
      <c r="CY151" s="59">
        <f ca="1">AVERAGE(OFFSET($CX$3,0,0,'Données projet'!$E$13+1,1))-AVERAGE(OFFSET($H$3,0,0,'Données projet'!$E$13+1,1))</f>
        <v>565.32667500225568</v>
      </c>
      <c r="CZ151" s="59">
        <f t="shared" si="150"/>
        <v>275.06957234480944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0</v>
      </c>
      <c r="DG151" s="21">
        <f>EXP(-LN(2)/25)*DG150+(1-EXP(-LN(2)/25))/(LN(2)/25)*Calculateur!DB151*Calculateur!DD151*VLOOKUP('Données projet'!$B$13,Paramètres!$A$1:$I$89,3,0)*0.475*44/12</f>
        <v>0.16624300600105379</v>
      </c>
      <c r="DH151" s="21">
        <f>EXP(-LN(2)/2)*DH150+(1-EXP(-LN(2)/2))/(LN(2)/2)*DB151*DE151*VLOOKUP('Données projet'!$B$13,Paramètres!$A$1:$I$89,3,0)*0.475*44/12</f>
        <v>1.2287962854531853E-17</v>
      </c>
      <c r="DI151" s="22">
        <f t="shared" si="123"/>
        <v>0.16624300600105379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69.474859719402716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-1.2505552149377763E-12</v>
      </c>
      <c r="DP151" s="17">
        <f>DO151*VLOOKUP('Données projet'!$B$14,Paramètres!$A$1:$I$89,3,0)*VLOOKUP('Données projet'!$B$14,Paramètres!$A$1:$I$89,5,0)</f>
        <v>-6.9906036515021697E-13</v>
      </c>
      <c r="DQ151" s="13" t="e">
        <f t="shared" si="151"/>
        <v>#NUM!</v>
      </c>
      <c r="DR151" s="20" t="e">
        <f t="shared" si="124"/>
        <v>#NUM!</v>
      </c>
      <c r="DS151" s="59" t="e">
        <f t="shared" si="125"/>
        <v>#NUM!</v>
      </c>
      <c r="DT151" s="59">
        <f ca="1">AVERAGE(OFFSET($DS$3,0,0,'Données projet'!$E$14+1,1))-AVERAGE(OFFSET($H$3,0,0,'Données projet'!$E$14+1,1))</f>
        <v>532.64469322244281</v>
      </c>
      <c r="DU151" s="59">
        <f t="shared" si="152"/>
        <v>525.88014011096413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1.1034680344456083</v>
      </c>
      <c r="EB151" s="21">
        <f>EXP(-LN(2)/25)*EB150+(1-EXP(-LN(2)/25))/(LN(2)/25)*Calculateur!DW151*Calculateur!DY151*VLOOKUP('Données projet'!$B$14,Paramètres!$A$1:$I$89,3,0)*0.475*44/12</f>
        <v>1.4706711709924984</v>
      </c>
      <c r="EC151" s="21">
        <f>EXP(-LN(2)/2)*EC150+(1-EXP(-LN(2)/2))/(LN(2)/2)*DW151*DZ151*VLOOKUP('Données projet'!$B$14,Paramètres!$A$1:$I$89,3,0)*0.475*44/12</f>
        <v>6.3268646146853208E-17</v>
      </c>
      <c r="ED151" s="22">
        <f t="shared" si="126"/>
        <v>2.5741392054381067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69.474859719402716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-1.1368683772161603E-13</v>
      </c>
      <c r="EK151" s="17">
        <f>EJ151*VLOOKUP('Données projet'!$B$15,Paramètres!$A$1:$I$89,3,0)*VLOOKUP('Données projet'!$B$15,Paramètres!$A$1:$I$89,5,0)</f>
        <v>-1.0286385077051818E-13</v>
      </c>
      <c r="EL151" s="13" t="e">
        <f t="shared" si="153"/>
        <v>#NUM!</v>
      </c>
      <c r="EM151" s="20" t="e">
        <f t="shared" si="127"/>
        <v>#NUM!</v>
      </c>
      <c r="EN151" s="59" t="e">
        <f t="shared" si="128"/>
        <v>#NUM!</v>
      </c>
      <c r="EO151" s="59">
        <f ca="1">AVERAGE(OFFSET($EN$3,0,0,'Données projet'!$E$15+1,1))-AVERAGE(OFFSET($H$3,0,0,'Données projet'!$E$15+1,1))</f>
        <v>398.27843768730202</v>
      </c>
      <c r="EP151" s="59">
        <f t="shared" si="154"/>
        <v>252.3617347568813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0</v>
      </c>
      <c r="EW151" s="21">
        <f>EXP(-LN(2)/25)*EW150+(1-EXP(-LN(2)/25))/(LN(2)/25)*Calculateur!ER151*Calculateur!ET151*VLOOKUP('Données projet'!$B$15,Paramètres!$A$1:$I$89,3,0)*0.475*44/12</f>
        <v>0.11785044500889241</v>
      </c>
      <c r="EX151" s="21">
        <f>EXP(-LN(2)/2)*EX150+(1-EXP(-LN(2)/2))/(LN(2)/2)*ER151*EU151*VLOOKUP('Données projet'!$B$15,Paramètres!$A$1:$I$89,3,0)*0.475*44/12</f>
        <v>1.0736807024063674E-17</v>
      </c>
      <c r="EY151" s="22">
        <f t="shared" si="129"/>
        <v>0.11785044500889243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69.474859719402716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-1.1368683772161603E-13</v>
      </c>
      <c r="FF151" s="17">
        <f>FE151*VLOOKUP('Données projet'!$B$16,Paramètres!$A$1:$I$89,3,0)*VLOOKUP('Données projet'!$B$16,Paramètres!$A$1:$I$89,5,0)</f>
        <v>-1.0995790944434703E-13</v>
      </c>
      <c r="FG151" s="13" t="e">
        <f t="shared" si="155"/>
        <v>#NUM!</v>
      </c>
      <c r="FH151" s="20" t="e">
        <f t="shared" si="130"/>
        <v>#NUM!</v>
      </c>
      <c r="FI151" s="59" t="e">
        <f t="shared" si="131"/>
        <v>#NUM!</v>
      </c>
      <c r="FJ151" s="59">
        <f ca="1">AVERAGE(OFFSET($FI$3,0,0,'Données projet'!$E$16+1,1))-AVERAGE(OFFSET($H$3,0,0,'Données projet'!$E$16+1,1))</f>
        <v>422.28024471365825</v>
      </c>
      <c r="FK151" s="59">
        <f t="shared" si="156"/>
        <v>266.49730479813206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0</v>
      </c>
      <c r="FR151" s="21">
        <f>EXP(-LN(2)/25)*FR150+(1-EXP(-LN(2)/25))/(LN(2)/25)*Calculateur!FM151*Calculateur!FO151*VLOOKUP('Données projet'!$B$16,Paramètres!$A$1:$I$89,3,0)*0.475*44/12</f>
        <v>0.12597806190605726</v>
      </c>
      <c r="FS151" s="21">
        <f>EXP(-LN(2)/2)*FS150+(1-EXP(-LN(2)/2))/(LN(2)/2)*FM151*FP151*VLOOKUP('Données projet'!$B$16,Paramètres!$A$1:$I$89,3,0)*0.475*44/12</f>
        <v>1.1477276473999098E-17</v>
      </c>
      <c r="FT151" s="22">
        <f t="shared" si="132"/>
        <v>0.12597806190605726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69.474859719402716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3.4106051316484809E-13</v>
      </c>
      <c r="GA151" s="17">
        <f>FZ151*VLOOKUP('Données projet'!$B$17,Paramètres!$A$1:$I$89,3,0)*VLOOKUP('Données projet'!$B$17,Paramètres!$A$1:$I$89,5,0)</f>
        <v>2.6602720026858149E-13</v>
      </c>
      <c r="GB151" s="13">
        <f t="shared" si="157"/>
        <v>3.5662905043956649E-12</v>
      </c>
      <c r="GC151" s="20">
        <f t="shared" si="133"/>
        <v>6.6746200022902298E-12</v>
      </c>
      <c r="GD151" s="59">
        <f t="shared" si="134"/>
        <v>291.40781897114994</v>
      </c>
      <c r="GE151" s="59">
        <f ca="1">AVERAGE(OFFSET($GD$3,0,0,'Données projet'!$E$17+1,1))-AVERAGE(OFFSET($H$3,0,0,'Données projet'!$E$17+1,1))</f>
        <v>300.95722646933314</v>
      </c>
      <c r="GF151" s="59">
        <f t="shared" si="158"/>
        <v>269.52365224623759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>
        <f>EXP(-LN(2)/35)*GL150+(1-EXP(-LN(2)/35))/(LN(2)/35)*GH151*GI151*VLOOKUP('Données projet'!$B$17,Paramètres!$A$1:$I$89,3,0)*0.475*44/12</f>
        <v>8.5984522164592625E-2</v>
      </c>
      <c r="GM151" s="21">
        <f>EXP(-LN(2)/25)*GM150+(1-EXP(-LN(2)/25))/(LN(2)/25)*Calculateur!GH151*Calculateur!GJ151*VLOOKUP('Données projet'!$B$17,Paramètres!$A$1:$I$89,3,0)*0.475*44/12</f>
        <v>0.23673581511371811</v>
      </c>
      <c r="GN151" s="21">
        <f>EXP(-LN(2)/2)*GN150+(1-EXP(-LN(2)/2))/(LN(2)/2)*GH151*GK151*VLOOKUP('Données projet'!$B$17,Paramètres!$A$1:$I$89,3,0)*0.475*44/12</f>
        <v>1.5367852164821582E-17</v>
      </c>
      <c r="GO151" s="21">
        <f t="shared" si="135"/>
        <v>0.32272033727831073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69.474859719402716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1.4000000000000001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5.1333333333333337</v>
      </c>
      <c r="H152" s="67">
        <f t="shared" si="110"/>
        <v>236.13333333333335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69.483969729233294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-3.4106051316484809E-13</v>
      </c>
      <c r="O152" s="13">
        <f>N152*VLOOKUP('Données projet'!$B$9,Paramètres!$A$1:$I$89,3,0)*VLOOKUP('Données projet'!$B$9,Paramètres!$A$1:$I$89,5,0)</f>
        <v>-3.0859155231155454E-13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479.46542424895119</v>
      </c>
      <c r="T152" s="59">
        <f t="shared" si="142"/>
        <v>337.96395820277337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0.22816771840607936</v>
      </c>
      <c r="AA152" s="21">
        <f>EXP(-LN(2)/25)*AA151+(1-EXP(-LN(2)/25))/(LN(2)/25)*Calculateur!V152*Calculateur!X152*VLOOKUP('Données projet'!$B$9,Paramètres!$A$1:$I$89,3,0)*0.475*44/12</f>
        <v>0.41640392910137808</v>
      </c>
      <c r="AB152" s="21">
        <f>EXP(-LN(2)/2)*AB151+(1-EXP(-LN(2)/2))/(LN(2)/2)*V152*Y152*VLOOKUP('Données projet'!$B$9,Paramètres!$A$1:$I$89,3,0)*0.475*44/12</f>
        <v>2.6438071506637958E-17</v>
      </c>
      <c r="AC152" s="22">
        <f t="shared" si="111"/>
        <v>0.64457164750745743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69.483969729233294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-3.4106051316484809E-13</v>
      </c>
      <c r="AJ152" s="13">
        <f>AI152*VLOOKUP('Données projet'!$B$10,Paramètres!$A$1:$I$89,3,0)*VLOOKUP('Données projet'!$B$10,Paramètres!$A$1:$I$89,5,0)</f>
        <v>-3.2987372833304104E-13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508.94560627895089</v>
      </c>
      <c r="AO152" s="59">
        <f t="shared" si="144"/>
        <v>357.86868650263034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0.24390342312374017</v>
      </c>
      <c r="AV152" s="21">
        <f>EXP(-LN(2)/25)*AV151+(1-EXP(-LN(2)/25))/(LN(2)/25)*Calculateur!AQ152*Calculateur!AS152*VLOOKUP('Données projet'!$B$10,Paramètres!$A$1:$I$89,3,0)*0.475*44/12</f>
        <v>0.44512144145319721</v>
      </c>
      <c r="AW152" s="21">
        <f>EXP(-LN(2)/2)*AW151+(1-EXP(-LN(2)/2))/(LN(2)/2)*AQ152*AT152*VLOOKUP('Données projet'!$B$10,Paramètres!$A$1:$I$89,3,0)*0.475*44/12</f>
        <v>2.8261386782957687E-17</v>
      </c>
      <c r="AX152" s="21">
        <f t="shared" si="114"/>
        <v>0.68902486457693735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69.483969729233294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1.7053025658242404E-13</v>
      </c>
      <c r="BE152" s="13">
        <f>BD152*VLOOKUP('Données projet'!$B$11,Paramètres!$A$1:$I$89,3,0)*VLOOKUP('Données projet'!$B$11,Paramètres!$A$1:$I$89,5,0)</f>
        <v>1.3301360013429075E-13</v>
      </c>
      <c r="BF152" s="13">
        <f t="shared" si="145"/>
        <v>1.9329766731057041E-12</v>
      </c>
      <c r="BG152" s="20">
        <f t="shared" si="115"/>
        <v>3.5982663925596575E-12</v>
      </c>
      <c r="BH152" s="59">
        <f t="shared" si="116"/>
        <v>291.44122234052566</v>
      </c>
      <c r="BI152" s="59">
        <f ca="1">AVERAGE(OFFSET($BH$3,0,0,'Données projet'!$E$11+1,1))-AVERAGE(OFFSET($H$3,0,0,'Données projet'!$E$11+1,1))</f>
        <v>383.03154033422328</v>
      </c>
      <c r="BJ152" s="59">
        <f t="shared" si="146"/>
        <v>373.27897156169877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0.13698492946177798</v>
      </c>
      <c r="BQ152" s="21">
        <f>EXP(-LN(2)/25)*BQ151+(1-EXP(-LN(2)/25))/(LN(2)/25)*Calculateur!BL152*Calculateur!BN152*VLOOKUP('Données projet'!$B$11,Paramètres!$A$1:$I$89,3,0)*0.475*44/12</f>
        <v>0.30893005873936463</v>
      </c>
      <c r="BR152" s="21">
        <f>EXP(-LN(2)/2)*BR151+(1-EXP(-LN(2)/2))/(LN(2)/2)*BL152*BO152*VLOOKUP('Données projet'!$B$11,Paramètres!$A$1:$I$89,3,0)*0.475*44/12</f>
        <v>1.6033562899127172E-17</v>
      </c>
      <c r="BS152" s="22">
        <f t="shared" si="117"/>
        <v>0.44591498820114261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69.483969729233294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-3.4106051316484809E-13</v>
      </c>
      <c r="BZ152" s="13">
        <f>BY152*VLOOKUP('Données projet'!$B$12,Paramètres!$A$1:$I$89,3,0)*VLOOKUP('Données projet'!$B$12,Paramètres!$A$1:$I$89,5,0)</f>
        <v>-2.8730937629006804E-13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449.94334483948603</v>
      </c>
      <c r="CE152" s="59">
        <f t="shared" si="148"/>
        <v>318.02929110264176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0.21243201368841902</v>
      </c>
      <c r="CL152" s="21">
        <f>EXP(-LN(2)/25)*CL151+(1-EXP(-LN(2)/25))/(LN(2)/25)*Calculateur!CG152*Calculateur!CI152*VLOOKUP('Données projet'!$B$12,Paramètres!$A$1:$I$89,3,0)*0.475*44/12</f>
        <v>0.387686416749559</v>
      </c>
      <c r="CM152" s="21">
        <f>EXP(-LN(2)/2)*CM151+(1-EXP(-LN(2)/2))/(LN(2)/2)*CG152*CJ152*VLOOKUP('Données projet'!$B$12,Paramètres!$A$1:$I$89,3,0)*0.475*44/12</f>
        <v>2.4614756230318011E-17</v>
      </c>
      <c r="CN152" s="22">
        <f t="shared" si="120"/>
        <v>0.60011843043797808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69.483969729233294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4</v>
      </c>
      <c r="CT152" s="12">
        <f>IF('Données projet'!$A$140&gt;35,CT151+CS152-DB151,IF(A152&lt;'Données projet'!$A$140,$CQ$205^A152,IF(A152='Données projet'!$A$140,'Données projet'!$B$140,CT151+CS152-DB151)))</f>
        <v>463.00000000000011</v>
      </c>
      <c r="CU152" s="17">
        <f>CT152*VLOOKUP('Données projet'!$B$13,Paramètres!$A$1:$I$89,3,0)*VLOOKUP('Données projet'!$B$13,Paramètres!$A$1:$I$89,5,0)</f>
        <v>397.25400000000013</v>
      </c>
      <c r="CV152" s="13">
        <f t="shared" si="149"/>
        <v>91.219732863167494</v>
      </c>
      <c r="CW152" s="20">
        <f t="shared" si="121"/>
        <v>850.75841807001689</v>
      </c>
      <c r="CX152" s="59">
        <f t="shared" si="122"/>
        <v>1142.1996404105389</v>
      </c>
      <c r="CY152" s="59">
        <f ca="1">AVERAGE(OFFSET($CX$3,0,0,'Données projet'!$E$13+1,1))-AVERAGE(OFFSET($H$3,0,0,'Données projet'!$E$13+1,1))</f>
        <v>565.32667500225568</v>
      </c>
      <c r="CZ152" s="59">
        <f t="shared" si="150"/>
        <v>275.06957234480944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0</v>
      </c>
      <c r="DG152" s="21">
        <f>EXP(-LN(2)/25)*DG151+(1-EXP(-LN(2)/25))/(LN(2)/25)*Calculateur!DB152*Calculateur!DD152*VLOOKUP('Données projet'!$B$13,Paramètres!$A$1:$I$89,3,0)*0.475*44/12</f>
        <v>0.16169708225961524</v>
      </c>
      <c r="DH152" s="21">
        <f>EXP(-LN(2)/2)*DH151+(1-EXP(-LN(2)/2))/(LN(2)/2)*DB152*DE152*VLOOKUP('Données projet'!$B$13,Paramètres!$A$1:$I$89,3,0)*0.475*44/12</f>
        <v>8.6889018614078785E-18</v>
      </c>
      <c r="DI152" s="22">
        <f t="shared" si="123"/>
        <v>0.16169708225961524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69.483969729233294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-1.2505552149377763E-12</v>
      </c>
      <c r="DP152" s="17">
        <f>DO152*VLOOKUP('Données projet'!$B$14,Paramètres!$A$1:$I$89,3,0)*VLOOKUP('Données projet'!$B$14,Paramètres!$A$1:$I$89,5,0)</f>
        <v>-6.9906036515021697E-13</v>
      </c>
      <c r="DQ152" s="13" t="e">
        <f t="shared" si="151"/>
        <v>#NUM!</v>
      </c>
      <c r="DR152" s="20" t="e">
        <f t="shared" si="124"/>
        <v>#NUM!</v>
      </c>
      <c r="DS152" s="59" t="e">
        <f t="shared" si="125"/>
        <v>#NUM!</v>
      </c>
      <c r="DT152" s="59">
        <f ca="1">AVERAGE(OFFSET($DS$3,0,0,'Données projet'!$E$14+1,1))-AVERAGE(OFFSET($H$3,0,0,'Données projet'!$E$14+1,1))</f>
        <v>532.64469322244281</v>
      </c>
      <c r="DU152" s="59">
        <f t="shared" si="152"/>
        <v>525.88014011096413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1.0818296993391727</v>
      </c>
      <c r="EB152" s="21">
        <f>EXP(-LN(2)/25)*EB151+(1-EXP(-LN(2)/25))/(LN(2)/25)*Calculateur!DW152*Calculateur!DY152*VLOOKUP('Données projet'!$B$14,Paramètres!$A$1:$I$89,3,0)*0.475*44/12</f>
        <v>1.4304555904824729</v>
      </c>
      <c r="EC152" s="21">
        <f>EXP(-LN(2)/2)*EC151+(1-EXP(-LN(2)/2))/(LN(2)/2)*DW152*DZ152*VLOOKUP('Données projet'!$B$14,Paramètres!$A$1:$I$89,3,0)*0.475*44/12</f>
        <v>4.4737688726932035E-17</v>
      </c>
      <c r="ED152" s="22">
        <f t="shared" si="126"/>
        <v>2.5122852898216457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69.483969729233294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-1.1368683772161603E-13</v>
      </c>
      <c r="EK152" s="17">
        <f>EJ152*VLOOKUP('Données projet'!$B$15,Paramètres!$A$1:$I$89,3,0)*VLOOKUP('Données projet'!$B$15,Paramètres!$A$1:$I$89,5,0)</f>
        <v>-1.0286385077051818E-13</v>
      </c>
      <c r="EL152" s="13" t="e">
        <f t="shared" si="153"/>
        <v>#NUM!</v>
      </c>
      <c r="EM152" s="20" t="e">
        <f t="shared" si="127"/>
        <v>#NUM!</v>
      </c>
      <c r="EN152" s="59" t="e">
        <f t="shared" si="128"/>
        <v>#NUM!</v>
      </c>
      <c r="EO152" s="59">
        <f ca="1">AVERAGE(OFFSET($EN$3,0,0,'Données projet'!$E$15+1,1))-AVERAGE(OFFSET($H$3,0,0,'Données projet'!$E$15+1,1))</f>
        <v>398.27843768730202</v>
      </c>
      <c r="EP152" s="59">
        <f t="shared" si="154"/>
        <v>252.3617347568813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0</v>
      </c>
      <c r="EW152" s="21">
        <f>EXP(-LN(2)/25)*EW151+(1-EXP(-LN(2)/25))/(LN(2)/25)*Calculateur!ER152*Calculateur!ET152*VLOOKUP('Données projet'!$B$15,Paramètres!$A$1:$I$89,3,0)*0.475*44/12</f>
        <v>0.11462781839263869</v>
      </c>
      <c r="EX152" s="21">
        <f>EXP(-LN(2)/2)*EX151+(1-EXP(-LN(2)/2))/(LN(2)/2)*ER152*EU152*VLOOKUP('Données projet'!$B$15,Paramètres!$A$1:$I$89,3,0)*0.475*44/12</f>
        <v>7.592069055006779E-18</v>
      </c>
      <c r="EY152" s="22">
        <f t="shared" si="129"/>
        <v>0.11462781839263871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69.483969729233294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-1.1368683772161603E-13</v>
      </c>
      <c r="FF152" s="17">
        <f>FE152*VLOOKUP('Données projet'!$B$16,Paramètres!$A$1:$I$89,3,0)*VLOOKUP('Données projet'!$B$16,Paramètres!$A$1:$I$89,5,0)</f>
        <v>-1.0995790944434703E-13</v>
      </c>
      <c r="FG152" s="13" t="e">
        <f t="shared" si="155"/>
        <v>#NUM!</v>
      </c>
      <c r="FH152" s="20" t="e">
        <f t="shared" si="130"/>
        <v>#NUM!</v>
      </c>
      <c r="FI152" s="59" t="e">
        <f t="shared" si="131"/>
        <v>#NUM!</v>
      </c>
      <c r="FJ152" s="59">
        <f ca="1">AVERAGE(OFFSET($FI$3,0,0,'Données projet'!$E$16+1,1))-AVERAGE(OFFSET($H$3,0,0,'Données projet'!$E$16+1,1))</f>
        <v>422.28024471365825</v>
      </c>
      <c r="FK152" s="59">
        <f t="shared" si="156"/>
        <v>266.49730479813206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0</v>
      </c>
      <c r="FR152" s="21">
        <f>EXP(-LN(2)/25)*FR151+(1-EXP(-LN(2)/25))/(LN(2)/25)*Calculateur!FM152*Calculateur!FO152*VLOOKUP('Données projet'!$B$16,Paramètres!$A$1:$I$89,3,0)*0.475*44/12</f>
        <v>0.12253318517833778</v>
      </c>
      <c r="FS152" s="21">
        <f>EXP(-LN(2)/2)*FS151+(1-EXP(-LN(2)/2))/(LN(2)/2)*FM152*FP152*VLOOKUP('Données projet'!$B$16,Paramètres!$A$1:$I$89,3,0)*0.475*44/12</f>
        <v>8.1156600243175897E-18</v>
      </c>
      <c r="FT152" s="22">
        <f t="shared" si="132"/>
        <v>0.12253318517833779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69.483969729233294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3.4106051316484809E-13</v>
      </c>
      <c r="GA152" s="17">
        <f>FZ152*VLOOKUP('Données projet'!$B$17,Paramètres!$A$1:$I$89,3,0)*VLOOKUP('Données projet'!$B$17,Paramètres!$A$1:$I$89,5,0)</f>
        <v>2.6602720026858149E-13</v>
      </c>
      <c r="GB152" s="13">
        <f t="shared" si="157"/>
        <v>3.5662905043956649E-12</v>
      </c>
      <c r="GC152" s="20">
        <f t="shared" si="133"/>
        <v>6.6746200022902298E-12</v>
      </c>
      <c r="GD152" s="59">
        <f t="shared" si="134"/>
        <v>291.44122234052872</v>
      </c>
      <c r="GE152" s="59">
        <f ca="1">AVERAGE(OFFSET($GD$3,0,0,'Données projet'!$E$17+1,1))-AVERAGE(OFFSET($H$3,0,0,'Données projet'!$E$17+1,1))</f>
        <v>300.95722646933314</v>
      </c>
      <c r="GF152" s="59">
        <f t="shared" si="158"/>
        <v>269.52365224623759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>
        <f>EXP(-LN(2)/35)*GL151+(1-EXP(-LN(2)/35))/(LN(2)/35)*GH152*GI152*VLOOKUP('Données projet'!$B$17,Paramètres!$A$1:$I$89,3,0)*0.475*44/12</f>
        <v>8.4298418130324931E-2</v>
      </c>
      <c r="GM152" s="21">
        <f>EXP(-LN(2)/25)*GM151+(1-EXP(-LN(2)/25))/(LN(2)/25)*Calculateur!GH152*Calculateur!GJ152*VLOOKUP('Données projet'!$B$17,Paramètres!$A$1:$I$89,3,0)*0.475*44/12</f>
        <v>0.23026226180003803</v>
      </c>
      <c r="GN152" s="21">
        <f>EXP(-LN(2)/2)*GN151+(1-EXP(-LN(2)/2))/(LN(2)/2)*GH152*GK152*VLOOKUP('Données projet'!$B$17,Paramètres!$A$1:$I$89,3,0)*0.475*44/12</f>
        <v>1.0866712478017705E-17</v>
      </c>
      <c r="GO152" s="21">
        <f t="shared" si="135"/>
        <v>0.31456067993036296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69.483969729233294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1.4000000000000001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5.1333333333333337</v>
      </c>
      <c r="H153" s="67">
        <f t="shared" si="110"/>
        <v>236.13333333333335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69.492921700760235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-3.4106051316484809E-13</v>
      </c>
      <c r="O153" s="13">
        <f>N153*VLOOKUP('Données projet'!$B$9,Paramètres!$A$1:$I$89,3,0)*VLOOKUP('Données projet'!$B$9,Paramètres!$A$1:$I$89,5,0)</f>
        <v>-3.0859155231155454E-13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479.46542424895119</v>
      </c>
      <c r="T153" s="59">
        <f t="shared" si="142"/>
        <v>337.96395820277337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0.2236934886167026</v>
      </c>
      <c r="AA153" s="21">
        <f>EXP(-LN(2)/25)*AA152+(1-EXP(-LN(2)/25))/(LN(2)/25)*Calculateur!V153*Calculateur!X153*VLOOKUP('Données projet'!$B$9,Paramètres!$A$1:$I$89,3,0)*0.475*44/12</f>
        <v>0.40501734176236998</v>
      </c>
      <c r="AB153" s="21">
        <f>EXP(-LN(2)/2)*AB152+(1-EXP(-LN(2)/2))/(LN(2)/2)*V153*Y153*VLOOKUP('Données projet'!$B$9,Paramètres!$A$1:$I$89,3,0)*0.475*44/12</f>
        <v>1.8694539643838543E-17</v>
      </c>
      <c r="AC153" s="22">
        <f t="shared" si="111"/>
        <v>0.6287108303790726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69.492921700760235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-3.4106051316484809E-13</v>
      </c>
      <c r="AJ153" s="13">
        <f>AI153*VLOOKUP('Données projet'!$B$10,Paramètres!$A$1:$I$89,3,0)*VLOOKUP('Données projet'!$B$10,Paramètres!$A$1:$I$89,5,0)</f>
        <v>-3.2987372833304104E-13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508.94560627895089</v>
      </c>
      <c r="AO153" s="59">
        <f t="shared" si="144"/>
        <v>357.86868650263034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0.23912062576268225</v>
      </c>
      <c r="AV153" s="21">
        <f>EXP(-LN(2)/25)*AV152+(1-EXP(-LN(2)/25))/(LN(2)/25)*Calculateur!AQ153*Calculateur!AS153*VLOOKUP('Données projet'!$B$10,Paramètres!$A$1:$I$89,3,0)*0.475*44/12</f>
        <v>0.43294957222874025</v>
      </c>
      <c r="AW153" s="21">
        <f>EXP(-LN(2)/2)*AW152+(1-EXP(-LN(2)/2))/(LN(2)/2)*AQ153*AT153*VLOOKUP('Données projet'!$B$10,Paramètres!$A$1:$I$89,3,0)*0.475*44/12</f>
        <v>1.9983818239965248E-17</v>
      </c>
      <c r="AX153" s="21">
        <f t="shared" si="114"/>
        <v>0.67207019799142254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69.492921700760235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1.7053025658242404E-13</v>
      </c>
      <c r="BE153" s="13">
        <f>BD153*VLOOKUP('Données projet'!$B$11,Paramètres!$A$1:$I$89,3,0)*VLOOKUP('Données projet'!$B$11,Paramètres!$A$1:$I$89,5,0)</f>
        <v>1.3301360013429075E-13</v>
      </c>
      <c r="BF153" s="13">
        <f t="shared" si="145"/>
        <v>1.9329766731057041E-12</v>
      </c>
      <c r="BG153" s="20">
        <f t="shared" si="115"/>
        <v>3.5982663925596575E-12</v>
      </c>
      <c r="BH153" s="59">
        <f t="shared" si="116"/>
        <v>291.47404623612442</v>
      </c>
      <c r="BI153" s="59">
        <f ca="1">AVERAGE(OFFSET($BH$3,0,0,'Données projet'!$E$11+1,1))-AVERAGE(OFFSET($H$3,0,0,'Données projet'!$E$11+1,1))</f>
        <v>383.03154033422328</v>
      </c>
      <c r="BJ153" s="59">
        <f t="shared" si="146"/>
        <v>373.27897156169877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0.13429873854758936</v>
      </c>
      <c r="BQ153" s="21">
        <f>EXP(-LN(2)/25)*BQ152+(1-EXP(-LN(2)/25))/(LN(2)/25)*Calculateur!BL153*Calculateur!BN153*VLOOKUP('Données projet'!$B$11,Paramètres!$A$1:$I$89,3,0)*0.475*44/12</f>
        <v>0.30048235003721097</v>
      </c>
      <c r="BR153" s="21">
        <f>EXP(-LN(2)/2)*BR152+(1-EXP(-LN(2)/2))/(LN(2)/2)*BL153*BO153*VLOOKUP('Données projet'!$B$11,Paramètres!$A$1:$I$89,3,0)*0.475*44/12</f>
        <v>1.1337441052553864E-17</v>
      </c>
      <c r="BS153" s="22">
        <f t="shared" si="117"/>
        <v>0.43478108858480036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69.492921700760235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-3.4106051316484809E-13</v>
      </c>
      <c r="BZ153" s="13">
        <f>BY153*VLOOKUP('Données projet'!$B$12,Paramètres!$A$1:$I$89,3,0)*VLOOKUP('Données projet'!$B$12,Paramètres!$A$1:$I$89,5,0)</f>
        <v>-2.8730937629006804E-13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449.94334483948603</v>
      </c>
      <c r="CE153" s="59">
        <f t="shared" si="148"/>
        <v>318.02929110264176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0.20826635147072342</v>
      </c>
      <c r="CL153" s="21">
        <f>EXP(-LN(2)/25)*CL152+(1-EXP(-LN(2)/25))/(LN(2)/25)*Calculateur!CG153*Calculateur!CI153*VLOOKUP('Données projet'!$B$12,Paramètres!$A$1:$I$89,3,0)*0.475*44/12</f>
        <v>0.37708511129599975</v>
      </c>
      <c r="CM153" s="21">
        <f>EXP(-LN(2)/2)*CM152+(1-EXP(-LN(2)/2))/(LN(2)/2)*CG153*CJ153*VLOOKUP('Données projet'!$B$12,Paramètres!$A$1:$I$89,3,0)*0.475*44/12</f>
        <v>1.7405261047711685E-17</v>
      </c>
      <c r="CN153" s="22">
        <f t="shared" si="120"/>
        <v>0.58535146276672312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69.492921700760235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>
        <f>VLOOKUP(A153,'Données projet'!$A$139:$I$159,2,0)</f>
        <v>467</v>
      </c>
      <c r="CR153" s="12">
        <f>VLOOKUP(A153,'Données projet'!$A$139:$I$159,9,0)</f>
        <v>4</v>
      </c>
      <c r="CS153" s="12">
        <f t="array" ref="CS153">INDEX(CR:CR,MIN(IF(ISNUMBER(CR153:CR349),ROW(CR153:CR349),"")))</f>
        <v>4</v>
      </c>
      <c r="CT153" s="12">
        <f>IF('Données projet'!$A$140&gt;35,CT152+CS153-DB152,IF(A153&lt;'Données projet'!$A$140,$CQ$205^A153,IF(A153='Données projet'!$A$140,'Données projet'!$B$140,CT152+CS153-DB152)))</f>
        <v>467.00000000000011</v>
      </c>
      <c r="CU153" s="17">
        <f>CT153*VLOOKUP('Données projet'!$B$13,Paramètres!$A$1:$I$89,3,0)*VLOOKUP('Données projet'!$B$13,Paramètres!$A$1:$I$89,5,0)</f>
        <v>400.68600000000015</v>
      </c>
      <c r="CV153" s="13">
        <f t="shared" si="149"/>
        <v>91.915727320789969</v>
      </c>
      <c r="CW153" s="20">
        <f t="shared" si="121"/>
        <v>857.94800841704284</v>
      </c>
      <c r="CX153" s="59">
        <f t="shared" si="122"/>
        <v>1149.4220546531637</v>
      </c>
      <c r="CY153" s="59">
        <f ca="1">AVERAGE(OFFSET($CX$3,0,0,'Données projet'!$E$13+1,1))-AVERAGE(OFFSET($H$3,0,0,'Données projet'!$E$13+1,1))</f>
        <v>565.32667500225568</v>
      </c>
      <c r="CZ153" s="59">
        <f t="shared" si="150"/>
        <v>275.06957234480944</v>
      </c>
      <c r="DA153" s="15">
        <f>IF(ISNA(VLOOKUP(A153,'Données projet'!$A$139:$I$159,3,0)),0,VLOOKUP(A153,'Données projet'!$A$139:$I$159,3,0))</f>
        <v>13</v>
      </c>
      <c r="DB153" s="15">
        <f>IF(ISNA(VLOOKUP(A153,'Données projet'!$A$139:$I$159,4,0)),0,VLOOKUP(A153,'Données projet'!$A$139:$I$159,4,0))</f>
        <v>467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0</v>
      </c>
      <c r="DG153" s="21">
        <f>EXP(-LN(2)/25)*DG152+(1-EXP(-LN(2)/25))/(LN(2)/25)*Calculateur!DB153*Calculateur!DD153*VLOOKUP('Données projet'!$B$13,Paramètres!$A$1:$I$89,3,0)*0.475*44/12</f>
        <v>0.15727546704194606</v>
      </c>
      <c r="DH153" s="21">
        <f>EXP(-LN(2)/2)*DH152+(1-EXP(-LN(2)/2))/(LN(2)/2)*DB153*DE153*VLOOKUP('Données projet'!$B$13,Paramètres!$A$1:$I$89,3,0)*0.475*44/12</f>
        <v>6.1439814272659264E-18</v>
      </c>
      <c r="DI153" s="22">
        <f t="shared" si="123"/>
        <v>0.15727546704194606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69.492921700760235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-1.2505552149377763E-12</v>
      </c>
      <c r="DP153" s="17">
        <f>DO153*VLOOKUP('Données projet'!$B$14,Paramètres!$A$1:$I$89,3,0)*VLOOKUP('Données projet'!$B$14,Paramètres!$A$1:$I$89,5,0)</f>
        <v>-6.9906036515021697E-13</v>
      </c>
      <c r="DQ153" s="13" t="e">
        <f t="shared" si="151"/>
        <v>#NUM!</v>
      </c>
      <c r="DR153" s="20" t="e">
        <f t="shared" si="124"/>
        <v>#NUM!</v>
      </c>
      <c r="DS153" s="59" t="e">
        <f t="shared" si="125"/>
        <v>#NUM!</v>
      </c>
      <c r="DT153" s="59">
        <f ca="1">AVERAGE(OFFSET($DS$3,0,0,'Données projet'!$E$14+1,1))-AVERAGE(OFFSET($H$3,0,0,'Données projet'!$E$14+1,1))</f>
        <v>532.64469322244281</v>
      </c>
      <c r="DU153" s="59">
        <f t="shared" si="152"/>
        <v>525.88014011096413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1.0606156787860932</v>
      </c>
      <c r="EB153" s="21">
        <f>EXP(-LN(2)/25)*EB152+(1-EXP(-LN(2)/25))/(LN(2)/25)*Calculateur!DW153*Calculateur!DY153*VLOOKUP('Données projet'!$B$14,Paramètres!$A$1:$I$89,3,0)*0.475*44/12</f>
        <v>1.3913397071363396</v>
      </c>
      <c r="EC153" s="21">
        <f>EXP(-LN(2)/2)*EC152+(1-EXP(-LN(2)/2))/(LN(2)/2)*DW153*DZ153*VLOOKUP('Données projet'!$B$14,Paramètres!$A$1:$I$89,3,0)*0.475*44/12</f>
        <v>3.1634323073426604E-17</v>
      </c>
      <c r="ED153" s="22">
        <f t="shared" si="126"/>
        <v>2.4519553859224326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69.492921700760235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-1.1368683772161603E-13</v>
      </c>
      <c r="EK153" s="17">
        <f>EJ153*VLOOKUP('Données projet'!$B$15,Paramètres!$A$1:$I$89,3,0)*VLOOKUP('Données projet'!$B$15,Paramètres!$A$1:$I$89,5,0)</f>
        <v>-1.0286385077051818E-13</v>
      </c>
      <c r="EL153" s="13" t="e">
        <f t="shared" si="153"/>
        <v>#NUM!</v>
      </c>
      <c r="EM153" s="20" t="e">
        <f t="shared" si="127"/>
        <v>#NUM!</v>
      </c>
      <c r="EN153" s="59" t="e">
        <f t="shared" si="128"/>
        <v>#NUM!</v>
      </c>
      <c r="EO153" s="59">
        <f ca="1">AVERAGE(OFFSET($EN$3,0,0,'Données projet'!$E$15+1,1))-AVERAGE(OFFSET($H$3,0,0,'Données projet'!$E$15+1,1))</f>
        <v>398.27843768730202</v>
      </c>
      <c r="EP153" s="59">
        <f t="shared" si="154"/>
        <v>252.3617347568813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0</v>
      </c>
      <c r="EW153" s="21">
        <f>EXP(-LN(2)/25)*EW152+(1-EXP(-LN(2)/25))/(LN(2)/25)*Calculateur!ER153*Calculateur!ET153*VLOOKUP('Données projet'!$B$15,Paramètres!$A$1:$I$89,3,0)*0.475*44/12</f>
        <v>0.111493314670677</v>
      </c>
      <c r="EX153" s="21">
        <f>EXP(-LN(2)/2)*EX152+(1-EXP(-LN(2)/2))/(LN(2)/2)*ER153*EU153*VLOOKUP('Données projet'!$B$15,Paramètres!$A$1:$I$89,3,0)*0.475*44/12</f>
        <v>5.3684035120318372E-18</v>
      </c>
      <c r="EY153" s="22">
        <f t="shared" si="129"/>
        <v>0.111493314670677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69.492921700760235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-1.1368683772161603E-13</v>
      </c>
      <c r="FF153" s="17">
        <f>FE153*VLOOKUP('Données projet'!$B$16,Paramètres!$A$1:$I$89,3,0)*VLOOKUP('Données projet'!$B$16,Paramètres!$A$1:$I$89,5,0)</f>
        <v>-1.0995790944434703E-13</v>
      </c>
      <c r="FG153" s="13" t="e">
        <f t="shared" si="155"/>
        <v>#NUM!</v>
      </c>
      <c r="FH153" s="20" t="e">
        <f t="shared" si="130"/>
        <v>#NUM!</v>
      </c>
      <c r="FI153" s="59" t="e">
        <f t="shared" si="131"/>
        <v>#NUM!</v>
      </c>
      <c r="FJ153" s="59">
        <f ca="1">AVERAGE(OFFSET($FI$3,0,0,'Données projet'!$E$16+1,1))-AVERAGE(OFFSET($H$3,0,0,'Données projet'!$E$16+1,1))</f>
        <v>422.28024471365825</v>
      </c>
      <c r="FK153" s="59">
        <f t="shared" si="156"/>
        <v>266.49730479813206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0</v>
      </c>
      <c r="FR153" s="21">
        <f>EXP(-LN(2)/25)*FR152+(1-EXP(-LN(2)/25))/(LN(2)/25)*Calculateur!FM153*Calculateur!FO153*VLOOKUP('Données projet'!$B$16,Paramètres!$A$1:$I$89,3,0)*0.475*44/12</f>
        <v>0.11918250878589598</v>
      </c>
      <c r="FS153" s="21">
        <f>EXP(-LN(2)/2)*FS152+(1-EXP(-LN(2)/2))/(LN(2)/2)*FM153*FP153*VLOOKUP('Données projet'!$B$16,Paramètres!$A$1:$I$89,3,0)*0.475*44/12</f>
        <v>5.738638236999549E-18</v>
      </c>
      <c r="FT153" s="22">
        <f t="shared" si="132"/>
        <v>0.11918250878589598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69.492921700760235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3.4106051316484809E-13</v>
      </c>
      <c r="GA153" s="17">
        <f>FZ153*VLOOKUP('Données projet'!$B$17,Paramètres!$A$1:$I$89,3,0)*VLOOKUP('Données projet'!$B$17,Paramètres!$A$1:$I$89,5,0)</f>
        <v>2.6602720026858149E-13</v>
      </c>
      <c r="GB153" s="13">
        <f t="shared" si="157"/>
        <v>3.5662905043956649E-12</v>
      </c>
      <c r="GC153" s="20">
        <f t="shared" si="133"/>
        <v>6.6746200022902298E-12</v>
      </c>
      <c r="GD153" s="59">
        <f t="shared" si="134"/>
        <v>291.47404623612749</v>
      </c>
      <c r="GE153" s="59">
        <f ca="1">AVERAGE(OFFSET($GD$3,0,0,'Données projet'!$E$17+1,1))-AVERAGE(OFFSET($H$3,0,0,'Données projet'!$E$17+1,1))</f>
        <v>300.95722646933314</v>
      </c>
      <c r="GF153" s="59">
        <f t="shared" si="158"/>
        <v>269.52365224623759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>
        <f>EXP(-LN(2)/35)*GL152+(1-EXP(-LN(2)/35))/(LN(2)/35)*GH153*GI153*VLOOKUP('Données projet'!$B$17,Paramètres!$A$1:$I$89,3,0)*0.475*44/12</f>
        <v>8.2645377567747313E-2</v>
      </c>
      <c r="GM153" s="21">
        <f>EXP(-LN(2)/25)*GM152+(1-EXP(-LN(2)/25))/(LN(2)/25)*Calculateur!GH153*Calculateur!GJ153*VLOOKUP('Données projet'!$B$17,Paramètres!$A$1:$I$89,3,0)*0.475*44/12</f>
        <v>0.22396572814214991</v>
      </c>
      <c r="GN153" s="21">
        <f>EXP(-LN(2)/2)*GN152+(1-EXP(-LN(2)/2))/(LN(2)/2)*GH153*GK153*VLOOKUP('Données projet'!$B$17,Paramètres!$A$1:$I$89,3,0)*0.475*44/12</f>
        <v>7.6839260824107912E-18</v>
      </c>
      <c r="GO153" s="21">
        <f t="shared" si="135"/>
        <v>0.30661110570989725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69.492921700760235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1.4000000000000001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5.1333333333333337</v>
      </c>
      <c r="H154" s="67">
        <f t="shared" si="110"/>
        <v>236.13333333333335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69.501718375594805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-3.4106051316484809E-13</v>
      </c>
      <c r="O154" s="13">
        <f>N154*VLOOKUP('Données projet'!$B$9,Paramètres!$A$1:$I$89,3,0)*VLOOKUP('Données projet'!$B$9,Paramètres!$A$1:$I$89,5,0)</f>
        <v>-3.0859155231155454E-13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479.46542424895119</v>
      </c>
      <c r="T154" s="59">
        <f t="shared" si="142"/>
        <v>337.96395820277337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0.21930699574448484</v>
      </c>
      <c r="AA154" s="21">
        <f>EXP(-LN(2)/25)*AA153+(1-EXP(-LN(2)/25))/(LN(2)/25)*Calculateur!V154*Calculateur!X154*VLOOKUP('Données projet'!$B$9,Paramètres!$A$1:$I$89,3,0)*0.475*44/12</f>
        <v>0.39394212125294165</v>
      </c>
      <c r="AB154" s="21">
        <f>EXP(-LN(2)/2)*AB153+(1-EXP(-LN(2)/2))/(LN(2)/2)*V154*Y154*VLOOKUP('Données projet'!$B$9,Paramètres!$A$1:$I$89,3,0)*0.475*44/12</f>
        <v>1.3219035753318979E-17</v>
      </c>
      <c r="AC154" s="22">
        <f t="shared" ref="AC154:AC203" si="163">SUM(Z154:AB154)</f>
        <v>0.61324911699742646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69.501718375594805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-3.4106051316484809E-13</v>
      </c>
      <c r="AJ154" s="13">
        <f>AI154*VLOOKUP('Données projet'!$B$10,Paramètres!$A$1:$I$89,3,0)*VLOOKUP('Données projet'!$B$10,Paramètres!$A$1:$I$89,5,0)</f>
        <v>-3.2987372833304104E-13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508.94560627895089</v>
      </c>
      <c r="AO154" s="59">
        <f t="shared" si="144"/>
        <v>357.86868650263034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0.23443161614065636</v>
      </c>
      <c r="AV154" s="21">
        <f>EXP(-LN(2)/25)*AV153+(1-EXP(-LN(2)/25))/(LN(2)/25)*Calculateur!AQ154*Calculateur!AS154*VLOOKUP('Données projet'!$B$10,Paramètres!$A$1:$I$89,3,0)*0.475*44/12</f>
        <v>0.42111054340831688</v>
      </c>
      <c r="AW154" s="21">
        <f>EXP(-LN(2)/2)*AW153+(1-EXP(-LN(2)/2))/(LN(2)/2)*AQ154*AT154*VLOOKUP('Données projet'!$B$10,Paramètres!$A$1:$I$89,3,0)*0.475*44/12</f>
        <v>1.4130693391478843E-17</v>
      </c>
      <c r="AX154" s="21">
        <f t="shared" ref="AX154:AX203" si="166">SUM(AU154:AW154)</f>
        <v>0.65554215954897321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69.501718375594805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1.7053025658242404E-13</v>
      </c>
      <c r="BE154" s="13">
        <f>BD154*VLOOKUP('Données projet'!$B$11,Paramètres!$A$1:$I$89,3,0)*VLOOKUP('Données projet'!$B$11,Paramètres!$A$1:$I$89,5,0)</f>
        <v>1.3301360013429075E-13</v>
      </c>
      <c r="BF154" s="13">
        <f t="shared" ref="BF154:BF203" si="167">EXP(-1.0587+0.8836*LN(BE154)+0.284)</f>
        <v>1.9329766731057041E-12</v>
      </c>
      <c r="BG154" s="20">
        <f t="shared" ref="BG154:BG203" si="168">(BE154+BF154)*0.475*44/12</f>
        <v>3.5982663925596575E-12</v>
      </c>
      <c r="BH154" s="59">
        <f t="shared" si="116"/>
        <v>291.50630071051785</v>
      </c>
      <c r="BI154" s="59">
        <f ca="1">AVERAGE(OFFSET($BH$3,0,0,'Données projet'!$E$11+1,1))-AVERAGE(OFFSET($H$3,0,0,'Données projet'!$E$11+1,1))</f>
        <v>383.03154033422328</v>
      </c>
      <c r="BJ154" s="59">
        <f t="shared" si="146"/>
        <v>373.27897156169877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0.1316652221988133</v>
      </c>
      <c r="BQ154" s="21">
        <f>EXP(-LN(2)/25)*BQ153+(1-EXP(-LN(2)/25))/(LN(2)/25)*Calculateur!BL154*Calculateur!BN154*VLOOKUP('Données projet'!$B$11,Paramètres!$A$1:$I$89,3,0)*0.475*44/12</f>
        <v>0.2922656443737634</v>
      </c>
      <c r="BR154" s="21">
        <f>EXP(-LN(2)/2)*BR153+(1-EXP(-LN(2)/2))/(LN(2)/2)*BL154*BO154*VLOOKUP('Données projet'!$B$11,Paramètres!$A$1:$I$89,3,0)*0.475*44/12</f>
        <v>8.0167814495635858E-18</v>
      </c>
      <c r="BS154" s="22">
        <f t="shared" ref="BS154:BS203" si="169">SUM(BP154:BR154)</f>
        <v>0.42393086657257673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69.501718375594805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-3.4106051316484809E-13</v>
      </c>
      <c r="BZ154" s="13">
        <f>BY154*VLOOKUP('Données projet'!$B$12,Paramètres!$A$1:$I$89,3,0)*VLOOKUP('Données projet'!$B$12,Paramètres!$A$1:$I$89,5,0)</f>
        <v>-2.8730937629006804E-13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449.94334483948603</v>
      </c>
      <c r="CE154" s="59">
        <f t="shared" si="148"/>
        <v>318.02929110264176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0.20418237534831377</v>
      </c>
      <c r="CL154" s="21">
        <f>EXP(-LN(2)/25)*CL153+(1-EXP(-LN(2)/25))/(LN(2)/25)*Calculateur!CG154*Calculateur!CI154*VLOOKUP('Données projet'!$B$12,Paramètres!$A$1:$I$89,3,0)*0.475*44/12</f>
        <v>0.36677369909756646</v>
      </c>
      <c r="CM154" s="21">
        <f>EXP(-LN(2)/2)*CM153+(1-EXP(-LN(2)/2))/(LN(2)/2)*CG154*CJ154*VLOOKUP('Données projet'!$B$12,Paramètres!$A$1:$I$89,3,0)*0.475*44/12</f>
        <v>1.2307378115159005E-17</v>
      </c>
      <c r="CN154" s="22">
        <f t="shared" ref="CN154:CN203" si="172">SUM(CK154:CM154)</f>
        <v>0.57095607444588026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69.501718375594805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1.1368683772161603E-13</v>
      </c>
      <c r="CU154" s="17">
        <f>CT154*VLOOKUP('Données projet'!$B$13,Paramètres!$A$1:$I$89,3,0)*VLOOKUP('Données projet'!$B$13,Paramètres!$A$1:$I$89,5,0)</f>
        <v>9.7543306765146564E-14</v>
      </c>
      <c r="CV154" s="13">
        <f t="shared" ref="CV154:CV203" si="173">EXP(-1.0587+0.8836*LN(CU154)+0.284)</f>
        <v>1.4696264278629426E-12</v>
      </c>
      <c r="CW154" s="20">
        <f t="shared" ref="CW154:CW203" si="174">(CU154+CV154)*0.475*44/12</f>
        <v>2.7294872878105889E-12</v>
      </c>
      <c r="CX154" s="59">
        <f t="shared" si="122"/>
        <v>291.506300710517</v>
      </c>
      <c r="CY154" s="59">
        <f ca="1">AVERAGE(OFFSET($CX$3,0,0,'Données projet'!$E$13+1,1))-AVERAGE(OFFSET($H$3,0,0,'Données projet'!$E$13+1,1))</f>
        <v>565.32667500225568</v>
      </c>
      <c r="CZ154" s="59">
        <f t="shared" si="150"/>
        <v>275.06957234480944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0</v>
      </c>
      <c r="DG154" s="21">
        <f>EXP(-LN(2)/25)*DG153+(1-EXP(-LN(2)/25))/(LN(2)/25)*Calculateur!DB154*Calculateur!DD154*VLOOKUP('Données projet'!$B$13,Paramètres!$A$1:$I$89,3,0)*0.475*44/12</f>
        <v>0.15297476112492669</v>
      </c>
      <c r="DH154" s="21">
        <f>EXP(-LN(2)/2)*DH153+(1-EXP(-LN(2)/2))/(LN(2)/2)*DB154*DE154*VLOOKUP('Données projet'!$B$13,Paramètres!$A$1:$I$89,3,0)*0.475*44/12</f>
        <v>4.3444509307039393E-18</v>
      </c>
      <c r="DI154" s="22">
        <f t="shared" ref="DI154:DI203" si="175">SUM(DF154:DH154)</f>
        <v>0.15297476112492669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69.501718375594805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-1.2505552149377763E-12</v>
      </c>
      <c r="DP154" s="17">
        <f>DO154*VLOOKUP('Données projet'!$B$14,Paramètres!$A$1:$I$89,3,0)*VLOOKUP('Données projet'!$B$14,Paramètres!$A$1:$I$89,5,0)</f>
        <v>-6.9906036515021697E-13</v>
      </c>
      <c r="DQ154" s="13" t="e">
        <f t="shared" ref="DQ154:DQ203" si="176">EXP(-1.0587+0.8836*LN(DP154)+0.284)</f>
        <v>#NUM!</v>
      </c>
      <c r="DR154" s="20" t="e">
        <f t="shared" ref="DR154:DR203" si="177">(DP154+DQ154)*0.475*44/12</f>
        <v>#NUM!</v>
      </c>
      <c r="DS154" s="59" t="e">
        <f t="shared" si="125"/>
        <v>#NUM!</v>
      </c>
      <c r="DT154" s="59">
        <f ca="1">AVERAGE(OFFSET($DS$3,0,0,'Données projet'!$E$14+1,1))-AVERAGE(OFFSET($H$3,0,0,'Données projet'!$E$14+1,1))</f>
        <v>532.64469322244281</v>
      </c>
      <c r="DU154" s="59">
        <f t="shared" si="152"/>
        <v>525.88014011096413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1.0398176522367848</v>
      </c>
      <c r="EB154" s="21">
        <f>EXP(-LN(2)/25)*EB153+(1-EXP(-LN(2)/25))/(LN(2)/25)*Calculateur!DW154*Calculateur!DY154*VLOOKUP('Données projet'!$B$14,Paramètres!$A$1:$I$89,3,0)*0.475*44/12</f>
        <v>1.3532934496773212</v>
      </c>
      <c r="EC154" s="21">
        <f>EXP(-LN(2)/2)*EC153+(1-EXP(-LN(2)/2))/(LN(2)/2)*DW154*DZ154*VLOOKUP('Données projet'!$B$14,Paramètres!$A$1:$I$89,3,0)*0.475*44/12</f>
        <v>2.2368844363466017E-17</v>
      </c>
      <c r="ED154" s="22">
        <f t="shared" ref="ED154:ED203" si="178">SUM(EA154:EC154)</f>
        <v>2.3931111019141058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69.501718375594805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-1.1368683772161603E-13</v>
      </c>
      <c r="EK154" s="17">
        <f>EJ154*VLOOKUP('Données projet'!$B$15,Paramètres!$A$1:$I$89,3,0)*VLOOKUP('Données projet'!$B$15,Paramètres!$A$1:$I$89,5,0)</f>
        <v>-1.0286385077051818E-13</v>
      </c>
      <c r="EL154" s="13" t="e">
        <f t="shared" ref="EL154:EL203" si="179">EXP(-1.0587+0.8836*LN(EK154)+0.284)</f>
        <v>#NUM!</v>
      </c>
      <c r="EM154" s="20" t="e">
        <f t="shared" ref="EM154:EM203" si="180">(EK154+EL154)*0.475*44/12</f>
        <v>#NUM!</v>
      </c>
      <c r="EN154" s="59" t="e">
        <f t="shared" si="128"/>
        <v>#NUM!</v>
      </c>
      <c r="EO154" s="59">
        <f ca="1">AVERAGE(OFFSET($EN$3,0,0,'Données projet'!$E$15+1,1))-AVERAGE(OFFSET($H$3,0,0,'Données projet'!$E$15+1,1))</f>
        <v>398.27843768730202</v>
      </c>
      <c r="EP154" s="59">
        <f t="shared" si="154"/>
        <v>252.3617347568813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0</v>
      </c>
      <c r="EW154" s="21">
        <f>EXP(-LN(2)/25)*EW153+(1-EXP(-LN(2)/25))/(LN(2)/25)*Calculateur!ER154*Calculateur!ET154*VLOOKUP('Données projet'!$B$15,Paramètres!$A$1:$I$89,3,0)*0.475*44/12</f>
        <v>0.10844452411782873</v>
      </c>
      <c r="EX154" s="21">
        <f>EXP(-LN(2)/2)*EX153+(1-EXP(-LN(2)/2))/(LN(2)/2)*ER154*EU154*VLOOKUP('Données projet'!$B$15,Paramètres!$A$1:$I$89,3,0)*0.475*44/12</f>
        <v>3.7960345275033895E-18</v>
      </c>
      <c r="EY154" s="22">
        <f t="shared" ref="EY154:EY203" si="181">SUM(EV154:EX154)</f>
        <v>0.10844452411782873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69.501718375594805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-1.1368683772161603E-13</v>
      </c>
      <c r="FF154" s="17">
        <f>FE154*VLOOKUP('Données projet'!$B$16,Paramètres!$A$1:$I$89,3,0)*VLOOKUP('Données projet'!$B$16,Paramètres!$A$1:$I$89,5,0)</f>
        <v>-1.0995790944434703E-13</v>
      </c>
      <c r="FG154" s="13" t="e">
        <f t="shared" ref="FG154:FG203" si="182">EXP(-1.0587+0.8836*LN(FF154)+0.284)</f>
        <v>#NUM!</v>
      </c>
      <c r="FH154" s="20" t="e">
        <f t="shared" ref="FH154:FH203" si="183">(FF154+FG154)*0.475*44/12</f>
        <v>#NUM!</v>
      </c>
      <c r="FI154" s="59" t="e">
        <f t="shared" si="131"/>
        <v>#NUM!</v>
      </c>
      <c r="FJ154" s="59">
        <f ca="1">AVERAGE(OFFSET($FI$3,0,0,'Données projet'!$E$16+1,1))-AVERAGE(OFFSET($H$3,0,0,'Données projet'!$E$16+1,1))</f>
        <v>422.28024471365825</v>
      </c>
      <c r="FK154" s="59">
        <f t="shared" si="156"/>
        <v>266.49730479813206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0</v>
      </c>
      <c r="FR154" s="21">
        <f>EXP(-LN(2)/25)*FR153+(1-EXP(-LN(2)/25))/(LN(2)/25)*Calculateur!FM154*Calculateur!FO154*VLOOKUP('Données projet'!$B$16,Paramètres!$A$1:$I$89,3,0)*0.475*44/12</f>
        <v>0.11592345681560991</v>
      </c>
      <c r="FS154" s="21">
        <f>EXP(-LN(2)/2)*FS153+(1-EXP(-LN(2)/2))/(LN(2)/2)*FM154*FP154*VLOOKUP('Données projet'!$B$16,Paramètres!$A$1:$I$89,3,0)*0.475*44/12</f>
        <v>4.0578300121587949E-18</v>
      </c>
      <c r="FT154" s="22">
        <f t="shared" ref="FT154:FT203" si="184">SUM(FQ154:FS154)</f>
        <v>0.11592345681560991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69.501718375594805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3.4106051316484809E-13</v>
      </c>
      <c r="GA154" s="17">
        <f>FZ154*VLOOKUP('Données projet'!$B$17,Paramètres!$A$1:$I$89,3,0)*VLOOKUP('Données projet'!$B$17,Paramètres!$A$1:$I$89,5,0)</f>
        <v>2.6602720026858149E-13</v>
      </c>
      <c r="GB154" s="13">
        <f t="shared" ref="GB154:GB203" si="185">EXP(-1.0587+0.8836*LN(GA154)+0.284)</f>
        <v>3.5662905043956649E-12</v>
      </c>
      <c r="GC154" s="20">
        <f t="shared" ref="GC154:GC203" si="186">(GA154+GB154)*0.475*44/12</f>
        <v>6.6746200022902298E-12</v>
      </c>
      <c r="GD154" s="59">
        <f t="shared" si="134"/>
        <v>291.50630071052092</v>
      </c>
      <c r="GE154" s="59">
        <f ca="1">AVERAGE(OFFSET($GD$3,0,0,'Données projet'!$E$17+1,1))-AVERAGE(OFFSET($H$3,0,0,'Données projet'!$E$17+1,1))</f>
        <v>300.95722646933314</v>
      </c>
      <c r="GF154" s="59">
        <f t="shared" si="158"/>
        <v>269.52365224623759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>
        <f>EXP(-LN(2)/35)*GL153+(1-EXP(-LN(2)/35))/(LN(2)/35)*GH154*GI154*VLOOKUP('Données projet'!$B$17,Paramètres!$A$1:$I$89,3,0)*0.475*44/12</f>
        <v>8.1024752122346652E-2</v>
      </c>
      <c r="GM154" s="21">
        <f>EXP(-LN(2)/25)*GM153+(1-EXP(-LN(2)/25))/(LN(2)/25)*Calculateur!GH154*Calculateur!GJ154*VLOOKUP('Données projet'!$B$17,Paramètres!$A$1:$I$89,3,0)*0.475*44/12</f>
        <v>0.21784137352825705</v>
      </c>
      <c r="GN154" s="21">
        <f>EXP(-LN(2)/2)*GN153+(1-EXP(-LN(2)/2))/(LN(2)/2)*GH154*GK154*VLOOKUP('Données projet'!$B$17,Paramètres!$A$1:$I$89,3,0)*0.475*44/12</f>
        <v>5.4333562390088527E-18</v>
      </c>
      <c r="GO154" s="21">
        <f t="shared" ref="GO154:GO203" si="187">SUM(GL154:GN154)</f>
        <v>0.29886612565060372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69.501718375594805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1.4000000000000001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5.1333333333333337</v>
      </c>
      <c r="H155" s="67">
        <f t="shared" si="110"/>
        <v>236.13333333333335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69.510362447787415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-3.4106051316484809E-13</v>
      </c>
      <c r="O155" s="13">
        <f>N155*VLOOKUP('Données projet'!$B$9,Paramètres!$A$1:$I$89,3,0)*VLOOKUP('Données projet'!$B$9,Paramètres!$A$1:$I$89,5,0)</f>
        <v>-3.0859155231155454E-13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479.46542424895119</v>
      </c>
      <c r="T155" s="59">
        <f t="shared" si="142"/>
        <v>337.96395820277337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0.2150065193219948</v>
      </c>
      <c r="AA155" s="21">
        <f>EXP(-LN(2)/25)*AA154+(1-EXP(-LN(2)/25))/(LN(2)/25)*Calculateur!V155*Calculateur!X155*VLOOKUP('Données projet'!$B$9,Paramètres!$A$1:$I$89,3,0)*0.475*44/12</f>
        <v>0.38316975323076419</v>
      </c>
      <c r="AB155" s="21">
        <f>EXP(-LN(2)/2)*AB154+(1-EXP(-LN(2)/2))/(LN(2)/2)*V155*Y155*VLOOKUP('Données projet'!$B$9,Paramètres!$A$1:$I$89,3,0)*0.475*44/12</f>
        <v>9.3472698219192717E-18</v>
      </c>
      <c r="AC155" s="22">
        <f t="shared" si="163"/>
        <v>0.59817627255275896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69.510362447787415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-3.4106051316484809E-13</v>
      </c>
      <c r="AJ155" s="13">
        <f>AI155*VLOOKUP('Données projet'!$B$10,Paramètres!$A$1:$I$89,3,0)*VLOOKUP('Données projet'!$B$10,Paramètres!$A$1:$I$89,5,0)</f>
        <v>-3.2987372833304104E-13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508.94560627895089</v>
      </c>
      <c r="AO155" s="59">
        <f t="shared" si="144"/>
        <v>357.86868650263034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0.22983455513730491</v>
      </c>
      <c r="AV155" s="21">
        <f>EXP(-LN(2)/25)*AV154+(1-EXP(-LN(2)/25))/(LN(2)/25)*Calculateur!AQ155*Calculateur!AS155*VLOOKUP('Données projet'!$B$10,Paramètres!$A$1:$I$89,3,0)*0.475*44/12</f>
        <v>0.40959525345357545</v>
      </c>
      <c r="AW155" s="21">
        <f>EXP(-LN(2)/2)*AW154+(1-EXP(-LN(2)/2))/(LN(2)/2)*AQ155*AT155*VLOOKUP('Données projet'!$B$10,Paramètres!$A$1:$I$89,3,0)*0.475*44/12</f>
        <v>9.9919091199826239E-18</v>
      </c>
      <c r="AX155" s="21">
        <f t="shared" si="166"/>
        <v>0.63942980859088039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69.510362447787415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1.7053025658242404E-13</v>
      </c>
      <c r="BE155" s="13">
        <f>BD155*VLOOKUP('Données projet'!$B$11,Paramètres!$A$1:$I$89,3,0)*VLOOKUP('Données projet'!$B$11,Paramètres!$A$1:$I$89,5,0)</f>
        <v>1.3301360013429075E-13</v>
      </c>
      <c r="BF155" s="13">
        <f t="shared" si="167"/>
        <v>1.9329766731057041E-12</v>
      </c>
      <c r="BG155" s="20">
        <f t="shared" si="168"/>
        <v>3.5982663925596575E-12</v>
      </c>
      <c r="BH155" s="59">
        <f t="shared" si="116"/>
        <v>291.5379956418908</v>
      </c>
      <c r="BI155" s="59">
        <f ca="1">AVERAGE(OFFSET($BH$3,0,0,'Données projet'!$E$11+1,1))-AVERAGE(OFFSET($H$3,0,0,'Données projet'!$E$11+1,1))</f>
        <v>383.03154033422328</v>
      </c>
      <c r="BJ155" s="59">
        <f t="shared" si="146"/>
        <v>373.27897156169877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0.12908334749935038</v>
      </c>
      <c r="BQ155" s="21">
        <f>EXP(-LN(2)/25)*BQ154+(1-EXP(-LN(2)/25))/(LN(2)/25)*Calculateur!BL155*Calculateur!BN155*VLOOKUP('Données projet'!$B$11,Paramètres!$A$1:$I$89,3,0)*0.475*44/12</f>
        <v>0.28427362495878056</v>
      </c>
      <c r="BR155" s="21">
        <f>EXP(-LN(2)/2)*BR154+(1-EXP(-LN(2)/2))/(LN(2)/2)*BL155*BO155*VLOOKUP('Données projet'!$B$11,Paramètres!$A$1:$I$89,3,0)*0.475*44/12</f>
        <v>5.6687205262769318E-18</v>
      </c>
      <c r="BS155" s="22">
        <f t="shared" si="169"/>
        <v>0.41335697245813097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69.510362447787415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-3.4106051316484809E-13</v>
      </c>
      <c r="BZ155" s="13">
        <f>BY155*VLOOKUP('Données projet'!$B$12,Paramètres!$A$1:$I$89,3,0)*VLOOKUP('Données projet'!$B$12,Paramètres!$A$1:$I$89,5,0)</f>
        <v>-2.8730937629006804E-13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449.94334483948603</v>
      </c>
      <c r="CE155" s="59">
        <f t="shared" si="148"/>
        <v>318.02929110264176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0.2001784835066851</v>
      </c>
      <c r="CL155" s="21">
        <f>EXP(-LN(2)/25)*CL154+(1-EXP(-LN(2)/25))/(LN(2)/25)*Calculateur!CG155*Calculateur!CI155*VLOOKUP('Données projet'!$B$12,Paramètres!$A$1:$I$89,3,0)*0.475*44/12</f>
        <v>0.35674425300795293</v>
      </c>
      <c r="CM155" s="21">
        <f>EXP(-LN(2)/2)*CM154+(1-EXP(-LN(2)/2))/(LN(2)/2)*CG155*CJ155*VLOOKUP('Données projet'!$B$12,Paramètres!$A$1:$I$89,3,0)*0.475*44/12</f>
        <v>8.7026305238558424E-18</v>
      </c>
      <c r="CN155" s="22">
        <f t="shared" si="172"/>
        <v>0.55692273651463808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69.510362447787415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1.1368683772161603E-13</v>
      </c>
      <c r="CU155" s="17">
        <f>CT155*VLOOKUP('Données projet'!$B$13,Paramètres!$A$1:$I$89,3,0)*VLOOKUP('Données projet'!$B$13,Paramètres!$A$1:$I$89,5,0)</f>
        <v>9.7543306765146564E-14</v>
      </c>
      <c r="CV155" s="13">
        <f t="shared" si="173"/>
        <v>1.4696264278629426E-12</v>
      </c>
      <c r="CW155" s="20">
        <f t="shared" si="174"/>
        <v>2.7294872878105889E-12</v>
      </c>
      <c r="CX155" s="59">
        <f t="shared" si="122"/>
        <v>291.53799564188995</v>
      </c>
      <c r="CY155" s="59">
        <f ca="1">AVERAGE(OFFSET($CX$3,0,0,'Données projet'!$E$13+1,1))-AVERAGE(OFFSET($H$3,0,0,'Données projet'!$E$13+1,1))</f>
        <v>565.32667500225568</v>
      </c>
      <c r="CZ155" s="59">
        <f t="shared" si="150"/>
        <v>275.06957234480944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0</v>
      </c>
      <c r="DG155" s="21">
        <f>EXP(-LN(2)/25)*DG154+(1-EXP(-LN(2)/25))/(LN(2)/25)*Calculateur!DB155*Calculateur!DD155*VLOOKUP('Données projet'!$B$13,Paramètres!$A$1:$I$89,3,0)*0.475*44/12</f>
        <v>0.1487916582373725</v>
      </c>
      <c r="DH155" s="21">
        <f>EXP(-LN(2)/2)*DH154+(1-EXP(-LN(2)/2))/(LN(2)/2)*DB155*DE155*VLOOKUP('Données projet'!$B$13,Paramètres!$A$1:$I$89,3,0)*0.475*44/12</f>
        <v>3.0719907136329632E-18</v>
      </c>
      <c r="DI155" s="22">
        <f t="shared" si="175"/>
        <v>0.1487916582373725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69.510362447787415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-1.2505552149377763E-12</v>
      </c>
      <c r="DP155" s="17">
        <f>DO155*VLOOKUP('Données projet'!$B$14,Paramètres!$A$1:$I$89,3,0)*VLOOKUP('Données projet'!$B$14,Paramètres!$A$1:$I$89,5,0)</f>
        <v>-6.9906036515021697E-13</v>
      </c>
      <c r="DQ155" s="13" t="e">
        <f t="shared" si="176"/>
        <v>#NUM!</v>
      </c>
      <c r="DR155" s="20" t="e">
        <f t="shared" si="177"/>
        <v>#NUM!</v>
      </c>
      <c r="DS155" s="59" t="e">
        <f t="shared" si="125"/>
        <v>#NUM!</v>
      </c>
      <c r="DT155" s="59">
        <f ca="1">AVERAGE(OFFSET($DS$3,0,0,'Données projet'!$E$14+1,1))-AVERAGE(OFFSET($H$3,0,0,'Données projet'!$E$14+1,1))</f>
        <v>532.64469322244281</v>
      </c>
      <c r="DU155" s="59">
        <f t="shared" si="152"/>
        <v>525.88014011096413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1.0194274623025648</v>
      </c>
      <c r="EB155" s="21">
        <f>EXP(-LN(2)/25)*EB154+(1-EXP(-LN(2)/25))/(LN(2)/25)*Calculateur!DW155*Calculateur!DY155*VLOOKUP('Données projet'!$B$14,Paramètres!$A$1:$I$89,3,0)*0.475*44/12</f>
        <v>1.3162875691292855</v>
      </c>
      <c r="EC155" s="21">
        <f>EXP(-LN(2)/2)*EC154+(1-EXP(-LN(2)/2))/(LN(2)/2)*DW155*DZ155*VLOOKUP('Données projet'!$B$14,Paramètres!$A$1:$I$89,3,0)*0.475*44/12</f>
        <v>1.5817161536713302E-17</v>
      </c>
      <c r="ED155" s="22">
        <f t="shared" si="178"/>
        <v>2.3357150314318504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69.510362447787415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-1.1368683772161603E-13</v>
      </c>
      <c r="EK155" s="17">
        <f>EJ155*VLOOKUP('Données projet'!$B$15,Paramètres!$A$1:$I$89,3,0)*VLOOKUP('Données projet'!$B$15,Paramètres!$A$1:$I$89,5,0)</f>
        <v>-1.0286385077051818E-13</v>
      </c>
      <c r="EL155" s="13" t="e">
        <f t="shared" si="179"/>
        <v>#NUM!</v>
      </c>
      <c r="EM155" s="20" t="e">
        <f t="shared" si="180"/>
        <v>#NUM!</v>
      </c>
      <c r="EN155" s="59" t="e">
        <f t="shared" si="128"/>
        <v>#NUM!</v>
      </c>
      <c r="EO155" s="59">
        <f ca="1">AVERAGE(OFFSET($EN$3,0,0,'Données projet'!$E$15+1,1))-AVERAGE(OFFSET($H$3,0,0,'Données projet'!$E$15+1,1))</f>
        <v>398.27843768730202</v>
      </c>
      <c r="EP155" s="59">
        <f t="shared" si="154"/>
        <v>252.3617347568813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0</v>
      </c>
      <c r="EW155" s="21">
        <f>EXP(-LN(2)/25)*EW154+(1-EXP(-LN(2)/25))/(LN(2)/25)*Calculateur!ER155*Calculateur!ET155*VLOOKUP('Données projet'!$B$15,Paramètres!$A$1:$I$89,3,0)*0.475*44/12</f>
        <v>0.10547910290297703</v>
      </c>
      <c r="EX155" s="21">
        <f>EXP(-LN(2)/2)*EX154+(1-EXP(-LN(2)/2))/(LN(2)/2)*ER155*EU155*VLOOKUP('Données projet'!$B$15,Paramètres!$A$1:$I$89,3,0)*0.475*44/12</f>
        <v>2.6842017560159186E-18</v>
      </c>
      <c r="EY155" s="22">
        <f t="shared" si="181"/>
        <v>0.10547910290297703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69.510362447787415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-1.1368683772161603E-13</v>
      </c>
      <c r="FF155" s="17">
        <f>FE155*VLOOKUP('Données projet'!$B$16,Paramètres!$A$1:$I$89,3,0)*VLOOKUP('Données projet'!$B$16,Paramètres!$A$1:$I$89,5,0)</f>
        <v>-1.0995790944434703E-13</v>
      </c>
      <c r="FG155" s="13" t="e">
        <f t="shared" si="182"/>
        <v>#NUM!</v>
      </c>
      <c r="FH155" s="20" t="e">
        <f t="shared" si="183"/>
        <v>#NUM!</v>
      </c>
      <c r="FI155" s="59" t="e">
        <f t="shared" si="131"/>
        <v>#NUM!</v>
      </c>
      <c r="FJ155" s="59">
        <f ca="1">AVERAGE(OFFSET($FI$3,0,0,'Données projet'!$E$16+1,1))-AVERAGE(OFFSET($H$3,0,0,'Données projet'!$E$16+1,1))</f>
        <v>422.28024471365825</v>
      </c>
      <c r="FK155" s="59">
        <f t="shared" si="156"/>
        <v>266.49730479813206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0</v>
      </c>
      <c r="FR155" s="21">
        <f>EXP(-LN(2)/25)*FR154+(1-EXP(-LN(2)/25))/(LN(2)/25)*Calculateur!FM155*Calculateur!FO155*VLOOKUP('Données projet'!$B$16,Paramètres!$A$1:$I$89,3,0)*0.475*44/12</f>
        <v>0.1127535237928374</v>
      </c>
      <c r="FS155" s="21">
        <f>EXP(-LN(2)/2)*FS154+(1-EXP(-LN(2)/2))/(LN(2)/2)*FM155*FP155*VLOOKUP('Données projet'!$B$16,Paramètres!$A$1:$I$89,3,0)*0.475*44/12</f>
        <v>2.8693191184997745E-18</v>
      </c>
      <c r="FT155" s="22">
        <f t="shared" si="184"/>
        <v>0.1127535237928374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69.510362447787415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3.4106051316484809E-13</v>
      </c>
      <c r="GA155" s="17">
        <f>FZ155*VLOOKUP('Données projet'!$B$17,Paramètres!$A$1:$I$89,3,0)*VLOOKUP('Données projet'!$B$17,Paramètres!$A$1:$I$89,5,0)</f>
        <v>2.6602720026858149E-13</v>
      </c>
      <c r="GB155" s="13">
        <f t="shared" si="185"/>
        <v>3.5662905043956649E-12</v>
      </c>
      <c r="GC155" s="20">
        <f t="shared" si="186"/>
        <v>6.6746200022902298E-12</v>
      </c>
      <c r="GD155" s="59">
        <f t="shared" si="134"/>
        <v>291.53799564189387</v>
      </c>
      <c r="GE155" s="59">
        <f ca="1">AVERAGE(OFFSET($GD$3,0,0,'Données projet'!$E$17+1,1))-AVERAGE(OFFSET($H$3,0,0,'Données projet'!$E$17+1,1))</f>
        <v>300.95722646933314</v>
      </c>
      <c r="GF155" s="59">
        <f t="shared" si="158"/>
        <v>269.52365224623759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>
        <f>EXP(-LN(2)/35)*GL154+(1-EXP(-LN(2)/35))/(LN(2)/35)*GH155*GI155*VLOOKUP('Données projet'!$B$17,Paramètres!$A$1:$I$89,3,0)*0.475*44/12</f>
        <v>7.9435906153446381E-2</v>
      </c>
      <c r="GM155" s="21">
        <f>EXP(-LN(2)/25)*GM154+(1-EXP(-LN(2)/25))/(LN(2)/25)*Calculateur!GH155*Calculateur!GJ155*VLOOKUP('Données projet'!$B$17,Paramètres!$A$1:$I$89,3,0)*0.475*44/12</f>
        <v>0.21188448971334692</v>
      </c>
      <c r="GN155" s="21">
        <f>EXP(-LN(2)/2)*GN154+(1-EXP(-LN(2)/2))/(LN(2)/2)*GH155*GK155*VLOOKUP('Données projet'!$B$17,Paramètres!$A$1:$I$89,3,0)*0.475*44/12</f>
        <v>3.8419630412053956E-18</v>
      </c>
      <c r="GO155" s="21">
        <f t="shared" si="187"/>
        <v>0.29132039586679331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69.510362447787415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1.4000000000000001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5.1333333333333337</v>
      </c>
      <c r="H156" s="67">
        <f t="shared" si="110"/>
        <v>236.13333333333335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69.518856564652737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-3.4106051316484809E-13</v>
      </c>
      <c r="O156" s="13">
        <f>N156*VLOOKUP('Données projet'!$B$9,Paramètres!$A$1:$I$89,3,0)*VLOOKUP('Données projet'!$B$9,Paramètres!$A$1:$I$89,5,0)</f>
        <v>-3.0859155231155454E-13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479.46542424895119</v>
      </c>
      <c r="T156" s="59">
        <f t="shared" si="142"/>
        <v>337.96395820277337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0.21079037261911818</v>
      </c>
      <c r="AA156" s="21">
        <f>EXP(-LN(2)/25)*AA155+(1-EXP(-LN(2)/25))/(LN(2)/25)*Calculateur!V156*Calculateur!X156*VLOOKUP('Données projet'!$B$9,Paramètres!$A$1:$I$89,3,0)*0.475*44/12</f>
        <v>0.37269195617864737</v>
      </c>
      <c r="AB156" s="21">
        <f>EXP(-LN(2)/2)*AB155+(1-EXP(-LN(2)/2))/(LN(2)/2)*V156*Y156*VLOOKUP('Données projet'!$B$9,Paramètres!$A$1:$I$89,3,0)*0.475*44/12</f>
        <v>6.6095178766594896E-18</v>
      </c>
      <c r="AC156" s="22">
        <f t="shared" si="163"/>
        <v>0.58348232879776551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69.518856564652737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-3.4106051316484809E-13</v>
      </c>
      <c r="AJ156" s="13">
        <f>AI156*VLOOKUP('Données projet'!$B$10,Paramètres!$A$1:$I$89,3,0)*VLOOKUP('Données projet'!$B$10,Paramètres!$A$1:$I$89,5,0)</f>
        <v>-3.2987372833304104E-13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508.94560627895089</v>
      </c>
      <c r="AO156" s="59">
        <f t="shared" si="144"/>
        <v>357.86868650263034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0.22532763969629885</v>
      </c>
      <c r="AV156" s="21">
        <f>EXP(-LN(2)/25)*AV155+(1-EXP(-LN(2)/25))/(LN(2)/25)*Calculateur!AQ156*Calculateur!AS156*VLOOKUP('Données projet'!$B$10,Paramètres!$A$1:$I$89,3,0)*0.475*44/12</f>
        <v>0.39839484970820921</v>
      </c>
      <c r="AW156" s="21">
        <f>EXP(-LN(2)/2)*AW155+(1-EXP(-LN(2)/2))/(LN(2)/2)*AQ156*AT156*VLOOKUP('Données projet'!$B$10,Paramètres!$A$1:$I$89,3,0)*0.475*44/12</f>
        <v>7.0653466957394217E-18</v>
      </c>
      <c r="AX156" s="21">
        <f t="shared" si="166"/>
        <v>0.62372248940450803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69.518856564652737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1.7053025658242404E-13</v>
      </c>
      <c r="BE156" s="13">
        <f>BD156*VLOOKUP('Données projet'!$B$11,Paramètres!$A$1:$I$89,3,0)*VLOOKUP('Données projet'!$B$11,Paramètres!$A$1:$I$89,5,0)</f>
        <v>1.3301360013429075E-13</v>
      </c>
      <c r="BF156" s="13">
        <f t="shared" si="167"/>
        <v>1.9329766731057041E-12</v>
      </c>
      <c r="BG156" s="20">
        <f t="shared" si="168"/>
        <v>3.5982663925596575E-12</v>
      </c>
      <c r="BH156" s="59">
        <f t="shared" si="116"/>
        <v>291.56914073706361</v>
      </c>
      <c r="BI156" s="59">
        <f ca="1">AVERAGE(OFFSET($BH$3,0,0,'Données projet'!$E$11+1,1))-AVERAGE(OFFSET($H$3,0,0,'Données projet'!$E$11+1,1))</f>
        <v>383.03154033422328</v>
      </c>
      <c r="BJ156" s="59">
        <f t="shared" si="146"/>
        <v>373.27897156169877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0.12655210178795584</v>
      </c>
      <c r="BQ156" s="21">
        <f>EXP(-LN(2)/25)*BQ155+(1-EXP(-LN(2)/25))/(LN(2)/25)*Calculateur!BL156*Calculateur!BN156*VLOOKUP('Données projet'!$B$11,Paramètres!$A$1:$I$89,3,0)*0.475*44/12</f>
        <v>0.27650014773498249</v>
      </c>
      <c r="BR156" s="21">
        <f>EXP(-LN(2)/2)*BR155+(1-EXP(-LN(2)/2))/(LN(2)/2)*BL156*BO156*VLOOKUP('Données projet'!$B$11,Paramètres!$A$1:$I$89,3,0)*0.475*44/12</f>
        <v>4.0083907247817929E-18</v>
      </c>
      <c r="BS156" s="22">
        <f t="shared" si="169"/>
        <v>0.40305224952293833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69.518856564652737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-3.4106051316484809E-13</v>
      </c>
      <c r="BZ156" s="13">
        <f>BY156*VLOOKUP('Données projet'!$B$12,Paramètres!$A$1:$I$89,3,0)*VLOOKUP('Données projet'!$B$12,Paramètres!$A$1:$I$89,5,0)</f>
        <v>-2.8730937629006804E-13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449.94334483948603</v>
      </c>
      <c r="CE156" s="59">
        <f t="shared" si="148"/>
        <v>318.02929110264176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0.19625310554193789</v>
      </c>
      <c r="CL156" s="21">
        <f>EXP(-LN(2)/25)*CL155+(1-EXP(-LN(2)/25))/(LN(2)/25)*Calculateur!CG156*Calculateur!CI156*VLOOKUP('Données projet'!$B$12,Paramètres!$A$1:$I$89,3,0)*0.475*44/12</f>
        <v>0.34698906264908552</v>
      </c>
      <c r="CM156" s="21">
        <f>EXP(-LN(2)/2)*CM155+(1-EXP(-LN(2)/2))/(LN(2)/2)*CG156*CJ156*VLOOKUP('Données projet'!$B$12,Paramètres!$A$1:$I$89,3,0)*0.475*44/12</f>
        <v>6.1536890575795027E-18</v>
      </c>
      <c r="CN156" s="22">
        <f t="shared" si="172"/>
        <v>0.54324216819102344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69.518856564652737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1.1368683772161603E-13</v>
      </c>
      <c r="CU156" s="17">
        <f>CT156*VLOOKUP('Données projet'!$B$13,Paramètres!$A$1:$I$89,3,0)*VLOOKUP('Données projet'!$B$13,Paramètres!$A$1:$I$89,5,0)</f>
        <v>9.7543306765146564E-14</v>
      </c>
      <c r="CV156" s="13">
        <f t="shared" si="173"/>
        <v>1.4696264278629426E-12</v>
      </c>
      <c r="CW156" s="20">
        <f t="shared" si="174"/>
        <v>2.7294872878105889E-12</v>
      </c>
      <c r="CX156" s="59">
        <f t="shared" si="122"/>
        <v>291.56914073706275</v>
      </c>
      <c r="CY156" s="59">
        <f ca="1">AVERAGE(OFFSET($CX$3,0,0,'Données projet'!$E$13+1,1))-AVERAGE(OFFSET($H$3,0,0,'Données projet'!$E$13+1,1))</f>
        <v>565.32667500225568</v>
      </c>
      <c r="CZ156" s="59">
        <f t="shared" si="150"/>
        <v>275.06957234480944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0</v>
      </c>
      <c r="DG156" s="21">
        <f>EXP(-LN(2)/25)*DG155+(1-EXP(-LN(2)/25))/(LN(2)/25)*Calculateur!DB156*Calculateur!DD156*VLOOKUP('Données projet'!$B$13,Paramètres!$A$1:$I$89,3,0)*0.475*44/12</f>
        <v>0.14472294251825832</v>
      </c>
      <c r="DH156" s="21">
        <f>EXP(-LN(2)/2)*DH155+(1-EXP(-LN(2)/2))/(LN(2)/2)*DB156*DE156*VLOOKUP('Données projet'!$B$13,Paramètres!$A$1:$I$89,3,0)*0.475*44/12</f>
        <v>2.1722254653519696E-18</v>
      </c>
      <c r="DI156" s="22">
        <f t="shared" si="175"/>
        <v>0.14472294251825832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69.518856564652737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-1.2505552149377763E-12</v>
      </c>
      <c r="DP156" s="17">
        <f>DO156*VLOOKUP('Données projet'!$B$14,Paramètres!$A$1:$I$89,3,0)*VLOOKUP('Données projet'!$B$14,Paramètres!$A$1:$I$89,5,0)</f>
        <v>-6.9906036515021697E-13</v>
      </c>
      <c r="DQ156" s="13" t="e">
        <f t="shared" si="176"/>
        <v>#NUM!</v>
      </c>
      <c r="DR156" s="20" t="e">
        <f t="shared" si="177"/>
        <v>#NUM!</v>
      </c>
      <c r="DS156" s="59" t="e">
        <f t="shared" si="125"/>
        <v>#NUM!</v>
      </c>
      <c r="DT156" s="59">
        <f ca="1">AVERAGE(OFFSET($DS$3,0,0,'Données projet'!$E$14+1,1))-AVERAGE(OFFSET($H$3,0,0,'Données projet'!$E$14+1,1))</f>
        <v>532.64469322244281</v>
      </c>
      <c r="DU156" s="59">
        <f t="shared" si="152"/>
        <v>525.88014011096413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0.99943711155616688</v>
      </c>
      <c r="EB156" s="21">
        <f>EXP(-LN(2)/25)*EB155+(1-EXP(-LN(2)/25))/(LN(2)/25)*Calculateur!DW156*Calculateur!DY156*VLOOKUP('Données projet'!$B$14,Paramètres!$A$1:$I$89,3,0)*0.475*44/12</f>
        <v>1.2802936163308902</v>
      </c>
      <c r="EC156" s="21">
        <f>EXP(-LN(2)/2)*EC155+(1-EXP(-LN(2)/2))/(LN(2)/2)*DW156*DZ156*VLOOKUP('Données projet'!$B$14,Paramètres!$A$1:$I$89,3,0)*0.475*44/12</f>
        <v>1.1184422181733009E-17</v>
      </c>
      <c r="ED156" s="22">
        <f t="shared" si="178"/>
        <v>2.2797307278870571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69.518856564652737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-1.1368683772161603E-13</v>
      </c>
      <c r="EK156" s="17">
        <f>EJ156*VLOOKUP('Données projet'!$B$15,Paramètres!$A$1:$I$89,3,0)*VLOOKUP('Données projet'!$B$15,Paramètres!$A$1:$I$89,5,0)</f>
        <v>-1.0286385077051818E-13</v>
      </c>
      <c r="EL156" s="13" t="e">
        <f t="shared" si="179"/>
        <v>#NUM!</v>
      </c>
      <c r="EM156" s="20" t="e">
        <f t="shared" si="180"/>
        <v>#NUM!</v>
      </c>
      <c r="EN156" s="59" t="e">
        <f t="shared" si="128"/>
        <v>#NUM!</v>
      </c>
      <c r="EO156" s="59">
        <f ca="1">AVERAGE(OFFSET($EN$3,0,0,'Données projet'!$E$15+1,1))-AVERAGE(OFFSET($H$3,0,0,'Données projet'!$E$15+1,1))</f>
        <v>398.27843768730202</v>
      </c>
      <c r="EP156" s="59">
        <f t="shared" si="154"/>
        <v>252.3617347568813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0</v>
      </c>
      <c r="EW156" s="21">
        <f>EXP(-LN(2)/25)*EW155+(1-EXP(-LN(2)/25))/(LN(2)/25)*Calculateur!ER156*Calculateur!ET156*VLOOKUP('Données projet'!$B$15,Paramètres!$A$1:$I$89,3,0)*0.475*44/12</f>
        <v>0.10259477128719018</v>
      </c>
      <c r="EX156" s="21">
        <f>EXP(-LN(2)/2)*EX155+(1-EXP(-LN(2)/2))/(LN(2)/2)*ER156*EU156*VLOOKUP('Données projet'!$B$15,Paramètres!$A$1:$I$89,3,0)*0.475*44/12</f>
        <v>1.8980172637516947E-18</v>
      </c>
      <c r="EY156" s="22">
        <f t="shared" si="181"/>
        <v>0.10259477128719018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69.518856564652737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-1.1368683772161603E-13</v>
      </c>
      <c r="FF156" s="17">
        <f>FE156*VLOOKUP('Données projet'!$B$16,Paramètres!$A$1:$I$89,3,0)*VLOOKUP('Données projet'!$B$16,Paramètres!$A$1:$I$89,5,0)</f>
        <v>-1.0995790944434703E-13</v>
      </c>
      <c r="FG156" s="13" t="e">
        <f t="shared" si="182"/>
        <v>#NUM!</v>
      </c>
      <c r="FH156" s="20" t="e">
        <f t="shared" si="183"/>
        <v>#NUM!</v>
      </c>
      <c r="FI156" s="59" t="e">
        <f t="shared" si="131"/>
        <v>#NUM!</v>
      </c>
      <c r="FJ156" s="59">
        <f ca="1">AVERAGE(OFFSET($FI$3,0,0,'Données projet'!$E$16+1,1))-AVERAGE(OFFSET($H$3,0,0,'Données projet'!$E$16+1,1))</f>
        <v>422.28024471365825</v>
      </c>
      <c r="FK156" s="59">
        <f t="shared" si="156"/>
        <v>266.49730479813206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0</v>
      </c>
      <c r="FR156" s="21">
        <f>EXP(-LN(2)/25)*FR155+(1-EXP(-LN(2)/25))/(LN(2)/25)*Calculateur!FM156*Calculateur!FO156*VLOOKUP('Données projet'!$B$16,Paramètres!$A$1:$I$89,3,0)*0.475*44/12</f>
        <v>0.10967027275527215</v>
      </c>
      <c r="FS156" s="21">
        <f>EXP(-LN(2)/2)*FS155+(1-EXP(-LN(2)/2))/(LN(2)/2)*FM156*FP156*VLOOKUP('Données projet'!$B$16,Paramètres!$A$1:$I$89,3,0)*0.475*44/12</f>
        <v>2.0289150060793974E-18</v>
      </c>
      <c r="FT156" s="22">
        <f t="shared" si="184"/>
        <v>0.10967027275527215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69.518856564652737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3.4106051316484809E-13</v>
      </c>
      <c r="GA156" s="17">
        <f>FZ156*VLOOKUP('Données projet'!$B$17,Paramètres!$A$1:$I$89,3,0)*VLOOKUP('Données projet'!$B$17,Paramètres!$A$1:$I$89,5,0)</f>
        <v>2.6602720026858149E-13</v>
      </c>
      <c r="GB156" s="13">
        <f t="shared" si="185"/>
        <v>3.5662905043956649E-12</v>
      </c>
      <c r="GC156" s="20">
        <f t="shared" si="186"/>
        <v>6.6746200022902298E-12</v>
      </c>
      <c r="GD156" s="59">
        <f t="shared" si="134"/>
        <v>291.56914073706668</v>
      </c>
      <c r="GE156" s="59">
        <f ca="1">AVERAGE(OFFSET($GD$3,0,0,'Données projet'!$E$17+1,1))-AVERAGE(OFFSET($H$3,0,0,'Données projet'!$E$17+1,1))</f>
        <v>300.95722646933314</v>
      </c>
      <c r="GF156" s="59">
        <f t="shared" si="158"/>
        <v>269.52365224623759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>
        <f>EXP(-LN(2)/35)*GL155+(1-EXP(-LN(2)/35))/(LN(2)/35)*GH156*GI156*VLOOKUP('Données projet'!$B$17,Paramètres!$A$1:$I$89,3,0)*0.475*44/12</f>
        <v>7.7878216484895901E-2</v>
      </c>
      <c r="GM156" s="21">
        <f>EXP(-LN(2)/25)*GM155+(1-EXP(-LN(2)/25))/(LN(2)/25)*Calculateur!GH156*Calculateur!GJ156*VLOOKUP('Données projet'!$B$17,Paramètres!$A$1:$I$89,3,0)*0.475*44/12</f>
        <v>0.20609049719961439</v>
      </c>
      <c r="GN156" s="21">
        <f>EXP(-LN(2)/2)*GN155+(1-EXP(-LN(2)/2))/(LN(2)/2)*GH156*GK156*VLOOKUP('Données projet'!$B$17,Paramètres!$A$1:$I$89,3,0)*0.475*44/12</f>
        <v>2.7166781195044264E-18</v>
      </c>
      <c r="GO156" s="21">
        <f t="shared" si="187"/>
        <v>0.28396871368451027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69.518856564652737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1.4000000000000001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5.1333333333333337</v>
      </c>
      <c r="H157" s="67">
        <f t="shared" si="110"/>
        <v>236.13333333333335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69.527203327580423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-3.4106051316484809E-13</v>
      </c>
      <c r="O157" s="13">
        <f>N157*VLOOKUP('Données projet'!$B$9,Paramètres!$A$1:$I$89,3,0)*VLOOKUP('Données projet'!$B$9,Paramètres!$A$1:$I$89,5,0)</f>
        <v>-3.0859155231155454E-13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479.46542424895119</v>
      </c>
      <c r="T157" s="59">
        <f t="shared" si="142"/>
        <v>337.96395820277337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0.20665690198148939</v>
      </c>
      <c r="AA157" s="21">
        <f>EXP(-LN(2)/25)*AA156+(1-EXP(-LN(2)/25))/(LN(2)/25)*Calculateur!V157*Calculateur!X157*VLOOKUP('Données projet'!$B$9,Paramètres!$A$1:$I$89,3,0)*0.475*44/12</f>
        <v>0.3625006750379241</v>
      </c>
      <c r="AB157" s="21">
        <f>EXP(-LN(2)/2)*AB156+(1-EXP(-LN(2)/2))/(LN(2)/2)*V157*Y157*VLOOKUP('Données projet'!$B$9,Paramètres!$A$1:$I$89,3,0)*0.475*44/12</f>
        <v>4.6736349109596358E-18</v>
      </c>
      <c r="AC157" s="22">
        <f t="shared" si="163"/>
        <v>0.5691575770194135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69.527203327580423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-3.4106051316484809E-13</v>
      </c>
      <c r="AJ157" s="13">
        <f>AI157*VLOOKUP('Données projet'!$B$10,Paramètres!$A$1:$I$89,3,0)*VLOOKUP('Données projet'!$B$10,Paramètres!$A$1:$I$89,5,0)</f>
        <v>-3.2987372833304104E-13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508.94560627895089</v>
      </c>
      <c r="AO157" s="59">
        <f t="shared" si="144"/>
        <v>357.86868650263034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0.22090910211814394</v>
      </c>
      <c r="AV157" s="21">
        <f>EXP(-LN(2)/25)*AV156+(1-EXP(-LN(2)/25))/(LN(2)/25)*Calculateur!AQ157*Calculateur!AS157*VLOOKUP('Données projet'!$B$10,Paramètres!$A$1:$I$89,3,0)*0.475*44/12</f>
        <v>0.38750072159226362</v>
      </c>
      <c r="AW157" s="21">
        <f>EXP(-LN(2)/2)*AW156+(1-EXP(-LN(2)/2))/(LN(2)/2)*AQ157*AT157*VLOOKUP('Données projet'!$B$10,Paramètres!$A$1:$I$89,3,0)*0.475*44/12</f>
        <v>4.9959545599913119E-18</v>
      </c>
      <c r="AX157" s="21">
        <f t="shared" si="166"/>
        <v>0.60840982371040753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69.527203327580423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1.7053025658242404E-13</v>
      </c>
      <c r="BE157" s="13">
        <f>BD157*VLOOKUP('Données projet'!$B$11,Paramètres!$A$1:$I$89,3,0)*VLOOKUP('Données projet'!$B$11,Paramètres!$A$1:$I$89,5,0)</f>
        <v>1.3301360013429075E-13</v>
      </c>
      <c r="BF157" s="13">
        <f t="shared" si="167"/>
        <v>1.9329766731057041E-12</v>
      </c>
      <c r="BG157" s="20">
        <f t="shared" si="168"/>
        <v>3.5982663925596575E-12</v>
      </c>
      <c r="BH157" s="59">
        <f t="shared" si="116"/>
        <v>291.59974553446511</v>
      </c>
      <c r="BI157" s="59">
        <f ca="1">AVERAGE(OFFSET($BH$3,0,0,'Données projet'!$E$11+1,1))-AVERAGE(OFFSET($H$3,0,0,'Données projet'!$E$11+1,1))</f>
        <v>383.03154033422328</v>
      </c>
      <c r="BJ157" s="59">
        <f t="shared" si="146"/>
        <v>373.27897156169877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0.12407049226105432</v>
      </c>
      <c r="BQ157" s="21">
        <f>EXP(-LN(2)/25)*BQ156+(1-EXP(-LN(2)/25))/(LN(2)/25)*Calculateur!BL157*Calculateur!BN157*VLOOKUP('Données projet'!$B$11,Paramètres!$A$1:$I$89,3,0)*0.475*44/12</f>
        <v>0.26893923665465858</v>
      </c>
      <c r="BR157" s="21">
        <f>EXP(-LN(2)/2)*BR156+(1-EXP(-LN(2)/2))/(LN(2)/2)*BL157*BO157*VLOOKUP('Données projet'!$B$11,Paramètres!$A$1:$I$89,3,0)*0.475*44/12</f>
        <v>2.8343602631384659E-18</v>
      </c>
      <c r="BS157" s="22">
        <f t="shared" si="169"/>
        <v>0.3930097289157129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69.527203327580423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-3.4106051316484809E-13</v>
      </c>
      <c r="BZ157" s="13">
        <f>BY157*VLOOKUP('Données projet'!$B$12,Paramètres!$A$1:$I$89,3,0)*VLOOKUP('Données projet'!$B$12,Paramètres!$A$1:$I$89,5,0)</f>
        <v>-2.8730937629006804E-13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449.94334483948603</v>
      </c>
      <c r="CE157" s="59">
        <f t="shared" si="148"/>
        <v>318.02929110264176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0.19240470184483521</v>
      </c>
      <c r="CL157" s="21">
        <f>EXP(-LN(2)/25)*CL156+(1-EXP(-LN(2)/25))/(LN(2)/25)*Calculateur!CG157*Calculateur!CI157*VLOOKUP('Données projet'!$B$12,Paramètres!$A$1:$I$89,3,0)*0.475*44/12</f>
        <v>0.33750062848358453</v>
      </c>
      <c r="CM157" s="21">
        <f>EXP(-LN(2)/2)*CM156+(1-EXP(-LN(2)/2))/(LN(2)/2)*CG157*CJ157*VLOOKUP('Données projet'!$B$12,Paramètres!$A$1:$I$89,3,0)*0.475*44/12</f>
        <v>4.3513152619279212E-18</v>
      </c>
      <c r="CN157" s="22">
        <f t="shared" si="172"/>
        <v>0.5299053303284198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69.527203327580423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1.1368683772161603E-13</v>
      </c>
      <c r="CU157" s="17">
        <f>CT157*VLOOKUP('Données projet'!$B$13,Paramètres!$A$1:$I$89,3,0)*VLOOKUP('Données projet'!$B$13,Paramètres!$A$1:$I$89,5,0)</f>
        <v>9.7543306765146564E-14</v>
      </c>
      <c r="CV157" s="13">
        <f t="shared" si="173"/>
        <v>1.4696264278629426E-12</v>
      </c>
      <c r="CW157" s="20">
        <f t="shared" si="174"/>
        <v>2.7294872878105889E-12</v>
      </c>
      <c r="CX157" s="59">
        <f t="shared" si="122"/>
        <v>291.59974553446426</v>
      </c>
      <c r="CY157" s="59">
        <f ca="1">AVERAGE(OFFSET($CX$3,0,0,'Données projet'!$E$13+1,1))-AVERAGE(OFFSET($H$3,0,0,'Données projet'!$E$13+1,1))</f>
        <v>565.32667500225568</v>
      </c>
      <c r="CZ157" s="59">
        <f t="shared" si="150"/>
        <v>275.06957234480944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0</v>
      </c>
      <c r="DG157" s="21">
        <f>EXP(-LN(2)/25)*DG156+(1-EXP(-LN(2)/25))/(LN(2)/25)*Calculateur!DB157*Calculateur!DD157*VLOOKUP('Données projet'!$B$13,Paramètres!$A$1:$I$89,3,0)*0.475*44/12</f>
        <v>0.14076548604444777</v>
      </c>
      <c r="DH157" s="21">
        <f>EXP(-LN(2)/2)*DH156+(1-EXP(-LN(2)/2))/(LN(2)/2)*DB157*DE157*VLOOKUP('Données projet'!$B$13,Paramètres!$A$1:$I$89,3,0)*0.475*44/12</f>
        <v>1.5359953568164816E-18</v>
      </c>
      <c r="DI157" s="22">
        <f t="shared" si="175"/>
        <v>0.14076548604444777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69.527203327580423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-1.2505552149377763E-12</v>
      </c>
      <c r="DP157" s="17">
        <f>DO157*VLOOKUP('Données projet'!$B$14,Paramètres!$A$1:$I$89,3,0)*VLOOKUP('Données projet'!$B$14,Paramètres!$A$1:$I$89,5,0)</f>
        <v>-6.9906036515021697E-13</v>
      </c>
      <c r="DQ157" s="13" t="e">
        <f t="shared" si="176"/>
        <v>#NUM!</v>
      </c>
      <c r="DR157" s="20" t="e">
        <f t="shared" si="177"/>
        <v>#NUM!</v>
      </c>
      <c r="DS157" s="59" t="e">
        <f t="shared" si="125"/>
        <v>#NUM!</v>
      </c>
      <c r="DT157" s="59">
        <f ca="1">AVERAGE(OFFSET($DS$3,0,0,'Données projet'!$E$14+1,1))-AVERAGE(OFFSET($H$3,0,0,'Données projet'!$E$14+1,1))</f>
        <v>532.64469322244281</v>
      </c>
      <c r="DU157" s="59">
        <f t="shared" si="152"/>
        <v>525.88014011096413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0.97983875939499587</v>
      </c>
      <c r="EB157" s="21">
        <f>EXP(-LN(2)/25)*EB156+(1-EXP(-LN(2)/25))/(LN(2)/25)*Calculateur!DW157*Calculateur!DY157*VLOOKUP('Données projet'!$B$14,Paramètres!$A$1:$I$89,3,0)*0.475*44/12</f>
        <v>1.2452839200646069</v>
      </c>
      <c r="EC157" s="21">
        <f>EXP(-LN(2)/2)*EC156+(1-EXP(-LN(2)/2))/(LN(2)/2)*DW157*DZ157*VLOOKUP('Données projet'!$B$14,Paramètres!$A$1:$I$89,3,0)*0.475*44/12</f>
        <v>7.9085807683566509E-18</v>
      </c>
      <c r="ED157" s="22">
        <f t="shared" si="178"/>
        <v>2.2251226794596026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69.527203327580423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-1.1368683772161603E-13</v>
      </c>
      <c r="EK157" s="17">
        <f>EJ157*VLOOKUP('Données projet'!$B$15,Paramètres!$A$1:$I$89,3,0)*VLOOKUP('Données projet'!$B$15,Paramètres!$A$1:$I$89,5,0)</f>
        <v>-1.0286385077051818E-13</v>
      </c>
      <c r="EL157" s="13" t="e">
        <f t="shared" si="179"/>
        <v>#NUM!</v>
      </c>
      <c r="EM157" s="20" t="e">
        <f t="shared" si="180"/>
        <v>#NUM!</v>
      </c>
      <c r="EN157" s="59" t="e">
        <f t="shared" si="128"/>
        <v>#NUM!</v>
      </c>
      <c r="EO157" s="59">
        <f ca="1">AVERAGE(OFFSET($EN$3,0,0,'Données projet'!$E$15+1,1))-AVERAGE(OFFSET($H$3,0,0,'Données projet'!$E$15+1,1))</f>
        <v>398.27843768730202</v>
      </c>
      <c r="EP157" s="59">
        <f t="shared" si="154"/>
        <v>252.3617347568813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0</v>
      </c>
      <c r="EW157" s="21">
        <f>EXP(-LN(2)/25)*EW156+(1-EXP(-LN(2)/25))/(LN(2)/25)*Calculateur!ER157*Calculateur!ET157*VLOOKUP('Données projet'!$B$15,Paramètres!$A$1:$I$89,3,0)*0.475*44/12</f>
        <v>9.978931187111742E-2</v>
      </c>
      <c r="EX157" s="21">
        <f>EXP(-LN(2)/2)*EX156+(1-EXP(-LN(2)/2))/(LN(2)/2)*ER157*EU157*VLOOKUP('Données projet'!$B$15,Paramètres!$A$1:$I$89,3,0)*0.475*44/12</f>
        <v>1.3421008780079593E-18</v>
      </c>
      <c r="EY157" s="22">
        <f t="shared" si="181"/>
        <v>9.978931187111742E-2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69.527203327580423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-1.1368683772161603E-13</v>
      </c>
      <c r="FF157" s="17">
        <f>FE157*VLOOKUP('Données projet'!$B$16,Paramètres!$A$1:$I$89,3,0)*VLOOKUP('Données projet'!$B$16,Paramètres!$A$1:$I$89,5,0)</f>
        <v>-1.0995790944434703E-13</v>
      </c>
      <c r="FG157" s="13" t="e">
        <f t="shared" si="182"/>
        <v>#NUM!</v>
      </c>
      <c r="FH157" s="20" t="e">
        <f t="shared" si="183"/>
        <v>#NUM!</v>
      </c>
      <c r="FI157" s="59" t="e">
        <f t="shared" si="131"/>
        <v>#NUM!</v>
      </c>
      <c r="FJ157" s="59">
        <f ca="1">AVERAGE(OFFSET($FI$3,0,0,'Données projet'!$E$16+1,1))-AVERAGE(OFFSET($H$3,0,0,'Données projet'!$E$16+1,1))</f>
        <v>422.28024471365825</v>
      </c>
      <c r="FK157" s="59">
        <f t="shared" si="156"/>
        <v>266.49730479813206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0</v>
      </c>
      <c r="FR157" s="21">
        <f>EXP(-LN(2)/25)*FR156+(1-EXP(-LN(2)/25))/(LN(2)/25)*Calculateur!FM157*Calculateur!FO157*VLOOKUP('Données projet'!$B$16,Paramètres!$A$1:$I$89,3,0)*0.475*44/12</f>
        <v>0.10667133337947024</v>
      </c>
      <c r="FS157" s="21">
        <f>EXP(-LN(2)/2)*FS156+(1-EXP(-LN(2)/2))/(LN(2)/2)*FM157*FP157*VLOOKUP('Données projet'!$B$16,Paramètres!$A$1:$I$89,3,0)*0.475*44/12</f>
        <v>1.4346595592498873E-18</v>
      </c>
      <c r="FT157" s="22">
        <f t="shared" si="184"/>
        <v>0.10667133337947024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69.527203327580423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3.4106051316484809E-13</v>
      </c>
      <c r="GA157" s="17">
        <f>FZ157*VLOOKUP('Données projet'!$B$17,Paramètres!$A$1:$I$89,3,0)*VLOOKUP('Données projet'!$B$17,Paramètres!$A$1:$I$89,5,0)</f>
        <v>2.6602720026858149E-13</v>
      </c>
      <c r="GB157" s="13">
        <f t="shared" si="185"/>
        <v>3.5662905043956649E-12</v>
      </c>
      <c r="GC157" s="20">
        <f t="shared" si="186"/>
        <v>6.6746200022902298E-12</v>
      </c>
      <c r="GD157" s="59">
        <f t="shared" si="134"/>
        <v>291.59974553446818</v>
      </c>
      <c r="GE157" s="59">
        <f ca="1">AVERAGE(OFFSET($GD$3,0,0,'Données projet'!$E$17+1,1))-AVERAGE(OFFSET($H$3,0,0,'Données projet'!$E$17+1,1))</f>
        <v>300.95722646933314</v>
      </c>
      <c r="GF157" s="59">
        <f t="shared" si="158"/>
        <v>269.52365224623759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>
        <f>EXP(-LN(2)/35)*GL156+(1-EXP(-LN(2)/35))/(LN(2)/35)*GH157*GI157*VLOOKUP('Données projet'!$B$17,Paramètres!$A$1:$I$89,3,0)*0.475*44/12</f>
        <v>7.6351072160648806E-2</v>
      </c>
      <c r="GM157" s="21">
        <f>EXP(-LN(2)/25)*GM156+(1-EXP(-LN(2)/25))/(LN(2)/25)*Calculateur!GH157*Calculateur!GJ157*VLOOKUP('Données projet'!$B$17,Paramètres!$A$1:$I$89,3,0)*0.475*44/12</f>
        <v>0.20045494171586273</v>
      </c>
      <c r="GN157" s="21">
        <f>EXP(-LN(2)/2)*GN156+(1-EXP(-LN(2)/2))/(LN(2)/2)*GH157*GK157*VLOOKUP('Données projet'!$B$17,Paramètres!$A$1:$I$89,3,0)*0.475*44/12</f>
        <v>1.9209815206026978E-18</v>
      </c>
      <c r="GO157" s="21">
        <f t="shared" si="187"/>
        <v>0.27680601387651155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69.527203327580423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1.4000000000000001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5.1333333333333337</v>
      </c>
      <c r="H158" s="67">
        <f t="shared" si="110"/>
        <v>236.13333333333335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69.535405292831911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-3.4106051316484809E-13</v>
      </c>
      <c r="O158" s="13">
        <f>N158*VLOOKUP('Données projet'!$B$9,Paramètres!$A$1:$I$89,3,0)*VLOOKUP('Données projet'!$B$9,Paramètres!$A$1:$I$89,5,0)</f>
        <v>-3.0859155231155454E-13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479.46542424895119</v>
      </c>
      <c r="T158" s="59">
        <f t="shared" si="142"/>
        <v>337.96395820277337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0.20260448618189636</v>
      </c>
      <c r="AA158" s="21">
        <f>EXP(-LN(2)/25)*AA157+(1-EXP(-LN(2)/25))/(LN(2)/25)*Calculateur!V158*Calculateur!X158*VLOOKUP('Données projet'!$B$9,Paramètres!$A$1:$I$89,3,0)*0.475*44/12</f>
        <v>0.35258807501593009</v>
      </c>
      <c r="AB158" s="21">
        <f>EXP(-LN(2)/2)*AB157+(1-EXP(-LN(2)/2))/(LN(2)/2)*V158*Y158*VLOOKUP('Données projet'!$B$9,Paramètres!$A$1:$I$89,3,0)*0.475*44/12</f>
        <v>3.3047589383297448E-18</v>
      </c>
      <c r="AC158" s="22">
        <f t="shared" si="163"/>
        <v>0.55519256119782645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69.535405292831911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-3.4106051316484809E-13</v>
      </c>
      <c r="AJ158" s="13">
        <f>AI158*VLOOKUP('Données projet'!$B$10,Paramètres!$A$1:$I$89,3,0)*VLOOKUP('Données projet'!$B$10,Paramètres!$A$1:$I$89,5,0)</f>
        <v>-3.2987372833304104E-13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508.94560627895089</v>
      </c>
      <c r="AO158" s="59">
        <f t="shared" si="144"/>
        <v>357.86868650263034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0.21657720936685484</v>
      </c>
      <c r="AV158" s="21">
        <f>EXP(-LN(2)/25)*AV157+(1-EXP(-LN(2)/25))/(LN(2)/25)*Calculateur!AQ158*Calculateur!AS158*VLOOKUP('Données projet'!$B$10,Paramètres!$A$1:$I$89,3,0)*0.475*44/12</f>
        <v>0.37690449398254589</v>
      </c>
      <c r="AW158" s="21">
        <f>EXP(-LN(2)/2)*AW157+(1-EXP(-LN(2)/2))/(LN(2)/2)*AQ158*AT158*VLOOKUP('Données projet'!$B$10,Paramètres!$A$1:$I$89,3,0)*0.475*44/12</f>
        <v>3.5326733478697109E-18</v>
      </c>
      <c r="AX158" s="21">
        <f t="shared" si="166"/>
        <v>0.59348170334940076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69.535405292831911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1.7053025658242404E-13</v>
      </c>
      <c r="BE158" s="13">
        <f>BD158*VLOOKUP('Données projet'!$B$11,Paramètres!$A$1:$I$89,3,0)*VLOOKUP('Données projet'!$B$11,Paramètres!$A$1:$I$89,5,0)</f>
        <v>1.3301360013429075E-13</v>
      </c>
      <c r="BF158" s="13">
        <f t="shared" si="167"/>
        <v>1.9329766731057041E-12</v>
      </c>
      <c r="BG158" s="20">
        <f t="shared" si="168"/>
        <v>3.5982663925596575E-12</v>
      </c>
      <c r="BH158" s="59">
        <f t="shared" si="116"/>
        <v>291.6298194070539</v>
      </c>
      <c r="BI158" s="59">
        <f ca="1">AVERAGE(OFFSET($BH$3,0,0,'Données projet'!$E$11+1,1))-AVERAGE(OFFSET($H$3,0,0,'Données projet'!$E$11+1,1))</f>
        <v>383.03154033422328</v>
      </c>
      <c r="BJ158" s="59">
        <f t="shared" si="146"/>
        <v>373.27897156169877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0.12163754558334298</v>
      </c>
      <c r="BQ158" s="21">
        <f>EXP(-LN(2)/25)*BQ157+(1-EXP(-LN(2)/25))/(LN(2)/25)*Calculateur!BL158*Calculateur!BN158*VLOOKUP('Données projet'!$B$11,Paramètres!$A$1:$I$89,3,0)*0.475*44/12</f>
        <v>0.26158507908543716</v>
      </c>
      <c r="BR158" s="21">
        <f>EXP(-LN(2)/2)*BR157+(1-EXP(-LN(2)/2))/(LN(2)/2)*BL158*BO158*VLOOKUP('Données projet'!$B$11,Paramètres!$A$1:$I$89,3,0)*0.475*44/12</f>
        <v>2.0041953623908964E-18</v>
      </c>
      <c r="BS158" s="22">
        <f t="shared" si="169"/>
        <v>0.38322262466878015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69.535405292831911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-3.4106051316484809E-13</v>
      </c>
      <c r="BZ158" s="13">
        <f>BY158*VLOOKUP('Données projet'!$B$12,Paramètres!$A$1:$I$89,3,0)*VLOOKUP('Données projet'!$B$12,Paramètres!$A$1:$I$89,5,0)</f>
        <v>-2.8730937629006804E-13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449.94334483948603</v>
      </c>
      <c r="CE158" s="59">
        <f t="shared" si="148"/>
        <v>318.02929110264176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0.18863176299693823</v>
      </c>
      <c r="CL158" s="21">
        <f>EXP(-LN(2)/25)*CL157+(1-EXP(-LN(2)/25))/(LN(2)/25)*Calculateur!CG158*Calculateur!CI158*VLOOKUP('Données projet'!$B$12,Paramètres!$A$1:$I$89,3,0)*0.475*44/12</f>
        <v>0.32827165604931424</v>
      </c>
      <c r="CM158" s="21">
        <f>EXP(-LN(2)/2)*CM157+(1-EXP(-LN(2)/2))/(LN(2)/2)*CG158*CJ158*VLOOKUP('Données projet'!$B$12,Paramètres!$A$1:$I$89,3,0)*0.475*44/12</f>
        <v>3.0768445287897514E-18</v>
      </c>
      <c r="CN158" s="22">
        <f t="shared" si="172"/>
        <v>0.51690341904625248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69.535405292831911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1.1368683772161603E-13</v>
      </c>
      <c r="CU158" s="17">
        <f>CT158*VLOOKUP('Données projet'!$B$13,Paramètres!$A$1:$I$89,3,0)*VLOOKUP('Données projet'!$B$13,Paramètres!$A$1:$I$89,5,0)</f>
        <v>9.7543306765146564E-14</v>
      </c>
      <c r="CV158" s="13">
        <f t="shared" si="173"/>
        <v>1.4696264278629426E-12</v>
      </c>
      <c r="CW158" s="20">
        <f t="shared" si="174"/>
        <v>2.7294872878105889E-12</v>
      </c>
      <c r="CX158" s="59">
        <f t="shared" si="122"/>
        <v>291.62981940705305</v>
      </c>
      <c r="CY158" s="59">
        <f ca="1">AVERAGE(OFFSET($CX$3,0,0,'Données projet'!$E$13+1,1))-AVERAGE(OFFSET($H$3,0,0,'Données projet'!$E$13+1,1))</f>
        <v>565.32667500225568</v>
      </c>
      <c r="CZ158" s="59">
        <f t="shared" si="150"/>
        <v>275.06957234480944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0</v>
      </c>
      <c r="DG158" s="21">
        <f>EXP(-LN(2)/25)*DG157+(1-EXP(-LN(2)/25))/(LN(2)/25)*Calculateur!DB158*Calculateur!DD158*VLOOKUP('Données projet'!$B$13,Paramètres!$A$1:$I$89,3,0)*0.475*44/12</f>
        <v>0.13691624642602715</v>
      </c>
      <c r="DH158" s="21">
        <f>EXP(-LN(2)/2)*DH157+(1-EXP(-LN(2)/2))/(LN(2)/2)*DB158*DE158*VLOOKUP('Données projet'!$B$13,Paramètres!$A$1:$I$89,3,0)*0.475*44/12</f>
        <v>1.0861127326759848E-18</v>
      </c>
      <c r="DI158" s="22">
        <f t="shared" si="175"/>
        <v>0.13691624642602715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69.535405292831911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-1.2505552149377763E-12</v>
      </c>
      <c r="DP158" s="17">
        <f>DO158*VLOOKUP('Données projet'!$B$14,Paramètres!$A$1:$I$89,3,0)*VLOOKUP('Données projet'!$B$14,Paramètres!$A$1:$I$89,5,0)</f>
        <v>-6.9906036515021697E-13</v>
      </c>
      <c r="DQ158" s="13" t="e">
        <f t="shared" si="176"/>
        <v>#NUM!</v>
      </c>
      <c r="DR158" s="20" t="e">
        <f t="shared" si="177"/>
        <v>#NUM!</v>
      </c>
      <c r="DS158" s="59" t="e">
        <f t="shared" si="125"/>
        <v>#NUM!</v>
      </c>
      <c r="DT158" s="59">
        <f ca="1">AVERAGE(OFFSET($DS$3,0,0,'Données projet'!$E$14+1,1))-AVERAGE(OFFSET($H$3,0,0,'Données projet'!$E$14+1,1))</f>
        <v>532.64469322244281</v>
      </c>
      <c r="DU158" s="59">
        <f t="shared" si="152"/>
        <v>525.88014011096413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0.96062471896589097</v>
      </c>
      <c r="EB158" s="21">
        <f>EXP(-LN(2)/25)*EB157+(1-EXP(-LN(2)/25))/(LN(2)/25)*Calculateur!DW158*Calculateur!DY158*VLOOKUP('Données projet'!$B$14,Paramètres!$A$1:$I$89,3,0)*0.475*44/12</f>
        <v>1.2112315657838049</v>
      </c>
      <c r="EC158" s="21">
        <f>EXP(-LN(2)/2)*EC157+(1-EXP(-LN(2)/2))/(LN(2)/2)*DW158*DZ158*VLOOKUP('Données projet'!$B$14,Paramètres!$A$1:$I$89,3,0)*0.475*44/12</f>
        <v>5.5922110908665043E-18</v>
      </c>
      <c r="ED158" s="22">
        <f t="shared" si="178"/>
        <v>2.1718562847496958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69.535405292831911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-1.1368683772161603E-13</v>
      </c>
      <c r="EK158" s="17">
        <f>EJ158*VLOOKUP('Données projet'!$B$15,Paramètres!$A$1:$I$89,3,0)*VLOOKUP('Données projet'!$B$15,Paramètres!$A$1:$I$89,5,0)</f>
        <v>-1.0286385077051818E-13</v>
      </c>
      <c r="EL158" s="13" t="e">
        <f t="shared" si="179"/>
        <v>#NUM!</v>
      </c>
      <c r="EM158" s="20" t="e">
        <f t="shared" si="180"/>
        <v>#NUM!</v>
      </c>
      <c r="EN158" s="59" t="e">
        <f t="shared" si="128"/>
        <v>#NUM!</v>
      </c>
      <c r="EO158" s="59">
        <f ca="1">AVERAGE(OFFSET($EN$3,0,0,'Données projet'!$E$15+1,1))-AVERAGE(OFFSET($H$3,0,0,'Données projet'!$E$15+1,1))</f>
        <v>398.27843768730202</v>
      </c>
      <c r="EP158" s="59">
        <f t="shared" si="154"/>
        <v>252.3617347568813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0</v>
      </c>
      <c r="EW158" s="21">
        <f>EXP(-LN(2)/25)*EW157+(1-EXP(-LN(2)/25))/(LN(2)/25)*Calculateur!ER158*Calculateur!ET158*VLOOKUP('Données projet'!$B$15,Paramètres!$A$1:$I$89,3,0)*0.475*44/12</f>
        <v>9.7060567890309868E-2</v>
      </c>
      <c r="EX158" s="21">
        <f>EXP(-LN(2)/2)*EX157+(1-EXP(-LN(2)/2))/(LN(2)/2)*ER158*EU158*VLOOKUP('Données projet'!$B$15,Paramètres!$A$1:$I$89,3,0)*0.475*44/12</f>
        <v>9.4900863187584737E-19</v>
      </c>
      <c r="EY158" s="22">
        <f t="shared" si="181"/>
        <v>9.7060567890309868E-2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69.535405292831911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-1.1368683772161603E-13</v>
      </c>
      <c r="FF158" s="17">
        <f>FE158*VLOOKUP('Données projet'!$B$16,Paramètres!$A$1:$I$89,3,0)*VLOOKUP('Données projet'!$B$16,Paramètres!$A$1:$I$89,5,0)</f>
        <v>-1.0995790944434703E-13</v>
      </c>
      <c r="FG158" s="13" t="e">
        <f t="shared" si="182"/>
        <v>#NUM!</v>
      </c>
      <c r="FH158" s="20" t="e">
        <f t="shared" si="183"/>
        <v>#NUM!</v>
      </c>
      <c r="FI158" s="59" t="e">
        <f t="shared" si="131"/>
        <v>#NUM!</v>
      </c>
      <c r="FJ158" s="59">
        <f ca="1">AVERAGE(OFFSET($FI$3,0,0,'Données projet'!$E$16+1,1))-AVERAGE(OFFSET($H$3,0,0,'Données projet'!$E$16+1,1))</f>
        <v>422.28024471365825</v>
      </c>
      <c r="FK158" s="59">
        <f t="shared" si="156"/>
        <v>266.49730479813206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0</v>
      </c>
      <c r="FR158" s="21">
        <f>EXP(-LN(2)/25)*FR157+(1-EXP(-LN(2)/25))/(LN(2)/25)*Calculateur!FM158*Calculateur!FO158*VLOOKUP('Données projet'!$B$16,Paramètres!$A$1:$I$89,3,0)*0.475*44/12</f>
        <v>0.103754400158607</v>
      </c>
      <c r="FS158" s="21">
        <f>EXP(-LN(2)/2)*FS157+(1-EXP(-LN(2)/2))/(LN(2)/2)*FM158*FP158*VLOOKUP('Données projet'!$B$16,Paramètres!$A$1:$I$89,3,0)*0.475*44/12</f>
        <v>1.0144575030396987E-18</v>
      </c>
      <c r="FT158" s="22">
        <f t="shared" si="184"/>
        <v>0.103754400158607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69.535405292831911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3.4106051316484809E-13</v>
      </c>
      <c r="GA158" s="17">
        <f>FZ158*VLOOKUP('Données projet'!$B$17,Paramètres!$A$1:$I$89,3,0)*VLOOKUP('Données projet'!$B$17,Paramètres!$A$1:$I$89,5,0)</f>
        <v>2.6602720026858149E-13</v>
      </c>
      <c r="GB158" s="13">
        <f t="shared" si="185"/>
        <v>3.5662905043956649E-12</v>
      </c>
      <c r="GC158" s="20">
        <f t="shared" si="186"/>
        <v>6.6746200022902298E-12</v>
      </c>
      <c r="GD158" s="59">
        <f t="shared" si="134"/>
        <v>291.62981940705697</v>
      </c>
      <c r="GE158" s="59">
        <f ca="1">AVERAGE(OFFSET($GD$3,0,0,'Données projet'!$E$17+1,1))-AVERAGE(OFFSET($H$3,0,0,'Données projet'!$E$17+1,1))</f>
        <v>300.95722646933314</v>
      </c>
      <c r="GF158" s="59">
        <f t="shared" si="158"/>
        <v>269.52365224623759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>
        <f>EXP(-LN(2)/35)*GL157+(1-EXP(-LN(2)/35))/(LN(2)/35)*GH158*GI158*VLOOKUP('Données projet'!$B$17,Paramètres!$A$1:$I$89,3,0)*0.475*44/12</f>
        <v>7.4853874205134133E-2</v>
      </c>
      <c r="GM158" s="21">
        <f>EXP(-LN(2)/25)*GM157+(1-EXP(-LN(2)/25))/(LN(2)/25)*Calculateur!GH158*Calculateur!GJ158*VLOOKUP('Données projet'!$B$17,Paramètres!$A$1:$I$89,3,0)*0.475*44/12</f>
        <v>0.19497349079317522</v>
      </c>
      <c r="GN158" s="21">
        <f>EXP(-LN(2)/2)*GN157+(1-EXP(-LN(2)/2))/(LN(2)/2)*GH158*GK158*VLOOKUP('Données projet'!$B$17,Paramètres!$A$1:$I$89,3,0)*0.475*44/12</f>
        <v>1.3583390597522132E-18</v>
      </c>
      <c r="GO158" s="21">
        <f t="shared" si="187"/>
        <v>0.26982736499830934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69.535405292831911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1.4000000000000001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5.1333333333333337</v>
      </c>
      <c r="H159" s="67">
        <f t="shared" si="110"/>
        <v>236.13333333333335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69.543464972323108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-3.4106051316484809E-13</v>
      </c>
      <c r="O159" s="13">
        <f>N159*VLOOKUP('Données projet'!$B$9,Paramètres!$A$1:$I$89,3,0)*VLOOKUP('Données projet'!$B$9,Paramètres!$A$1:$I$89,5,0)</f>
        <v>-3.0859155231155454E-13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479.46542424895119</v>
      </c>
      <c r="T159" s="59">
        <f t="shared" si="142"/>
        <v>337.96395820277337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0.19863153578440376</v>
      </c>
      <c r="AA159" s="21">
        <f>EXP(-LN(2)/25)*AA158+(1-EXP(-LN(2)/25))/(LN(2)/25)*Calculateur!V159*Calculateur!X159*VLOOKUP('Données projet'!$B$9,Paramètres!$A$1:$I$89,3,0)*0.475*44/12</f>
        <v>0.34294653556281846</v>
      </c>
      <c r="AB159" s="21">
        <f>EXP(-LN(2)/2)*AB158+(1-EXP(-LN(2)/2))/(LN(2)/2)*V159*Y159*VLOOKUP('Données projet'!$B$9,Paramètres!$A$1:$I$89,3,0)*0.475*44/12</f>
        <v>2.3368174554798179E-18</v>
      </c>
      <c r="AC159" s="22">
        <f t="shared" si="163"/>
        <v>0.54157807134722225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69.543464972323108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-3.4106051316484809E-13</v>
      </c>
      <c r="AJ159" s="13">
        <f>AI159*VLOOKUP('Données projet'!$B$10,Paramètres!$A$1:$I$89,3,0)*VLOOKUP('Données projet'!$B$10,Paramètres!$A$1:$I$89,5,0)</f>
        <v>-3.2987372833304104E-13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508.94560627895089</v>
      </c>
      <c r="AO159" s="59">
        <f t="shared" si="144"/>
        <v>357.86868650263034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0.21233026239022484</v>
      </c>
      <c r="AV159" s="21">
        <f>EXP(-LN(2)/25)*AV158+(1-EXP(-LN(2)/25))/(LN(2)/25)*Calculateur!AQ159*Calculateur!AS159*VLOOKUP('Données projet'!$B$10,Paramètres!$A$1:$I$89,3,0)*0.475*44/12</f>
        <v>0.36659802077404724</v>
      </c>
      <c r="AW159" s="21">
        <f>EXP(-LN(2)/2)*AW158+(1-EXP(-LN(2)/2))/(LN(2)/2)*AQ159*AT159*VLOOKUP('Données projet'!$B$10,Paramètres!$A$1:$I$89,3,0)*0.475*44/12</f>
        <v>2.497977279995656E-18</v>
      </c>
      <c r="AX159" s="21">
        <f t="shared" si="166"/>
        <v>0.57892828316427214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69.543464972323108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1.7053025658242404E-13</v>
      </c>
      <c r="BE159" s="13">
        <f>BD159*VLOOKUP('Données projet'!$B$11,Paramètres!$A$1:$I$89,3,0)*VLOOKUP('Données projet'!$B$11,Paramètres!$A$1:$I$89,5,0)</f>
        <v>1.3301360013429075E-13</v>
      </c>
      <c r="BF159" s="13">
        <f t="shared" si="167"/>
        <v>1.9329766731057041E-12</v>
      </c>
      <c r="BG159" s="20">
        <f t="shared" si="168"/>
        <v>3.5982663925596575E-12</v>
      </c>
      <c r="BH159" s="59">
        <f t="shared" si="116"/>
        <v>291.65937156518828</v>
      </c>
      <c r="BI159" s="59">
        <f ca="1">AVERAGE(OFFSET($BH$3,0,0,'Données projet'!$E$11+1,1))-AVERAGE(OFFSET($H$3,0,0,'Données projet'!$E$11+1,1))</f>
        <v>383.03154033422328</v>
      </c>
      <c r="BJ159" s="59">
        <f t="shared" si="146"/>
        <v>373.27897156169877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0.11925230750603062</v>
      </c>
      <c r="BQ159" s="21">
        <f>EXP(-LN(2)/25)*BQ158+(1-EXP(-LN(2)/25))/(LN(2)/25)*Calculateur!BL159*Calculateur!BN159*VLOOKUP('Données projet'!$B$11,Paramètres!$A$1:$I$89,3,0)*0.475*44/12</f>
        <v>0.25443202134168441</v>
      </c>
      <c r="BR159" s="21">
        <f>EXP(-LN(2)/2)*BR158+(1-EXP(-LN(2)/2))/(LN(2)/2)*BL159*BO159*VLOOKUP('Données projet'!$B$11,Paramètres!$A$1:$I$89,3,0)*0.475*44/12</f>
        <v>1.417180131569233E-18</v>
      </c>
      <c r="BS159" s="22">
        <f t="shared" si="169"/>
        <v>0.37368432884771502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69.543464972323108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-3.4106051316484809E-13</v>
      </c>
      <c r="BZ159" s="13">
        <f>BY159*VLOOKUP('Données projet'!$B$12,Paramètres!$A$1:$I$89,3,0)*VLOOKUP('Données projet'!$B$12,Paramètres!$A$1:$I$89,5,0)</f>
        <v>-2.8730937629006804E-13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449.94334483948603</v>
      </c>
      <c r="CE159" s="59">
        <f t="shared" si="148"/>
        <v>318.02929110264176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0.18493280917858307</v>
      </c>
      <c r="CL159" s="21">
        <f>EXP(-LN(2)/25)*CL158+(1-EXP(-LN(2)/25))/(LN(2)/25)*Calculateur!CG159*Calculateur!CI159*VLOOKUP('Données projet'!$B$12,Paramètres!$A$1:$I$89,3,0)*0.475*44/12</f>
        <v>0.31929505035158962</v>
      </c>
      <c r="CM159" s="21">
        <f>EXP(-LN(2)/2)*CM158+(1-EXP(-LN(2)/2))/(LN(2)/2)*CG159*CJ159*VLOOKUP('Données projet'!$B$12,Paramètres!$A$1:$I$89,3,0)*0.475*44/12</f>
        <v>2.1756576309639606E-18</v>
      </c>
      <c r="CN159" s="22">
        <f t="shared" si="172"/>
        <v>0.50422785953017268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69.543464972323108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1.1368683772161603E-13</v>
      </c>
      <c r="CU159" s="17">
        <f>CT159*VLOOKUP('Données projet'!$B$13,Paramètres!$A$1:$I$89,3,0)*VLOOKUP('Données projet'!$B$13,Paramètres!$A$1:$I$89,5,0)</f>
        <v>9.7543306765146564E-14</v>
      </c>
      <c r="CV159" s="13">
        <f t="shared" si="173"/>
        <v>1.4696264278629426E-12</v>
      </c>
      <c r="CW159" s="20">
        <f t="shared" si="174"/>
        <v>2.7294872878105889E-12</v>
      </c>
      <c r="CX159" s="59">
        <f t="shared" si="122"/>
        <v>291.65937156518743</v>
      </c>
      <c r="CY159" s="59">
        <f ca="1">AVERAGE(OFFSET($CX$3,0,0,'Données projet'!$E$13+1,1))-AVERAGE(OFFSET($H$3,0,0,'Données projet'!$E$13+1,1))</f>
        <v>565.32667500225568</v>
      </c>
      <c r="CZ159" s="59">
        <f t="shared" si="150"/>
        <v>275.06957234480944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0</v>
      </c>
      <c r="DG159" s="21">
        <f>EXP(-LN(2)/25)*DG158+(1-EXP(-LN(2)/25))/(LN(2)/25)*Calculateur!DB159*Calculateur!DD159*VLOOKUP('Données projet'!$B$13,Paramètres!$A$1:$I$89,3,0)*0.475*44/12</f>
        <v>0.13317226446739497</v>
      </c>
      <c r="DH159" s="21">
        <f>EXP(-LN(2)/2)*DH158+(1-EXP(-LN(2)/2))/(LN(2)/2)*DB159*DE159*VLOOKUP('Données projet'!$B$13,Paramètres!$A$1:$I$89,3,0)*0.475*44/12</f>
        <v>7.679976784082408E-19</v>
      </c>
      <c r="DI159" s="22">
        <f t="shared" si="175"/>
        <v>0.13317226446739497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69.543464972323108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-1.2505552149377763E-12</v>
      </c>
      <c r="DP159" s="17">
        <f>DO159*VLOOKUP('Données projet'!$B$14,Paramètres!$A$1:$I$89,3,0)*VLOOKUP('Données projet'!$B$14,Paramètres!$A$1:$I$89,5,0)</f>
        <v>-6.9906036515021697E-13</v>
      </c>
      <c r="DQ159" s="13" t="e">
        <f t="shared" si="176"/>
        <v>#NUM!</v>
      </c>
      <c r="DR159" s="20" t="e">
        <f t="shared" si="177"/>
        <v>#NUM!</v>
      </c>
      <c r="DS159" s="59" t="e">
        <f t="shared" si="125"/>
        <v>#NUM!</v>
      </c>
      <c r="DT159" s="59">
        <f ca="1">AVERAGE(OFFSET($DS$3,0,0,'Données projet'!$E$14+1,1))-AVERAGE(OFFSET($H$3,0,0,'Données projet'!$E$14+1,1))</f>
        <v>532.64469322244281</v>
      </c>
      <c r="DU159" s="59">
        <f t="shared" si="152"/>
        <v>525.88014011096413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0.94178745415019327</v>
      </c>
      <c r="EB159" s="21">
        <f>EXP(-LN(2)/25)*EB158+(1-EXP(-LN(2)/25))/(LN(2)/25)*Calculateur!DW159*Calculateur!DY159*VLOOKUP('Données projet'!$B$14,Paramètres!$A$1:$I$89,3,0)*0.475*44/12</f>
        <v>1.1781103749215469</v>
      </c>
      <c r="EC159" s="21">
        <f>EXP(-LN(2)/2)*EC158+(1-EXP(-LN(2)/2))/(LN(2)/2)*DW159*DZ159*VLOOKUP('Données projet'!$B$14,Paramètres!$A$1:$I$89,3,0)*0.475*44/12</f>
        <v>3.9542903841783255E-18</v>
      </c>
      <c r="ED159" s="22">
        <f t="shared" si="178"/>
        <v>2.1198978290717401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69.543464972323108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-1.1368683772161603E-13</v>
      </c>
      <c r="EK159" s="17">
        <f>EJ159*VLOOKUP('Données projet'!$B$15,Paramètres!$A$1:$I$89,3,0)*VLOOKUP('Données projet'!$B$15,Paramètres!$A$1:$I$89,5,0)</f>
        <v>-1.0286385077051818E-13</v>
      </c>
      <c r="EL159" s="13" t="e">
        <f t="shared" si="179"/>
        <v>#NUM!</v>
      </c>
      <c r="EM159" s="20" t="e">
        <f t="shared" si="180"/>
        <v>#NUM!</v>
      </c>
      <c r="EN159" s="59" t="e">
        <f t="shared" si="128"/>
        <v>#NUM!</v>
      </c>
      <c r="EO159" s="59">
        <f ca="1">AVERAGE(OFFSET($EN$3,0,0,'Données projet'!$E$15+1,1))-AVERAGE(OFFSET($H$3,0,0,'Données projet'!$E$15+1,1))</f>
        <v>398.27843768730202</v>
      </c>
      <c r="EP159" s="59">
        <f t="shared" si="154"/>
        <v>252.3617347568813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0</v>
      </c>
      <c r="EW159" s="21">
        <f>EXP(-LN(2)/25)*EW158+(1-EXP(-LN(2)/25))/(LN(2)/25)*Calculateur!ER159*Calculateur!ET159*VLOOKUP('Données projet'!$B$15,Paramètres!$A$1:$I$89,3,0)*0.475*44/12</f>
        <v>9.4406441557155912E-2</v>
      </c>
      <c r="EX159" s="21">
        <f>EXP(-LN(2)/2)*EX158+(1-EXP(-LN(2)/2))/(LN(2)/2)*ER159*EU159*VLOOKUP('Données projet'!$B$15,Paramètres!$A$1:$I$89,3,0)*0.475*44/12</f>
        <v>6.7105043900397965E-19</v>
      </c>
      <c r="EY159" s="22">
        <f t="shared" si="181"/>
        <v>9.4406441557155912E-2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69.543464972323108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-1.1368683772161603E-13</v>
      </c>
      <c r="FF159" s="17">
        <f>FE159*VLOOKUP('Données projet'!$B$16,Paramètres!$A$1:$I$89,3,0)*VLOOKUP('Données projet'!$B$16,Paramètres!$A$1:$I$89,5,0)</f>
        <v>-1.0995790944434703E-13</v>
      </c>
      <c r="FG159" s="13" t="e">
        <f t="shared" si="182"/>
        <v>#NUM!</v>
      </c>
      <c r="FH159" s="20" t="e">
        <f t="shared" si="183"/>
        <v>#NUM!</v>
      </c>
      <c r="FI159" s="59" t="e">
        <f t="shared" si="131"/>
        <v>#NUM!</v>
      </c>
      <c r="FJ159" s="59">
        <f ca="1">AVERAGE(OFFSET($FI$3,0,0,'Données projet'!$E$16+1,1))-AVERAGE(OFFSET($H$3,0,0,'Données projet'!$E$16+1,1))</f>
        <v>422.28024471365825</v>
      </c>
      <c r="FK159" s="59">
        <f t="shared" si="156"/>
        <v>266.49730479813206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0</v>
      </c>
      <c r="FR159" s="21">
        <f>EXP(-LN(2)/25)*FR158+(1-EXP(-LN(2)/25))/(LN(2)/25)*Calculateur!FM159*Calculateur!FO159*VLOOKUP('Données projet'!$B$16,Paramètres!$A$1:$I$89,3,0)*0.475*44/12</f>
        <v>0.10091723063006312</v>
      </c>
      <c r="FS159" s="21">
        <f>EXP(-LN(2)/2)*FS158+(1-EXP(-LN(2)/2))/(LN(2)/2)*FM159*FP159*VLOOKUP('Données projet'!$B$16,Paramètres!$A$1:$I$89,3,0)*0.475*44/12</f>
        <v>7.1732977962494363E-19</v>
      </c>
      <c r="FT159" s="22">
        <f t="shared" si="184"/>
        <v>0.10091723063006312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69.543464972323108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3.4106051316484809E-13</v>
      </c>
      <c r="GA159" s="17">
        <f>FZ159*VLOOKUP('Données projet'!$B$17,Paramètres!$A$1:$I$89,3,0)*VLOOKUP('Données projet'!$B$17,Paramètres!$A$1:$I$89,5,0)</f>
        <v>2.6602720026858149E-13</v>
      </c>
      <c r="GB159" s="13">
        <f t="shared" si="185"/>
        <v>3.5662905043956649E-12</v>
      </c>
      <c r="GC159" s="20">
        <f t="shared" si="186"/>
        <v>6.6746200022902298E-12</v>
      </c>
      <c r="GD159" s="59">
        <f t="shared" si="134"/>
        <v>291.65937156519135</v>
      </c>
      <c r="GE159" s="59">
        <f ca="1">AVERAGE(OFFSET($GD$3,0,0,'Données projet'!$E$17+1,1))-AVERAGE(OFFSET($H$3,0,0,'Données projet'!$E$17+1,1))</f>
        <v>300.95722646933314</v>
      </c>
      <c r="GF159" s="59">
        <f t="shared" si="158"/>
        <v>269.52365224623759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>
        <f>EXP(-LN(2)/35)*GL158+(1-EXP(-LN(2)/35))/(LN(2)/35)*GH159*GI159*VLOOKUP('Données projet'!$B$17,Paramètres!$A$1:$I$89,3,0)*0.475*44/12</f>
        <v>7.3386035388326526E-2</v>
      </c>
      <c r="GM159" s="21">
        <f>EXP(-LN(2)/25)*GM158+(1-EXP(-LN(2)/25))/(LN(2)/25)*Calculateur!GH159*Calculateur!GJ159*VLOOKUP('Données projet'!$B$17,Paramètres!$A$1:$I$89,3,0)*0.475*44/12</f>
        <v>0.18964193043422559</v>
      </c>
      <c r="GN159" s="21">
        <f>EXP(-LN(2)/2)*GN158+(1-EXP(-LN(2)/2))/(LN(2)/2)*GH159*GK159*VLOOKUP('Données projet'!$B$17,Paramètres!$A$1:$I$89,3,0)*0.475*44/12</f>
        <v>9.604907603013489E-19</v>
      </c>
      <c r="GO159" s="21">
        <f t="shared" si="187"/>
        <v>0.26302796582255211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69.543464972323108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1.4000000000000001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5.1333333333333337</v>
      </c>
      <c r="H160" s="67">
        <f t="shared" si="110"/>
        <v>236.13333333333335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69.551384834393886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-3.4106051316484809E-13</v>
      </c>
      <c r="O160" s="13">
        <f>N160*VLOOKUP('Données projet'!$B$9,Paramètres!$A$1:$I$89,3,0)*VLOOKUP('Données projet'!$B$9,Paramètres!$A$1:$I$89,5,0)</f>
        <v>-3.0859155231155454E-13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479.46542424895119</v>
      </c>
      <c r="T160" s="59">
        <f t="shared" si="142"/>
        <v>337.96395820277337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0.19473649252094555</v>
      </c>
      <c r="AA160" s="21">
        <f>EXP(-LN(2)/25)*AA159+(1-EXP(-LN(2)/25))/(LN(2)/25)*Calculateur!V160*Calculateur!X160*VLOOKUP('Données projet'!$B$9,Paramètres!$A$1:$I$89,3,0)*0.475*44/12</f>
        <v>0.33356864451307872</v>
      </c>
      <c r="AB160" s="21">
        <f>EXP(-LN(2)/2)*AB159+(1-EXP(-LN(2)/2))/(LN(2)/2)*V160*Y160*VLOOKUP('Données projet'!$B$9,Paramètres!$A$1:$I$89,3,0)*0.475*44/12</f>
        <v>1.6523794691648724E-18</v>
      </c>
      <c r="AC160" s="22">
        <f t="shared" si="163"/>
        <v>0.52830513703402426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69.551384834393886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-3.4106051316484809E-13</v>
      </c>
      <c r="AJ160" s="13">
        <f>AI160*VLOOKUP('Données projet'!$B$10,Paramètres!$A$1:$I$89,3,0)*VLOOKUP('Données projet'!$B$10,Paramètres!$A$1:$I$89,5,0)</f>
        <v>-3.2987372833304104E-13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508.94560627895089</v>
      </c>
      <c r="AO160" s="59">
        <f t="shared" si="144"/>
        <v>357.86868650263034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0.20816659545342467</v>
      </c>
      <c r="AV160" s="21">
        <f>EXP(-LN(2)/25)*AV159+(1-EXP(-LN(2)/25))/(LN(2)/25)*Calculateur!AQ160*Calculateur!AS160*VLOOKUP('Données projet'!$B$10,Paramètres!$A$1:$I$89,3,0)*0.475*44/12</f>
        <v>0.35657337861742888</v>
      </c>
      <c r="AW160" s="21">
        <f>EXP(-LN(2)/2)*AW159+(1-EXP(-LN(2)/2))/(LN(2)/2)*AQ160*AT160*VLOOKUP('Données projet'!$B$10,Paramètres!$A$1:$I$89,3,0)*0.475*44/12</f>
        <v>1.7663366739348554E-18</v>
      </c>
      <c r="AX160" s="21">
        <f t="shared" si="166"/>
        <v>0.56473997407085352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69.551384834393886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1.7053025658242404E-13</v>
      </c>
      <c r="BE160" s="13">
        <f>BD160*VLOOKUP('Données projet'!$B$11,Paramètres!$A$1:$I$89,3,0)*VLOOKUP('Données projet'!$B$11,Paramètres!$A$1:$I$89,5,0)</f>
        <v>1.3301360013429075E-13</v>
      </c>
      <c r="BF160" s="13">
        <f t="shared" si="167"/>
        <v>1.9329766731057041E-12</v>
      </c>
      <c r="BG160" s="20">
        <f t="shared" si="168"/>
        <v>3.5982663925596575E-12</v>
      </c>
      <c r="BH160" s="59">
        <f t="shared" si="116"/>
        <v>291.68841105944784</v>
      </c>
      <c r="BI160" s="59">
        <f ca="1">AVERAGE(OFFSET($BH$3,0,0,'Données projet'!$E$11+1,1))-AVERAGE(OFFSET($H$3,0,0,'Données projet'!$E$11+1,1))</f>
        <v>383.03154033422328</v>
      </c>
      <c r="BJ160" s="59">
        <f t="shared" si="146"/>
        <v>373.27897156169877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0.11691384249256279</v>
      </c>
      <c r="BQ160" s="21">
        <f>EXP(-LN(2)/25)*BQ159+(1-EXP(-LN(2)/25))/(LN(2)/25)*Calculateur!BL160*Calculateur!BN160*VLOOKUP('Données projet'!$B$11,Paramètres!$A$1:$I$89,3,0)*0.475*44/12</f>
        <v>0.24747456433809756</v>
      </c>
      <c r="BR160" s="21">
        <f>EXP(-LN(2)/2)*BR159+(1-EXP(-LN(2)/2))/(LN(2)/2)*BL160*BO160*VLOOKUP('Données projet'!$B$11,Paramètres!$A$1:$I$89,3,0)*0.475*44/12</f>
        <v>1.0020976811954482E-18</v>
      </c>
      <c r="BS160" s="22">
        <f t="shared" si="169"/>
        <v>0.36438840683066032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69.551384834393886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-3.4106051316484809E-13</v>
      </c>
      <c r="BZ160" s="13">
        <f>BY160*VLOOKUP('Données projet'!$B$12,Paramètres!$A$1:$I$89,3,0)*VLOOKUP('Données projet'!$B$12,Paramètres!$A$1:$I$89,5,0)</f>
        <v>-2.8730937629006804E-13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449.94334483948603</v>
      </c>
      <c r="CE160" s="59">
        <f t="shared" si="148"/>
        <v>318.02929110264176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0.18130638958846679</v>
      </c>
      <c r="CL160" s="21">
        <f>EXP(-LN(2)/25)*CL159+(1-EXP(-LN(2)/25))/(LN(2)/25)*Calculateur!CG160*Calculateur!CI160*VLOOKUP('Données projet'!$B$12,Paramètres!$A$1:$I$89,3,0)*0.475*44/12</f>
        <v>0.31056391040872844</v>
      </c>
      <c r="CM160" s="21">
        <f>EXP(-LN(2)/2)*CM159+(1-EXP(-LN(2)/2))/(LN(2)/2)*CG160*CJ160*VLOOKUP('Données projet'!$B$12,Paramètres!$A$1:$I$89,3,0)*0.475*44/12</f>
        <v>1.5384222643948757E-18</v>
      </c>
      <c r="CN160" s="22">
        <f t="shared" si="172"/>
        <v>0.49187029999719523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69.551384834393886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1.1368683772161603E-13</v>
      </c>
      <c r="CU160" s="17">
        <f>CT160*VLOOKUP('Données projet'!$B$13,Paramètres!$A$1:$I$89,3,0)*VLOOKUP('Données projet'!$B$13,Paramètres!$A$1:$I$89,5,0)</f>
        <v>9.7543306765146564E-14</v>
      </c>
      <c r="CV160" s="13">
        <f t="shared" si="173"/>
        <v>1.4696264278629426E-12</v>
      </c>
      <c r="CW160" s="20">
        <f t="shared" si="174"/>
        <v>2.7294872878105889E-12</v>
      </c>
      <c r="CX160" s="59">
        <f t="shared" si="122"/>
        <v>291.68841105944699</v>
      </c>
      <c r="CY160" s="59">
        <f ca="1">AVERAGE(OFFSET($CX$3,0,0,'Données projet'!$E$13+1,1))-AVERAGE(OFFSET($H$3,0,0,'Données projet'!$E$13+1,1))</f>
        <v>565.32667500225568</v>
      </c>
      <c r="CZ160" s="59">
        <f t="shared" si="150"/>
        <v>275.06957234480944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0</v>
      </c>
      <c r="DG160" s="21">
        <f>EXP(-LN(2)/25)*DG159+(1-EXP(-LN(2)/25))/(LN(2)/25)*Calculateur!DB160*Calculateur!DD160*VLOOKUP('Données projet'!$B$13,Paramètres!$A$1:$I$89,3,0)*0.475*44/12</f>
        <v>0.12953066189230902</v>
      </c>
      <c r="DH160" s="21">
        <f>EXP(-LN(2)/2)*DH159+(1-EXP(-LN(2)/2))/(LN(2)/2)*DB160*DE160*VLOOKUP('Données projet'!$B$13,Paramètres!$A$1:$I$89,3,0)*0.475*44/12</f>
        <v>5.4305636633799241E-19</v>
      </c>
      <c r="DI160" s="22">
        <f t="shared" si="175"/>
        <v>0.12953066189230902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69.551384834393886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-1.2505552149377763E-12</v>
      </c>
      <c r="DP160" s="17">
        <f>DO160*VLOOKUP('Données projet'!$B$14,Paramètres!$A$1:$I$89,3,0)*VLOOKUP('Données projet'!$B$14,Paramètres!$A$1:$I$89,5,0)</f>
        <v>-6.9906036515021697E-13</v>
      </c>
      <c r="DQ160" s="13" t="e">
        <f t="shared" si="176"/>
        <v>#NUM!</v>
      </c>
      <c r="DR160" s="20" t="e">
        <f t="shared" si="177"/>
        <v>#NUM!</v>
      </c>
      <c r="DS160" s="59" t="e">
        <f t="shared" si="125"/>
        <v>#NUM!</v>
      </c>
      <c r="DT160" s="59">
        <f ca="1">AVERAGE(OFFSET($DS$3,0,0,'Données projet'!$E$14+1,1))-AVERAGE(OFFSET($H$3,0,0,'Données projet'!$E$14+1,1))</f>
        <v>532.64469322244281</v>
      </c>
      <c r="DU160" s="59">
        <f t="shared" si="152"/>
        <v>525.88014011096413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0.9233195766079344</v>
      </c>
      <c r="EB160" s="21">
        <f>EXP(-LN(2)/25)*EB159+(1-EXP(-LN(2)/25))/(LN(2)/25)*Calculateur!DW160*Calculateur!DY160*VLOOKUP('Données projet'!$B$14,Paramètres!$A$1:$I$89,3,0)*0.475*44/12</f>
        <v>1.1458948847651853</v>
      </c>
      <c r="EC160" s="21">
        <f>EXP(-LN(2)/2)*EC159+(1-EXP(-LN(2)/2))/(LN(2)/2)*DW160*DZ160*VLOOKUP('Données projet'!$B$14,Paramètres!$A$1:$I$89,3,0)*0.475*44/12</f>
        <v>2.7961055454332522E-18</v>
      </c>
      <c r="ED160" s="22">
        <f t="shared" si="178"/>
        <v>2.0692144613731198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69.551384834393886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-1.1368683772161603E-13</v>
      </c>
      <c r="EK160" s="17">
        <f>EJ160*VLOOKUP('Données projet'!$B$15,Paramètres!$A$1:$I$89,3,0)*VLOOKUP('Données projet'!$B$15,Paramètres!$A$1:$I$89,5,0)</f>
        <v>-1.0286385077051818E-13</v>
      </c>
      <c r="EL160" s="13" t="e">
        <f t="shared" si="179"/>
        <v>#NUM!</v>
      </c>
      <c r="EM160" s="20" t="e">
        <f t="shared" si="180"/>
        <v>#NUM!</v>
      </c>
      <c r="EN160" s="59" t="e">
        <f t="shared" si="128"/>
        <v>#NUM!</v>
      </c>
      <c r="EO160" s="59">
        <f ca="1">AVERAGE(OFFSET($EN$3,0,0,'Données projet'!$E$15+1,1))-AVERAGE(OFFSET($H$3,0,0,'Données projet'!$E$15+1,1))</f>
        <v>398.27843768730202</v>
      </c>
      <c r="EP160" s="59">
        <f t="shared" si="154"/>
        <v>252.3617347568813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0</v>
      </c>
      <c r="EW160" s="21">
        <f>EXP(-LN(2)/25)*EW159+(1-EXP(-LN(2)/25))/(LN(2)/25)*Calculateur!ER160*Calculateur!ET160*VLOOKUP('Données projet'!$B$15,Paramètres!$A$1:$I$89,3,0)*0.475*44/12</f>
        <v>9.1824892448156489E-2</v>
      </c>
      <c r="EX160" s="21">
        <f>EXP(-LN(2)/2)*EX159+(1-EXP(-LN(2)/2))/(LN(2)/2)*ER160*EU160*VLOOKUP('Données projet'!$B$15,Paramètres!$A$1:$I$89,3,0)*0.475*44/12</f>
        <v>4.7450431593792369E-19</v>
      </c>
      <c r="EY160" s="22">
        <f t="shared" si="181"/>
        <v>9.1824892448156489E-2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69.551384834393886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-1.1368683772161603E-13</v>
      </c>
      <c r="FF160" s="17">
        <f>FE160*VLOOKUP('Données projet'!$B$16,Paramètres!$A$1:$I$89,3,0)*VLOOKUP('Données projet'!$B$16,Paramètres!$A$1:$I$89,5,0)</f>
        <v>-1.0995790944434703E-13</v>
      </c>
      <c r="FG160" s="13" t="e">
        <f t="shared" si="182"/>
        <v>#NUM!</v>
      </c>
      <c r="FH160" s="20" t="e">
        <f t="shared" si="183"/>
        <v>#NUM!</v>
      </c>
      <c r="FI160" s="59" t="e">
        <f t="shared" si="131"/>
        <v>#NUM!</v>
      </c>
      <c r="FJ160" s="59">
        <f ca="1">AVERAGE(OFFSET($FI$3,0,0,'Données projet'!$E$16+1,1))-AVERAGE(OFFSET($H$3,0,0,'Données projet'!$E$16+1,1))</f>
        <v>422.28024471365825</v>
      </c>
      <c r="FK160" s="59">
        <f t="shared" si="156"/>
        <v>266.49730479813206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0</v>
      </c>
      <c r="FR160" s="21">
        <f>EXP(-LN(2)/25)*FR159+(1-EXP(-LN(2)/25))/(LN(2)/25)*Calculateur!FM160*Calculateur!FO160*VLOOKUP('Données projet'!$B$16,Paramètres!$A$1:$I$89,3,0)*0.475*44/12</f>
        <v>9.8157643651477541E-2</v>
      </c>
      <c r="FS160" s="21">
        <f>EXP(-LN(2)/2)*FS159+(1-EXP(-LN(2)/2))/(LN(2)/2)*FM160*FP160*VLOOKUP('Données projet'!$B$16,Paramètres!$A$1:$I$89,3,0)*0.475*44/12</f>
        <v>5.0722875151984936E-19</v>
      </c>
      <c r="FT160" s="22">
        <f t="shared" si="184"/>
        <v>9.8157643651477541E-2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69.551384834393886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3.4106051316484809E-13</v>
      </c>
      <c r="GA160" s="17">
        <f>FZ160*VLOOKUP('Données projet'!$B$17,Paramètres!$A$1:$I$89,3,0)*VLOOKUP('Données projet'!$B$17,Paramètres!$A$1:$I$89,5,0)</f>
        <v>2.6602720026858149E-13</v>
      </c>
      <c r="GB160" s="13">
        <f t="shared" si="185"/>
        <v>3.5662905043956649E-12</v>
      </c>
      <c r="GC160" s="20">
        <f t="shared" si="186"/>
        <v>6.6746200022902298E-12</v>
      </c>
      <c r="GD160" s="59">
        <f t="shared" si="134"/>
        <v>291.68841105945091</v>
      </c>
      <c r="GE160" s="59">
        <f ca="1">AVERAGE(OFFSET($GD$3,0,0,'Données projet'!$E$17+1,1))-AVERAGE(OFFSET($H$3,0,0,'Données projet'!$E$17+1,1))</f>
        <v>300.95722646933314</v>
      </c>
      <c r="GF160" s="59">
        <f t="shared" si="158"/>
        <v>269.52365224623759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>
        <f>EXP(-LN(2)/35)*GL159+(1-EXP(-LN(2)/35))/(LN(2)/35)*GH160*GI160*VLOOKUP('Données projet'!$B$17,Paramètres!$A$1:$I$89,3,0)*0.475*44/12</f>
        <v>7.1946979995423238E-2</v>
      </c>
      <c r="GM160" s="21">
        <f>EXP(-LN(2)/25)*GM159+(1-EXP(-LN(2)/25))/(LN(2)/25)*Calculateur!GH160*Calculateur!GJ160*VLOOKUP('Données projet'!$B$17,Paramètres!$A$1:$I$89,3,0)*0.475*44/12</f>
        <v>0.18445616187366601</v>
      </c>
      <c r="GN160" s="21">
        <f>EXP(-LN(2)/2)*GN159+(1-EXP(-LN(2)/2))/(LN(2)/2)*GH160*GK160*VLOOKUP('Données projet'!$B$17,Paramètres!$A$1:$I$89,3,0)*0.475*44/12</f>
        <v>6.7916952987610659E-19</v>
      </c>
      <c r="GO160" s="21">
        <f t="shared" si="187"/>
        <v>0.25640314186908925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69.551384834393886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1.4000000000000001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5.1333333333333337</v>
      </c>
      <c r="H161" s="67">
        <f t="shared" si="110"/>
        <v>236.13333333333335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69.5591673045639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-3.4106051316484809E-13</v>
      </c>
      <c r="O161" s="13">
        <f>N161*VLOOKUP('Données projet'!$B$9,Paramètres!$A$1:$I$89,3,0)*VLOOKUP('Données projet'!$B$9,Paramètres!$A$1:$I$89,5,0)</f>
        <v>-3.0859155231155454E-13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479.46542424895119</v>
      </c>
      <c r="T161" s="59">
        <f t="shared" si="142"/>
        <v>337.96395820277337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0.19091782868014193</v>
      </c>
      <c r="AA161" s="21">
        <f>EXP(-LN(2)/25)*AA160+(1-EXP(-LN(2)/25))/(LN(2)/25)*Calculateur!V161*Calculateur!X161*VLOOKUP('Données projet'!$B$9,Paramètres!$A$1:$I$89,3,0)*0.475*44/12</f>
        <v>0.32444719238725594</v>
      </c>
      <c r="AB161" s="21">
        <f>EXP(-LN(2)/2)*AB160+(1-EXP(-LN(2)/2))/(LN(2)/2)*V161*Y161*VLOOKUP('Données projet'!$B$9,Paramètres!$A$1:$I$89,3,0)*0.475*44/12</f>
        <v>1.168408727739909E-18</v>
      </c>
      <c r="AC161" s="22">
        <f t="shared" si="163"/>
        <v>0.5153650210673979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69.5591673045639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-3.4106051316484809E-13</v>
      </c>
      <c r="AJ161" s="13">
        <f>AI161*VLOOKUP('Données projet'!$B$10,Paramètres!$A$1:$I$89,3,0)*VLOOKUP('Données projet'!$B$10,Paramètres!$A$1:$I$89,5,0)</f>
        <v>-3.2987372833304104E-13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508.94560627895089</v>
      </c>
      <c r="AO161" s="59">
        <f t="shared" si="144"/>
        <v>357.86868650263034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0.20408457548566908</v>
      </c>
      <c r="AV161" s="21">
        <f>EXP(-LN(2)/25)*AV160+(1-EXP(-LN(2)/25))/(LN(2)/25)*Calculateur!AQ161*Calculateur!AS161*VLOOKUP('Données projet'!$B$10,Paramètres!$A$1:$I$89,3,0)*0.475*44/12</f>
        <v>0.34682286082775626</v>
      </c>
      <c r="AW161" s="21">
        <f>EXP(-LN(2)/2)*AW160+(1-EXP(-LN(2)/2))/(LN(2)/2)*AQ161*AT161*VLOOKUP('Données projet'!$B$10,Paramètres!$A$1:$I$89,3,0)*0.475*44/12</f>
        <v>1.248988639997828E-18</v>
      </c>
      <c r="AX161" s="21">
        <f t="shared" si="166"/>
        <v>0.55090743631342531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69.5591673045639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1.7053025658242404E-13</v>
      </c>
      <c r="BE161" s="13">
        <f>BD161*VLOOKUP('Données projet'!$B$11,Paramètres!$A$1:$I$89,3,0)*VLOOKUP('Données projet'!$B$11,Paramètres!$A$1:$I$89,5,0)</f>
        <v>1.3301360013429075E-13</v>
      </c>
      <c r="BF161" s="13">
        <f t="shared" si="167"/>
        <v>1.9329766731057041E-12</v>
      </c>
      <c r="BG161" s="20">
        <f t="shared" si="168"/>
        <v>3.5982663925596575E-12</v>
      </c>
      <c r="BH161" s="59">
        <f t="shared" si="116"/>
        <v>291.71694678340452</v>
      </c>
      <c r="BI161" s="59">
        <f ca="1">AVERAGE(OFFSET($BH$3,0,0,'Données projet'!$E$11+1,1))-AVERAGE(OFFSET($H$3,0,0,'Données projet'!$E$11+1,1))</f>
        <v>383.03154033422328</v>
      </c>
      <c r="BJ161" s="59">
        <f t="shared" si="146"/>
        <v>373.27897156169877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0.11462123335168624</v>
      </c>
      <c r="BQ161" s="21">
        <f>EXP(-LN(2)/25)*BQ160+(1-EXP(-LN(2)/25))/(LN(2)/25)*Calculateur!BL161*Calculateur!BN161*VLOOKUP('Données projet'!$B$11,Paramètres!$A$1:$I$89,3,0)*0.475*44/12</f>
        <v>0.24070735936215054</v>
      </c>
      <c r="BR161" s="21">
        <f>EXP(-LN(2)/2)*BR160+(1-EXP(-LN(2)/2))/(LN(2)/2)*BL161*BO161*VLOOKUP('Données projet'!$B$11,Paramètres!$A$1:$I$89,3,0)*0.475*44/12</f>
        <v>7.0859006578461648E-19</v>
      </c>
      <c r="BS161" s="22">
        <f t="shared" si="169"/>
        <v>0.35532859271383677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69.5591673045639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-3.4106051316484809E-13</v>
      </c>
      <c r="BZ161" s="13">
        <f>BY161*VLOOKUP('Données projet'!$B$12,Paramètres!$A$1:$I$89,3,0)*VLOOKUP('Données projet'!$B$12,Paramètres!$A$1:$I$89,5,0)</f>
        <v>-2.8730937629006804E-13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449.94334483948603</v>
      </c>
      <c r="CE161" s="59">
        <f t="shared" si="148"/>
        <v>318.02929110264176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0.17775108187461514</v>
      </c>
      <c r="CL161" s="21">
        <f>EXP(-LN(2)/25)*CL160+(1-EXP(-LN(2)/25))/(LN(2)/25)*Calculateur!CG161*Calculateur!CI161*VLOOKUP('Données projet'!$B$12,Paramètres!$A$1:$I$89,3,0)*0.475*44/12</f>
        <v>0.30207152394675552</v>
      </c>
      <c r="CM161" s="21">
        <f>EXP(-LN(2)/2)*CM160+(1-EXP(-LN(2)/2))/(LN(2)/2)*CG161*CJ161*VLOOKUP('Données projet'!$B$12,Paramètres!$A$1:$I$89,3,0)*0.475*44/12</f>
        <v>1.0878288154819803E-18</v>
      </c>
      <c r="CN161" s="22">
        <f t="shared" si="172"/>
        <v>0.47982260582137065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69.5591673045639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1.1368683772161603E-13</v>
      </c>
      <c r="CU161" s="17">
        <f>CT161*VLOOKUP('Données projet'!$B$13,Paramètres!$A$1:$I$89,3,0)*VLOOKUP('Données projet'!$B$13,Paramètres!$A$1:$I$89,5,0)</f>
        <v>9.7543306765146564E-14</v>
      </c>
      <c r="CV161" s="13">
        <f t="shared" si="173"/>
        <v>1.4696264278629426E-12</v>
      </c>
      <c r="CW161" s="20">
        <f t="shared" si="174"/>
        <v>2.7294872878105889E-12</v>
      </c>
      <c r="CX161" s="59">
        <f t="shared" si="122"/>
        <v>291.71694678340367</v>
      </c>
      <c r="CY161" s="59">
        <f ca="1">AVERAGE(OFFSET($CX$3,0,0,'Données projet'!$E$13+1,1))-AVERAGE(OFFSET($H$3,0,0,'Données projet'!$E$13+1,1))</f>
        <v>565.32667500225568</v>
      </c>
      <c r="CZ161" s="59">
        <f t="shared" si="150"/>
        <v>275.06957234480944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0</v>
      </c>
      <c r="DG161" s="21">
        <f>EXP(-LN(2)/25)*DG160+(1-EXP(-LN(2)/25))/(LN(2)/25)*Calculateur!DB161*Calculateur!DD161*VLOOKUP('Données projet'!$B$13,Paramètres!$A$1:$I$89,3,0)*0.475*44/12</f>
        <v>0.12598863913114236</v>
      </c>
      <c r="DH161" s="21">
        <f>EXP(-LN(2)/2)*DH160+(1-EXP(-LN(2)/2))/(LN(2)/2)*DB161*DE161*VLOOKUP('Données projet'!$B$13,Paramètres!$A$1:$I$89,3,0)*0.475*44/12</f>
        <v>3.839988392041204E-19</v>
      </c>
      <c r="DI161" s="22">
        <f t="shared" si="175"/>
        <v>0.12598863913114236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69.5591673045639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-1.2505552149377763E-12</v>
      </c>
      <c r="DP161" s="17">
        <f>DO161*VLOOKUP('Données projet'!$B$14,Paramètres!$A$1:$I$89,3,0)*VLOOKUP('Données projet'!$B$14,Paramètres!$A$1:$I$89,5,0)</f>
        <v>-6.9906036515021697E-13</v>
      </c>
      <c r="DQ161" s="13" t="e">
        <f t="shared" si="176"/>
        <v>#NUM!</v>
      </c>
      <c r="DR161" s="20" t="e">
        <f t="shared" si="177"/>
        <v>#NUM!</v>
      </c>
      <c r="DS161" s="59" t="e">
        <f t="shared" si="125"/>
        <v>#NUM!</v>
      </c>
      <c r="DT161" s="59">
        <f ca="1">AVERAGE(OFFSET($DS$3,0,0,'Données projet'!$E$14+1,1))-AVERAGE(OFFSET($H$3,0,0,'Données projet'!$E$14+1,1))</f>
        <v>532.64469322244281</v>
      </c>
      <c r="DU161" s="59">
        <f t="shared" si="152"/>
        <v>525.88014011096413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0.90521384287998619</v>
      </c>
      <c r="EB161" s="21">
        <f>EXP(-LN(2)/25)*EB160+(1-EXP(-LN(2)/25))/(LN(2)/25)*Calculateur!DW161*Calculateur!DY161*VLOOKUP('Données projet'!$B$14,Paramètres!$A$1:$I$89,3,0)*0.475*44/12</f>
        <v>1.1145603288812882</v>
      </c>
      <c r="EC161" s="21">
        <f>EXP(-LN(2)/2)*EC160+(1-EXP(-LN(2)/2))/(LN(2)/2)*DW161*DZ161*VLOOKUP('Données projet'!$B$14,Paramètres!$A$1:$I$89,3,0)*0.475*44/12</f>
        <v>1.9771451920891627E-18</v>
      </c>
      <c r="ED161" s="22">
        <f t="shared" si="178"/>
        <v>2.0197741717612745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69.5591673045639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-1.1368683772161603E-13</v>
      </c>
      <c r="EK161" s="17">
        <f>EJ161*VLOOKUP('Données projet'!$B$15,Paramètres!$A$1:$I$89,3,0)*VLOOKUP('Données projet'!$B$15,Paramètres!$A$1:$I$89,5,0)</f>
        <v>-1.0286385077051818E-13</v>
      </c>
      <c r="EL161" s="13" t="e">
        <f t="shared" si="179"/>
        <v>#NUM!</v>
      </c>
      <c r="EM161" s="20" t="e">
        <f t="shared" si="180"/>
        <v>#NUM!</v>
      </c>
      <c r="EN161" s="59" t="e">
        <f t="shared" si="128"/>
        <v>#NUM!</v>
      </c>
      <c r="EO161" s="59">
        <f ca="1">AVERAGE(OFFSET($EN$3,0,0,'Données projet'!$E$15+1,1))-AVERAGE(OFFSET($H$3,0,0,'Données projet'!$E$15+1,1))</f>
        <v>398.27843768730202</v>
      </c>
      <c r="EP161" s="59">
        <f t="shared" si="154"/>
        <v>252.3617347568813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0</v>
      </c>
      <c r="EW161" s="21">
        <f>EXP(-LN(2)/25)*EW160+(1-EXP(-LN(2)/25))/(LN(2)/25)*Calculateur!ER161*Calculateur!ET161*VLOOKUP('Données projet'!$B$15,Paramètres!$A$1:$I$89,3,0)*0.475*44/12</f>
        <v>8.9313935935300431E-2</v>
      </c>
      <c r="EX161" s="21">
        <f>EXP(-LN(2)/2)*EX160+(1-EXP(-LN(2)/2))/(LN(2)/2)*ER161*EU161*VLOOKUP('Données projet'!$B$15,Paramètres!$A$1:$I$89,3,0)*0.475*44/12</f>
        <v>3.3552521950198982E-19</v>
      </c>
      <c r="EY161" s="22">
        <f t="shared" si="181"/>
        <v>8.9313935935300431E-2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69.5591673045639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-1.1368683772161603E-13</v>
      </c>
      <c r="FF161" s="17">
        <f>FE161*VLOOKUP('Données projet'!$B$16,Paramètres!$A$1:$I$89,3,0)*VLOOKUP('Données projet'!$B$16,Paramètres!$A$1:$I$89,5,0)</f>
        <v>-1.0995790944434703E-13</v>
      </c>
      <c r="FG161" s="13" t="e">
        <f t="shared" si="182"/>
        <v>#NUM!</v>
      </c>
      <c r="FH161" s="20" t="e">
        <f t="shared" si="183"/>
        <v>#NUM!</v>
      </c>
      <c r="FI161" s="59" t="e">
        <f t="shared" si="131"/>
        <v>#NUM!</v>
      </c>
      <c r="FJ161" s="59">
        <f ca="1">AVERAGE(OFFSET($FI$3,0,0,'Données projet'!$E$16+1,1))-AVERAGE(OFFSET($H$3,0,0,'Données projet'!$E$16+1,1))</f>
        <v>422.28024471365825</v>
      </c>
      <c r="FK161" s="59">
        <f t="shared" si="156"/>
        <v>266.49730479813206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0</v>
      </c>
      <c r="FR161" s="21">
        <f>EXP(-LN(2)/25)*FR160+(1-EXP(-LN(2)/25))/(LN(2)/25)*Calculateur!FM161*Calculateur!FO161*VLOOKUP('Données projet'!$B$16,Paramètres!$A$1:$I$89,3,0)*0.475*44/12</f>
        <v>9.5473517723941748E-2</v>
      </c>
      <c r="FS161" s="21">
        <f>EXP(-LN(2)/2)*FS160+(1-EXP(-LN(2)/2))/(LN(2)/2)*FM161*FP161*VLOOKUP('Données projet'!$B$16,Paramètres!$A$1:$I$89,3,0)*0.475*44/12</f>
        <v>3.5866488981247181E-19</v>
      </c>
      <c r="FT161" s="22">
        <f t="shared" si="184"/>
        <v>9.5473517723941748E-2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69.5591673045639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3.4106051316484809E-13</v>
      </c>
      <c r="GA161" s="17">
        <f>FZ161*VLOOKUP('Données projet'!$B$17,Paramètres!$A$1:$I$89,3,0)*VLOOKUP('Données projet'!$B$17,Paramètres!$A$1:$I$89,5,0)</f>
        <v>2.6602720026858149E-13</v>
      </c>
      <c r="GB161" s="13">
        <f t="shared" si="185"/>
        <v>3.5662905043956649E-12</v>
      </c>
      <c r="GC161" s="20">
        <f t="shared" si="186"/>
        <v>6.6746200022902298E-12</v>
      </c>
      <c r="GD161" s="59">
        <f t="shared" si="134"/>
        <v>291.71694678340759</v>
      </c>
      <c r="GE161" s="59">
        <f ca="1">AVERAGE(OFFSET($GD$3,0,0,'Données projet'!$E$17+1,1))-AVERAGE(OFFSET($H$3,0,0,'Données projet'!$E$17+1,1))</f>
        <v>300.95722646933314</v>
      </c>
      <c r="GF161" s="59">
        <f t="shared" si="158"/>
        <v>269.52365224623759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>
        <f>EXP(-LN(2)/35)*GL160+(1-EXP(-LN(2)/35))/(LN(2)/35)*GH161*GI161*VLOOKUP('Données projet'!$B$17,Paramètres!$A$1:$I$89,3,0)*0.475*44/12</f>
        <v>7.0536143601037674E-2</v>
      </c>
      <c r="GM161" s="21">
        <f>EXP(-LN(2)/25)*GM160+(1-EXP(-LN(2)/25))/(LN(2)/25)*Calculateur!GH161*Calculateur!GJ161*VLOOKUP('Données projet'!$B$17,Paramètres!$A$1:$I$89,3,0)*0.475*44/12</f>
        <v>0.17941219842710263</v>
      </c>
      <c r="GN161" s="21">
        <f>EXP(-LN(2)/2)*GN160+(1-EXP(-LN(2)/2))/(LN(2)/2)*GH161*GK161*VLOOKUP('Données projet'!$B$17,Paramètres!$A$1:$I$89,3,0)*0.475*44/12</f>
        <v>4.8024538015067445E-19</v>
      </c>
      <c r="GO161" s="21">
        <f t="shared" si="187"/>
        <v>0.24994834202814031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69.5591673045639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1.4000000000000001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5.1333333333333337</v>
      </c>
      <c r="H162" s="67">
        <f t="shared" si="110"/>
        <v>236.13333333333335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69.566814766275456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-3.4106051316484809E-13</v>
      </c>
      <c r="O162" s="13">
        <f>N162*VLOOKUP('Données projet'!$B$9,Paramètres!$A$1:$I$89,3,0)*VLOOKUP('Données projet'!$B$9,Paramètres!$A$1:$I$89,5,0)</f>
        <v>-3.0859155231155454E-13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479.46542424895119</v>
      </c>
      <c r="T162" s="59">
        <f t="shared" si="142"/>
        <v>337.96395820277337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0.18717404650810152</v>
      </c>
      <c r="AA162" s="21">
        <f>EXP(-LN(2)/25)*AA161+(1-EXP(-LN(2)/25))/(LN(2)/25)*Calculateur!V162*Calculateur!X162*VLOOKUP('Données projet'!$B$9,Paramètres!$A$1:$I$89,3,0)*0.475*44/12</f>
        <v>0.31557516684949011</v>
      </c>
      <c r="AB162" s="21">
        <f>EXP(-LN(2)/2)*AB161+(1-EXP(-LN(2)/2))/(LN(2)/2)*V162*Y162*VLOOKUP('Données projet'!$B$9,Paramètres!$A$1:$I$89,3,0)*0.475*44/12</f>
        <v>8.261897345824362E-19</v>
      </c>
      <c r="AC162" s="22">
        <f t="shared" si="163"/>
        <v>0.5027492133575916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69.566814766275456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-3.4106051316484809E-13</v>
      </c>
      <c r="AJ162" s="13">
        <f>AI162*VLOOKUP('Données projet'!$B$10,Paramètres!$A$1:$I$89,3,0)*VLOOKUP('Données projet'!$B$10,Paramètres!$A$1:$I$89,5,0)</f>
        <v>-3.2987372833304104E-13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508.94560627895089</v>
      </c>
      <c r="AO162" s="59">
        <f t="shared" si="144"/>
        <v>357.86868650263034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0.20008260143969483</v>
      </c>
      <c r="AV162" s="21">
        <f>EXP(-LN(2)/25)*AV161+(1-EXP(-LN(2)/25))/(LN(2)/25)*Calculateur!AQ162*Calculateur!AS162*VLOOKUP('Données projet'!$B$10,Paramètres!$A$1:$I$89,3,0)*0.475*44/12</f>
        <v>0.33733897145979969</v>
      </c>
      <c r="AW162" s="21">
        <f>EXP(-LN(2)/2)*AW161+(1-EXP(-LN(2)/2))/(LN(2)/2)*AQ162*AT162*VLOOKUP('Données projet'!$B$10,Paramètres!$A$1:$I$89,3,0)*0.475*44/12</f>
        <v>8.8316833696742771E-19</v>
      </c>
      <c r="AX162" s="21">
        <f t="shared" si="166"/>
        <v>0.53742157289949455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69.566814766275456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1.7053025658242404E-13</v>
      </c>
      <c r="BE162" s="13">
        <f>BD162*VLOOKUP('Données projet'!$B$11,Paramètres!$A$1:$I$89,3,0)*VLOOKUP('Données projet'!$B$11,Paramètres!$A$1:$I$89,5,0)</f>
        <v>1.3301360013429075E-13</v>
      </c>
      <c r="BF162" s="13">
        <f t="shared" si="167"/>
        <v>1.9329766731057041E-12</v>
      </c>
      <c r="BG162" s="20">
        <f t="shared" si="168"/>
        <v>3.5982663925596575E-12</v>
      </c>
      <c r="BH162" s="59">
        <f t="shared" si="116"/>
        <v>291.74498747634692</v>
      </c>
      <c r="BI162" s="59">
        <f ca="1">AVERAGE(OFFSET($BH$3,0,0,'Données projet'!$E$11+1,1))-AVERAGE(OFFSET($H$3,0,0,'Données projet'!$E$11+1,1))</f>
        <v>383.03154033422328</v>
      </c>
      <c r="BJ162" s="59">
        <f t="shared" si="146"/>
        <v>373.27897156169877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0.11237358087770878</v>
      </c>
      <c r="BQ162" s="21">
        <f>EXP(-LN(2)/25)*BQ161+(1-EXP(-LN(2)/25))/(LN(2)/25)*Calculateur!BL162*Calculateur!BN162*VLOOKUP('Données projet'!$B$11,Paramètres!$A$1:$I$89,3,0)*0.475*44/12</f>
        <v>0.23412520396214265</v>
      </c>
      <c r="BR162" s="21">
        <f>EXP(-LN(2)/2)*BR161+(1-EXP(-LN(2)/2))/(LN(2)/2)*BL162*BO162*VLOOKUP('Données projet'!$B$11,Paramètres!$A$1:$I$89,3,0)*0.475*44/12</f>
        <v>5.0104884059772411E-19</v>
      </c>
      <c r="BS162" s="22">
        <f t="shared" si="169"/>
        <v>0.34649878483985141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69.566814766275456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-3.4106051316484809E-13</v>
      </c>
      <c r="BZ162" s="13">
        <f>BY162*VLOOKUP('Données projet'!$B$12,Paramètres!$A$1:$I$89,3,0)*VLOOKUP('Données projet'!$B$12,Paramètres!$A$1:$I$89,5,0)</f>
        <v>-2.8730937629006804E-13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449.94334483948603</v>
      </c>
      <c r="CE162" s="59">
        <f t="shared" si="148"/>
        <v>318.02929110264176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0.17426549157650853</v>
      </c>
      <c r="CL162" s="21">
        <f>EXP(-LN(2)/25)*CL161+(1-EXP(-LN(2)/25))/(LN(2)/25)*Calculateur!CG162*Calculateur!CI162*VLOOKUP('Données projet'!$B$12,Paramètres!$A$1:$I$89,3,0)*0.475*44/12</f>
        <v>0.29381136223918042</v>
      </c>
      <c r="CM162" s="21">
        <f>EXP(-LN(2)/2)*CM161+(1-EXP(-LN(2)/2))/(LN(2)/2)*CG162*CJ162*VLOOKUP('Données projet'!$B$12,Paramètres!$A$1:$I$89,3,0)*0.475*44/12</f>
        <v>7.6921113219743784E-19</v>
      </c>
      <c r="CN162" s="22">
        <f t="shared" si="172"/>
        <v>0.46807685381568898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69.566814766275456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1.1368683772161603E-13</v>
      </c>
      <c r="CU162" s="17">
        <f>CT162*VLOOKUP('Données projet'!$B$13,Paramètres!$A$1:$I$89,3,0)*VLOOKUP('Données projet'!$B$13,Paramètres!$A$1:$I$89,5,0)</f>
        <v>9.7543306765146564E-14</v>
      </c>
      <c r="CV162" s="13">
        <f t="shared" si="173"/>
        <v>1.4696264278629426E-12</v>
      </c>
      <c r="CW162" s="20">
        <f t="shared" si="174"/>
        <v>2.7294872878105889E-12</v>
      </c>
      <c r="CX162" s="59">
        <f t="shared" si="122"/>
        <v>291.74498747634607</v>
      </c>
      <c r="CY162" s="59">
        <f ca="1">AVERAGE(OFFSET($CX$3,0,0,'Données projet'!$E$13+1,1))-AVERAGE(OFFSET($H$3,0,0,'Données projet'!$E$13+1,1))</f>
        <v>565.32667500225568</v>
      </c>
      <c r="CZ162" s="59">
        <f t="shared" si="150"/>
        <v>275.06957234480944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0</v>
      </c>
      <c r="DG162" s="21">
        <f>EXP(-LN(2)/25)*DG161+(1-EXP(-LN(2)/25))/(LN(2)/25)*Calculateur!DB162*Calculateur!DD162*VLOOKUP('Données projet'!$B$13,Paramètres!$A$1:$I$89,3,0)*0.475*44/12</f>
        <v>0.12254347316864669</v>
      </c>
      <c r="DH162" s="21">
        <f>EXP(-LN(2)/2)*DH161+(1-EXP(-LN(2)/2))/(LN(2)/2)*DB162*DE162*VLOOKUP('Données projet'!$B$13,Paramètres!$A$1:$I$89,3,0)*0.475*44/12</f>
        <v>2.715281831689962E-19</v>
      </c>
      <c r="DI162" s="22">
        <f t="shared" si="175"/>
        <v>0.12254347316864669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69.566814766275456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-1.2505552149377763E-12</v>
      </c>
      <c r="DP162" s="17">
        <f>DO162*VLOOKUP('Données projet'!$B$14,Paramètres!$A$1:$I$89,3,0)*VLOOKUP('Données projet'!$B$14,Paramètres!$A$1:$I$89,5,0)</f>
        <v>-6.9906036515021697E-13</v>
      </c>
      <c r="DQ162" s="13" t="e">
        <f t="shared" si="176"/>
        <v>#NUM!</v>
      </c>
      <c r="DR162" s="20" t="e">
        <f t="shared" si="177"/>
        <v>#NUM!</v>
      </c>
      <c r="DS162" s="59" t="e">
        <f t="shared" si="125"/>
        <v>#NUM!</v>
      </c>
      <c r="DT162" s="59">
        <f ca="1">AVERAGE(OFFSET($DS$3,0,0,'Données projet'!$E$14+1,1))-AVERAGE(OFFSET($H$3,0,0,'Données projet'!$E$14+1,1))</f>
        <v>532.64469322244281</v>
      </c>
      <c r="DU162" s="59">
        <f t="shared" si="152"/>
        <v>525.88014011096413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0.88746315154703592</v>
      </c>
      <c r="EB162" s="21">
        <f>EXP(-LN(2)/25)*EB161+(1-EXP(-LN(2)/25))/(LN(2)/25)*Calculateur!DW162*Calculateur!DY162*VLOOKUP('Données projet'!$B$14,Paramètres!$A$1:$I$89,3,0)*0.475*44/12</f>
        <v>1.0840826180758489</v>
      </c>
      <c r="EC162" s="21">
        <f>EXP(-LN(2)/2)*EC161+(1-EXP(-LN(2)/2))/(LN(2)/2)*DW162*DZ162*VLOOKUP('Données projet'!$B$14,Paramètres!$A$1:$I$89,3,0)*0.475*44/12</f>
        <v>1.3980527727166261E-18</v>
      </c>
      <c r="ED162" s="22">
        <f t="shared" si="178"/>
        <v>1.9715457696228849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69.566814766275456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-1.1368683772161603E-13</v>
      </c>
      <c r="EK162" s="17">
        <f>EJ162*VLOOKUP('Données projet'!$B$15,Paramètres!$A$1:$I$89,3,0)*VLOOKUP('Données projet'!$B$15,Paramètres!$A$1:$I$89,5,0)</f>
        <v>-1.0286385077051818E-13</v>
      </c>
      <c r="EL162" s="13" t="e">
        <f t="shared" si="179"/>
        <v>#NUM!</v>
      </c>
      <c r="EM162" s="20" t="e">
        <f t="shared" si="180"/>
        <v>#NUM!</v>
      </c>
      <c r="EN162" s="59" t="e">
        <f t="shared" si="128"/>
        <v>#NUM!</v>
      </c>
      <c r="EO162" s="59">
        <f ca="1">AVERAGE(OFFSET($EN$3,0,0,'Données projet'!$E$15+1,1))-AVERAGE(OFFSET($H$3,0,0,'Données projet'!$E$15+1,1))</f>
        <v>398.27843768730202</v>
      </c>
      <c r="EP162" s="59">
        <f t="shared" si="154"/>
        <v>252.3617347568813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0</v>
      </c>
      <c r="EW162" s="21">
        <f>EXP(-LN(2)/25)*EW161+(1-EXP(-LN(2)/25))/(LN(2)/25)*Calculateur!ER162*Calculateur!ET162*VLOOKUP('Données projet'!$B$15,Paramètres!$A$1:$I$89,3,0)*0.475*44/12</f>
        <v>8.6871641660333884E-2</v>
      </c>
      <c r="EX162" s="21">
        <f>EXP(-LN(2)/2)*EX161+(1-EXP(-LN(2)/2))/(LN(2)/2)*ER162*EU162*VLOOKUP('Données projet'!$B$15,Paramètres!$A$1:$I$89,3,0)*0.475*44/12</f>
        <v>2.3725215796896184E-19</v>
      </c>
      <c r="EY162" s="22">
        <f t="shared" si="181"/>
        <v>8.6871641660333884E-2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69.566814766275456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-1.1368683772161603E-13</v>
      </c>
      <c r="FF162" s="17">
        <f>FE162*VLOOKUP('Données projet'!$B$16,Paramètres!$A$1:$I$89,3,0)*VLOOKUP('Données projet'!$B$16,Paramètres!$A$1:$I$89,5,0)</f>
        <v>-1.0995790944434703E-13</v>
      </c>
      <c r="FG162" s="13" t="e">
        <f t="shared" si="182"/>
        <v>#NUM!</v>
      </c>
      <c r="FH162" s="20" t="e">
        <f t="shared" si="183"/>
        <v>#NUM!</v>
      </c>
      <c r="FI162" s="59" t="e">
        <f t="shared" si="131"/>
        <v>#NUM!</v>
      </c>
      <c r="FJ162" s="59">
        <f ca="1">AVERAGE(OFFSET($FI$3,0,0,'Données projet'!$E$16+1,1))-AVERAGE(OFFSET($H$3,0,0,'Données projet'!$E$16+1,1))</f>
        <v>422.28024471365825</v>
      </c>
      <c r="FK162" s="59">
        <f t="shared" si="156"/>
        <v>266.49730479813206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0</v>
      </c>
      <c r="FR162" s="21">
        <f>EXP(-LN(2)/25)*FR161+(1-EXP(-LN(2)/25))/(LN(2)/25)*Calculateur!FM162*Calculateur!FO162*VLOOKUP('Données projet'!$B$16,Paramètres!$A$1:$I$89,3,0)*0.475*44/12</f>
        <v>9.2862789361046472E-2</v>
      </c>
      <c r="FS162" s="21">
        <f>EXP(-LN(2)/2)*FS161+(1-EXP(-LN(2)/2))/(LN(2)/2)*FM162*FP162*VLOOKUP('Données projet'!$B$16,Paramètres!$A$1:$I$89,3,0)*0.475*44/12</f>
        <v>2.5361437575992468E-19</v>
      </c>
      <c r="FT162" s="22">
        <f t="shared" si="184"/>
        <v>9.2862789361046472E-2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69.566814766275456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3.4106051316484809E-13</v>
      </c>
      <c r="GA162" s="17">
        <f>FZ162*VLOOKUP('Données projet'!$B$17,Paramètres!$A$1:$I$89,3,0)*VLOOKUP('Données projet'!$B$17,Paramètres!$A$1:$I$89,5,0)</f>
        <v>2.6602720026858149E-13</v>
      </c>
      <c r="GB162" s="13">
        <f t="shared" si="185"/>
        <v>3.5662905043956649E-12</v>
      </c>
      <c r="GC162" s="20">
        <f t="shared" si="186"/>
        <v>6.6746200022902298E-12</v>
      </c>
      <c r="GD162" s="59">
        <f t="shared" si="134"/>
        <v>291.74498747634999</v>
      </c>
      <c r="GE162" s="59">
        <f ca="1">AVERAGE(OFFSET($GD$3,0,0,'Données projet'!$E$17+1,1))-AVERAGE(OFFSET($H$3,0,0,'Données projet'!$E$17+1,1))</f>
        <v>300.95722646933314</v>
      </c>
      <c r="GF162" s="59">
        <f t="shared" si="158"/>
        <v>269.52365224623759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>
        <f>EXP(-LN(2)/35)*GL161+(1-EXP(-LN(2)/35))/(LN(2)/35)*GH162*GI162*VLOOKUP('Données projet'!$B$17,Paramètres!$A$1:$I$89,3,0)*0.475*44/12</f>
        <v>6.9152972847820779E-2</v>
      </c>
      <c r="GM162" s="21">
        <f>EXP(-LN(2)/25)*GM161+(1-EXP(-LN(2)/25))/(LN(2)/25)*Calculateur!GH162*Calculateur!GJ162*VLOOKUP('Données projet'!$B$17,Paramètres!$A$1:$I$89,3,0)*0.475*44/12</f>
        <v>0.17450616242623604</v>
      </c>
      <c r="GN162" s="21">
        <f>EXP(-LN(2)/2)*GN161+(1-EXP(-LN(2)/2))/(LN(2)/2)*GH162*GK162*VLOOKUP('Données projet'!$B$17,Paramètres!$A$1:$I$89,3,0)*0.475*44/12</f>
        <v>3.3958476493805329E-19</v>
      </c>
      <c r="GO162" s="21">
        <f t="shared" si="187"/>
        <v>0.2436591352740568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69.566814766275456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1.4000000000000001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5.1333333333333337</v>
      </c>
      <c r="H163" s="67">
        <f t="shared" si="110"/>
        <v>236.13333333333335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69.574329561623472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-3.4106051316484809E-13</v>
      </c>
      <c r="O163" s="13">
        <f>N163*VLOOKUP('Données projet'!$B$9,Paramètres!$A$1:$I$89,3,0)*VLOOKUP('Données projet'!$B$9,Paramètres!$A$1:$I$89,5,0)</f>
        <v>-3.0859155231155454E-13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479.46542424895119</v>
      </c>
      <c r="T163" s="59">
        <f t="shared" si="142"/>
        <v>337.96395820277337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0.18350367762097317</v>
      </c>
      <c r="AA163" s="21">
        <f>EXP(-LN(2)/25)*AA162+(1-EXP(-LN(2)/25))/(LN(2)/25)*Calculateur!V163*Calculateur!X163*VLOOKUP('Données projet'!$B$9,Paramètres!$A$1:$I$89,3,0)*0.475*44/12</f>
        <v>0.30694574731661406</v>
      </c>
      <c r="AB163" s="21">
        <f>EXP(-LN(2)/2)*AB162+(1-EXP(-LN(2)/2))/(LN(2)/2)*V163*Y163*VLOOKUP('Données projet'!$B$9,Paramètres!$A$1:$I$89,3,0)*0.475*44/12</f>
        <v>5.8420436386995448E-19</v>
      </c>
      <c r="AC163" s="22">
        <f t="shared" si="163"/>
        <v>0.49044942493758725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69.574329561623472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-3.4106051316484809E-13</v>
      </c>
      <c r="AJ163" s="13">
        <f>AI163*VLOOKUP('Données projet'!$B$10,Paramètres!$A$1:$I$89,3,0)*VLOOKUP('Données projet'!$B$10,Paramètres!$A$1:$I$89,5,0)</f>
        <v>-3.2987372833304104E-13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508.94560627895089</v>
      </c>
      <c r="AO163" s="59">
        <f t="shared" si="144"/>
        <v>357.86868650263034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0.19615910366379902</v>
      </c>
      <c r="AV163" s="21">
        <f>EXP(-LN(2)/25)*AV162+(1-EXP(-LN(2)/25))/(LN(2)/25)*Calculateur!AQ163*Calculateur!AS163*VLOOKUP('Données projet'!$B$10,Paramètres!$A$1:$I$89,3,0)*0.475*44/12</f>
        <v>0.32811441954534593</v>
      </c>
      <c r="AW163" s="21">
        <f>EXP(-LN(2)/2)*AW162+(1-EXP(-LN(2)/2))/(LN(2)/2)*AQ163*AT163*VLOOKUP('Données projet'!$B$10,Paramètres!$A$1:$I$89,3,0)*0.475*44/12</f>
        <v>6.2449431999891399E-19</v>
      </c>
      <c r="AX163" s="21">
        <f t="shared" si="166"/>
        <v>0.52427352320914489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69.574329561623472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1.7053025658242404E-13</v>
      </c>
      <c r="BE163" s="13">
        <f>BD163*VLOOKUP('Données projet'!$B$11,Paramètres!$A$1:$I$89,3,0)*VLOOKUP('Données projet'!$B$11,Paramètres!$A$1:$I$89,5,0)</f>
        <v>1.3301360013429075E-13</v>
      </c>
      <c r="BF163" s="13">
        <f t="shared" si="167"/>
        <v>1.9329766731057041E-12</v>
      </c>
      <c r="BG163" s="20">
        <f t="shared" si="168"/>
        <v>3.5982663925596575E-12</v>
      </c>
      <c r="BH163" s="59">
        <f t="shared" si="116"/>
        <v>291.77254172595633</v>
      </c>
      <c r="BI163" s="59">
        <f ca="1">AVERAGE(OFFSET($BH$3,0,0,'Données projet'!$E$11+1,1))-AVERAGE(OFFSET($H$3,0,0,'Données projet'!$E$11+1,1))</f>
        <v>383.03154033422328</v>
      </c>
      <c r="BJ163" s="59">
        <f t="shared" si="146"/>
        <v>373.27897156169877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0.11017000349781338</v>
      </c>
      <c r="BQ163" s="21">
        <f>EXP(-LN(2)/25)*BQ162+(1-EXP(-LN(2)/25))/(LN(2)/25)*Calculateur!BL163*Calculateur!BN163*VLOOKUP('Données projet'!$B$11,Paramètres!$A$1:$I$89,3,0)*0.475*44/12</f>
        <v>0.22772303794768847</v>
      </c>
      <c r="BR163" s="21">
        <f>EXP(-LN(2)/2)*BR162+(1-EXP(-LN(2)/2))/(LN(2)/2)*BL163*BO163*VLOOKUP('Données projet'!$B$11,Paramètres!$A$1:$I$89,3,0)*0.475*44/12</f>
        <v>3.5429503289230824E-19</v>
      </c>
      <c r="BS163" s="22">
        <f t="shared" si="169"/>
        <v>0.33789304144550186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69.574329561623472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-3.4106051316484809E-13</v>
      </c>
      <c r="BZ163" s="13">
        <f>BY163*VLOOKUP('Données projet'!$B$12,Paramètres!$A$1:$I$89,3,0)*VLOOKUP('Données projet'!$B$12,Paramètres!$A$1:$I$89,5,0)</f>
        <v>-2.8730937629006804E-13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449.94334483948603</v>
      </c>
      <c r="CE163" s="59">
        <f t="shared" si="148"/>
        <v>318.02929110264176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0.17084825157814765</v>
      </c>
      <c r="CL163" s="21">
        <f>EXP(-LN(2)/25)*CL162+(1-EXP(-LN(2)/25))/(LN(2)/25)*Calculateur!CG163*Calculateur!CI163*VLOOKUP('Données projet'!$B$12,Paramètres!$A$1:$I$89,3,0)*0.475*44/12</f>
        <v>0.28577707508788203</v>
      </c>
      <c r="CM163" s="21">
        <f>EXP(-LN(2)/2)*CM162+(1-EXP(-LN(2)/2))/(LN(2)/2)*CG163*CJ163*VLOOKUP('Données projet'!$B$12,Paramètres!$A$1:$I$89,3,0)*0.475*44/12</f>
        <v>5.4391440774099015E-19</v>
      </c>
      <c r="CN163" s="22">
        <f t="shared" si="172"/>
        <v>0.45662532666602967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69.574329561623472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1.1368683772161603E-13</v>
      </c>
      <c r="CU163" s="17">
        <f>CT163*VLOOKUP('Données projet'!$B$13,Paramètres!$A$1:$I$89,3,0)*VLOOKUP('Données projet'!$B$13,Paramètres!$A$1:$I$89,5,0)</f>
        <v>9.7543306765146564E-14</v>
      </c>
      <c r="CV163" s="13">
        <f t="shared" si="173"/>
        <v>1.4696264278629426E-12</v>
      </c>
      <c r="CW163" s="20">
        <f t="shared" si="174"/>
        <v>2.7294872878105889E-12</v>
      </c>
      <c r="CX163" s="59">
        <f t="shared" si="122"/>
        <v>291.77254172595548</v>
      </c>
      <c r="CY163" s="59">
        <f ca="1">AVERAGE(OFFSET($CX$3,0,0,'Données projet'!$E$13+1,1))-AVERAGE(OFFSET($H$3,0,0,'Données projet'!$E$13+1,1))</f>
        <v>565.32667500225568</v>
      </c>
      <c r="CZ163" s="59">
        <f t="shared" si="150"/>
        <v>275.06957234480944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0</v>
      </c>
      <c r="DG163" s="21">
        <f>EXP(-LN(2)/25)*DG162+(1-EXP(-LN(2)/25))/(LN(2)/25)*Calculateur!DB163*Calculateur!DD163*VLOOKUP('Données projet'!$B$13,Paramètres!$A$1:$I$89,3,0)*0.475*44/12</f>
        <v>0.11919251545056887</v>
      </c>
      <c r="DH163" s="21">
        <f>EXP(-LN(2)/2)*DH162+(1-EXP(-LN(2)/2))/(LN(2)/2)*DB163*DE163*VLOOKUP('Données projet'!$B$13,Paramètres!$A$1:$I$89,3,0)*0.475*44/12</f>
        <v>1.919994196020602E-19</v>
      </c>
      <c r="DI163" s="22">
        <f t="shared" si="175"/>
        <v>0.11919251545056887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69.574329561623472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-1.2505552149377763E-12</v>
      </c>
      <c r="DP163" s="17">
        <f>DO163*VLOOKUP('Données projet'!$B$14,Paramètres!$A$1:$I$89,3,0)*VLOOKUP('Données projet'!$B$14,Paramètres!$A$1:$I$89,5,0)</f>
        <v>-6.9906036515021697E-13</v>
      </c>
      <c r="DQ163" s="13" t="e">
        <f t="shared" si="176"/>
        <v>#NUM!</v>
      </c>
      <c r="DR163" s="20" t="e">
        <f t="shared" si="177"/>
        <v>#NUM!</v>
      </c>
      <c r="DS163" s="59" t="e">
        <f t="shared" si="125"/>
        <v>#NUM!</v>
      </c>
      <c r="DT163" s="59">
        <f ca="1">AVERAGE(OFFSET($DS$3,0,0,'Données projet'!$E$14+1,1))-AVERAGE(OFFSET($H$3,0,0,'Données projet'!$E$14+1,1))</f>
        <v>532.64469322244281</v>
      </c>
      <c r="DU163" s="59">
        <f t="shared" si="152"/>
        <v>525.88014011096413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0.87006054044427217</v>
      </c>
      <c r="EB163" s="21">
        <f>EXP(-LN(2)/25)*EB162+(1-EXP(-LN(2)/25))/(LN(2)/25)*Calculateur!DW163*Calculateur!DY163*VLOOKUP('Données projet'!$B$14,Paramètres!$A$1:$I$89,3,0)*0.475*44/12</f>
        <v>1.0544383218751376</v>
      </c>
      <c r="EC163" s="21">
        <f>EXP(-LN(2)/2)*EC162+(1-EXP(-LN(2)/2))/(LN(2)/2)*DW163*DZ163*VLOOKUP('Données projet'!$B$14,Paramètres!$A$1:$I$89,3,0)*0.475*44/12</f>
        <v>9.8857259604458137E-19</v>
      </c>
      <c r="ED163" s="22">
        <f t="shared" si="178"/>
        <v>1.9244988623194099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69.574329561623472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-1.1368683772161603E-13</v>
      </c>
      <c r="EK163" s="17">
        <f>EJ163*VLOOKUP('Données projet'!$B$15,Paramètres!$A$1:$I$89,3,0)*VLOOKUP('Données projet'!$B$15,Paramètres!$A$1:$I$89,5,0)</f>
        <v>-1.0286385077051818E-13</v>
      </c>
      <c r="EL163" s="13" t="e">
        <f t="shared" si="179"/>
        <v>#NUM!</v>
      </c>
      <c r="EM163" s="20" t="e">
        <f t="shared" si="180"/>
        <v>#NUM!</v>
      </c>
      <c r="EN163" s="59" t="e">
        <f t="shared" si="128"/>
        <v>#NUM!</v>
      </c>
      <c r="EO163" s="59">
        <f ca="1">AVERAGE(OFFSET($EN$3,0,0,'Données projet'!$E$15+1,1))-AVERAGE(OFFSET($H$3,0,0,'Données projet'!$E$15+1,1))</f>
        <v>398.27843768730202</v>
      </c>
      <c r="EP163" s="59">
        <f t="shared" si="154"/>
        <v>252.3617347568813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0</v>
      </c>
      <c r="EW163" s="21">
        <f>EXP(-LN(2)/25)*EW162+(1-EXP(-LN(2)/25))/(LN(2)/25)*Calculateur!ER163*Calculateur!ET163*VLOOKUP('Données projet'!$B$15,Paramètres!$A$1:$I$89,3,0)*0.475*44/12</f>
        <v>8.4496132050750961E-2</v>
      </c>
      <c r="EX163" s="21">
        <f>EXP(-LN(2)/2)*EX162+(1-EXP(-LN(2)/2))/(LN(2)/2)*ER163*EU163*VLOOKUP('Données projet'!$B$15,Paramètres!$A$1:$I$89,3,0)*0.475*44/12</f>
        <v>1.6776260975099491E-19</v>
      </c>
      <c r="EY163" s="22">
        <f t="shared" si="181"/>
        <v>8.4496132050750961E-2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69.574329561623472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-1.1368683772161603E-13</v>
      </c>
      <c r="FF163" s="17">
        <f>FE163*VLOOKUP('Données projet'!$B$16,Paramètres!$A$1:$I$89,3,0)*VLOOKUP('Données projet'!$B$16,Paramètres!$A$1:$I$89,5,0)</f>
        <v>-1.0995790944434703E-13</v>
      </c>
      <c r="FG163" s="13" t="e">
        <f t="shared" si="182"/>
        <v>#NUM!</v>
      </c>
      <c r="FH163" s="20" t="e">
        <f t="shared" si="183"/>
        <v>#NUM!</v>
      </c>
      <c r="FI163" s="59" t="e">
        <f t="shared" si="131"/>
        <v>#NUM!</v>
      </c>
      <c r="FJ163" s="59">
        <f ca="1">AVERAGE(OFFSET($FI$3,0,0,'Données projet'!$E$16+1,1))-AVERAGE(OFFSET($H$3,0,0,'Données projet'!$E$16+1,1))</f>
        <v>422.28024471365825</v>
      </c>
      <c r="FK163" s="59">
        <f t="shared" si="156"/>
        <v>266.49730479813206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0</v>
      </c>
      <c r="FR163" s="21">
        <f>EXP(-LN(2)/25)*FR162+(1-EXP(-LN(2)/25))/(LN(2)/25)*Calculateur!FM163*Calculateur!FO163*VLOOKUP('Données projet'!$B$16,Paramètres!$A$1:$I$89,3,0)*0.475*44/12</f>
        <v>9.0323451502526811E-2</v>
      </c>
      <c r="FS163" s="21">
        <f>EXP(-LN(2)/2)*FS162+(1-EXP(-LN(2)/2))/(LN(2)/2)*FM163*FP163*VLOOKUP('Données projet'!$B$16,Paramètres!$A$1:$I$89,3,0)*0.475*44/12</f>
        <v>1.7933244490623591E-19</v>
      </c>
      <c r="FT163" s="22">
        <f t="shared" si="184"/>
        <v>9.0323451502526811E-2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69.574329561623472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3.4106051316484809E-13</v>
      </c>
      <c r="GA163" s="17">
        <f>FZ163*VLOOKUP('Données projet'!$B$17,Paramètres!$A$1:$I$89,3,0)*VLOOKUP('Données projet'!$B$17,Paramètres!$A$1:$I$89,5,0)</f>
        <v>2.6602720026858149E-13</v>
      </c>
      <c r="GB163" s="13">
        <f t="shared" si="185"/>
        <v>3.5662905043956649E-12</v>
      </c>
      <c r="GC163" s="20">
        <f t="shared" si="186"/>
        <v>6.6746200022902298E-12</v>
      </c>
      <c r="GD163" s="59">
        <f t="shared" si="134"/>
        <v>291.7725417259594</v>
      </c>
      <c r="GE163" s="59">
        <f ca="1">AVERAGE(OFFSET($GD$3,0,0,'Données projet'!$E$17+1,1))-AVERAGE(OFFSET($H$3,0,0,'Données projet'!$E$17+1,1))</f>
        <v>300.95722646933314</v>
      </c>
      <c r="GF163" s="59">
        <f t="shared" si="158"/>
        <v>269.52365224623759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>
        <f>EXP(-LN(2)/35)*GL162+(1-EXP(-LN(2)/35))/(LN(2)/35)*GH163*GI163*VLOOKUP('Données projet'!$B$17,Paramètres!$A$1:$I$89,3,0)*0.475*44/12</f>
        <v>6.7796925229423599E-2</v>
      </c>
      <c r="GM163" s="21">
        <f>EXP(-LN(2)/25)*GM162+(1-EXP(-LN(2)/25))/(LN(2)/25)*Calculateur!GH163*Calculateur!GJ163*VLOOKUP('Données projet'!$B$17,Paramètres!$A$1:$I$89,3,0)*0.475*44/12</f>
        <v>0.16973428223781037</v>
      </c>
      <c r="GN163" s="21">
        <f>EXP(-LN(2)/2)*GN162+(1-EXP(-LN(2)/2))/(LN(2)/2)*GH163*GK163*VLOOKUP('Données projet'!$B$17,Paramètres!$A$1:$I$89,3,0)*0.475*44/12</f>
        <v>2.4012269007533722E-19</v>
      </c>
      <c r="GO163" s="21">
        <f t="shared" si="187"/>
        <v>0.23753120746723397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69.574329561623472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1.4000000000000001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5.1333333333333337</v>
      </c>
      <c r="H164" s="67">
        <f t="shared" si="110"/>
        <v>236.13333333333335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69.581713992072778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-3.4106051316484809E-13</v>
      </c>
      <c r="O164" s="13">
        <f>N164*VLOOKUP('Données projet'!$B$9,Paramètres!$A$1:$I$89,3,0)*VLOOKUP('Données projet'!$B$9,Paramètres!$A$1:$I$89,5,0)</f>
        <v>-3.0859155231155454E-13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479.46542424895119</v>
      </c>
      <c r="T164" s="59">
        <f t="shared" si="142"/>
        <v>337.96395820277337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0.17990528242901743</v>
      </c>
      <c r="AA164" s="21">
        <f>EXP(-LN(2)/25)*AA163+(1-EXP(-LN(2)/25))/(LN(2)/25)*Calculateur!V164*Calculateur!X164*VLOOKUP('Données projet'!$B$9,Paramètres!$A$1:$I$89,3,0)*0.475*44/12</f>
        <v>0.2985522997146659</v>
      </c>
      <c r="AB164" s="21">
        <f>EXP(-LN(2)/2)*AB163+(1-EXP(-LN(2)/2))/(LN(2)/2)*V164*Y164*VLOOKUP('Données projet'!$B$9,Paramètres!$A$1:$I$89,3,0)*0.475*44/12</f>
        <v>4.130948672912181E-19</v>
      </c>
      <c r="AC164" s="22">
        <f t="shared" si="163"/>
        <v>0.47845758214368334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69.581713992072778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-3.4106051316484809E-13</v>
      </c>
      <c r="AJ164" s="13">
        <f>AI164*VLOOKUP('Données projet'!$B$10,Paramètres!$A$1:$I$89,3,0)*VLOOKUP('Données projet'!$B$10,Paramètres!$A$1:$I$89,5,0)</f>
        <v>-3.2987372833304104E-13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508.94560627895089</v>
      </c>
      <c r="AO164" s="59">
        <f t="shared" si="144"/>
        <v>357.86868650263034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0.19231254328619116</v>
      </c>
      <c r="AV164" s="21">
        <f>EXP(-LN(2)/25)*AV163+(1-EXP(-LN(2)/25))/(LN(2)/25)*Calculateur!AQ164*Calculateur!AS164*VLOOKUP('Données projet'!$B$10,Paramètres!$A$1:$I$89,3,0)*0.475*44/12</f>
        <v>0.31914211348809102</v>
      </c>
      <c r="AW164" s="21">
        <f>EXP(-LN(2)/2)*AW163+(1-EXP(-LN(2)/2))/(LN(2)/2)*AQ164*AT164*VLOOKUP('Données projet'!$B$10,Paramètres!$A$1:$I$89,3,0)*0.475*44/12</f>
        <v>4.4158416848371386E-19</v>
      </c>
      <c r="AX164" s="21">
        <f t="shared" si="166"/>
        <v>0.51145465677428215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69.581713992072778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1.7053025658242404E-13</v>
      </c>
      <c r="BE164" s="13">
        <f>BD164*VLOOKUP('Données projet'!$B$11,Paramètres!$A$1:$I$89,3,0)*VLOOKUP('Données projet'!$B$11,Paramètres!$A$1:$I$89,5,0)</f>
        <v>1.3301360013429075E-13</v>
      </c>
      <c r="BF164" s="13">
        <f t="shared" si="167"/>
        <v>1.9329766731057041E-12</v>
      </c>
      <c r="BG164" s="20">
        <f t="shared" si="168"/>
        <v>3.5982663925596575E-12</v>
      </c>
      <c r="BH164" s="59">
        <f t="shared" si="116"/>
        <v>291.79961797093711</v>
      </c>
      <c r="BI164" s="59">
        <f ca="1">AVERAGE(OFFSET($BH$3,0,0,'Données projet'!$E$11+1,1))-AVERAGE(OFFSET($H$3,0,0,'Données projet'!$E$11+1,1))</f>
        <v>383.03154033422328</v>
      </c>
      <c r="BJ164" s="59">
        <f t="shared" si="146"/>
        <v>373.27897156169877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0.10800963692628823</v>
      </c>
      <c r="BQ164" s="21">
        <f>EXP(-LN(2)/25)*BQ163+(1-EXP(-LN(2)/25))/(LN(2)/25)*Calculateur!BL164*Calculateur!BN164*VLOOKUP('Données projet'!$B$11,Paramètres!$A$1:$I$89,3,0)*0.475*44/12</f>
        <v>0.22149593949957483</v>
      </c>
      <c r="BR164" s="21">
        <f>EXP(-LN(2)/2)*BR163+(1-EXP(-LN(2)/2))/(LN(2)/2)*BL164*BO164*VLOOKUP('Données projet'!$B$11,Paramètres!$A$1:$I$89,3,0)*0.475*44/12</f>
        <v>2.5052442029886205E-19</v>
      </c>
      <c r="BS164" s="22">
        <f t="shared" si="169"/>
        <v>0.32950557642586309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69.581713992072778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-3.4106051316484809E-13</v>
      </c>
      <c r="BZ164" s="13">
        <f>BY164*VLOOKUP('Données projet'!$B$12,Paramètres!$A$1:$I$89,3,0)*VLOOKUP('Données projet'!$B$12,Paramètres!$A$1:$I$89,5,0)</f>
        <v>-2.8730937629006804E-13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449.94334483948603</v>
      </c>
      <c r="CE164" s="59">
        <f t="shared" si="148"/>
        <v>318.02929110264176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0.16749802157184404</v>
      </c>
      <c r="CL164" s="21">
        <f>EXP(-LN(2)/25)*CL163+(1-EXP(-LN(2)/25))/(LN(2)/25)*Calculateur!CG164*Calculateur!CI164*VLOOKUP('Données projet'!$B$12,Paramètres!$A$1:$I$89,3,0)*0.475*44/12</f>
        <v>0.27796248594124068</v>
      </c>
      <c r="CM164" s="21">
        <f>EXP(-LN(2)/2)*CM163+(1-EXP(-LN(2)/2))/(LN(2)/2)*CG164*CJ164*VLOOKUP('Données projet'!$B$12,Paramètres!$A$1:$I$89,3,0)*0.475*44/12</f>
        <v>3.8460556609871892E-19</v>
      </c>
      <c r="CN164" s="22">
        <f t="shared" si="172"/>
        <v>0.44546050751308475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69.581713992072778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1.1368683772161603E-13</v>
      </c>
      <c r="CU164" s="17">
        <f>CT164*VLOOKUP('Données projet'!$B$13,Paramètres!$A$1:$I$89,3,0)*VLOOKUP('Données projet'!$B$13,Paramètres!$A$1:$I$89,5,0)</f>
        <v>9.7543306765146564E-14</v>
      </c>
      <c r="CV164" s="13">
        <f t="shared" si="173"/>
        <v>1.4696264278629426E-12</v>
      </c>
      <c r="CW164" s="20">
        <f t="shared" si="174"/>
        <v>2.7294872878105889E-12</v>
      </c>
      <c r="CX164" s="59">
        <f t="shared" si="122"/>
        <v>291.79961797093625</v>
      </c>
      <c r="CY164" s="59">
        <f ca="1">AVERAGE(OFFSET($CX$3,0,0,'Données projet'!$E$13+1,1))-AVERAGE(OFFSET($H$3,0,0,'Données projet'!$E$13+1,1))</f>
        <v>565.32667500225568</v>
      </c>
      <c r="CZ164" s="59">
        <f t="shared" si="150"/>
        <v>275.06957234480944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0</v>
      </c>
      <c r="DG164" s="21">
        <f>EXP(-LN(2)/25)*DG163+(1-EXP(-LN(2)/25))/(LN(2)/25)*Calculateur!DB164*Calculateur!DD164*VLOOKUP('Données projet'!$B$13,Paramètres!$A$1:$I$89,3,0)*0.475*44/12</f>
        <v>0.1159331898475111</v>
      </c>
      <c r="DH164" s="21">
        <f>EXP(-LN(2)/2)*DH163+(1-EXP(-LN(2)/2))/(LN(2)/2)*DB164*DE164*VLOOKUP('Données projet'!$B$13,Paramètres!$A$1:$I$89,3,0)*0.475*44/12</f>
        <v>1.357640915844981E-19</v>
      </c>
      <c r="DI164" s="22">
        <f t="shared" si="175"/>
        <v>0.1159331898475111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69.581713992072778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-1.2505552149377763E-12</v>
      </c>
      <c r="DP164" s="17">
        <f>DO164*VLOOKUP('Données projet'!$B$14,Paramètres!$A$1:$I$89,3,0)*VLOOKUP('Données projet'!$B$14,Paramètres!$A$1:$I$89,5,0)</f>
        <v>-6.9906036515021697E-13</v>
      </c>
      <c r="DQ164" s="13" t="e">
        <f t="shared" si="176"/>
        <v>#NUM!</v>
      </c>
      <c r="DR164" s="20" t="e">
        <f t="shared" si="177"/>
        <v>#NUM!</v>
      </c>
      <c r="DS164" s="59" t="e">
        <f t="shared" si="125"/>
        <v>#NUM!</v>
      </c>
      <c r="DT164" s="59">
        <f ca="1">AVERAGE(OFFSET($DS$3,0,0,'Données projet'!$E$14+1,1))-AVERAGE(OFFSET($H$3,0,0,'Données projet'!$E$14+1,1))</f>
        <v>532.64469322244281</v>
      </c>
      <c r="DU164" s="59">
        <f t="shared" si="152"/>
        <v>525.88014011096413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0.85299918393068896</v>
      </c>
      <c r="EB164" s="21">
        <f>EXP(-LN(2)/25)*EB163+(1-EXP(-LN(2)/25))/(LN(2)/25)*Calculateur!DW164*Calculateur!DY164*VLOOKUP('Données projet'!$B$14,Paramètres!$A$1:$I$89,3,0)*0.475*44/12</f>
        <v>1.0256046505129606</v>
      </c>
      <c r="EC164" s="21">
        <f>EXP(-LN(2)/2)*EC163+(1-EXP(-LN(2)/2))/(LN(2)/2)*DW164*DZ164*VLOOKUP('Données projet'!$B$14,Paramètres!$A$1:$I$89,3,0)*0.475*44/12</f>
        <v>6.9902638635831304E-19</v>
      </c>
      <c r="ED164" s="22">
        <f t="shared" si="178"/>
        <v>1.8786038344436495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69.581713992072778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-1.1368683772161603E-13</v>
      </c>
      <c r="EK164" s="17">
        <f>EJ164*VLOOKUP('Données projet'!$B$15,Paramètres!$A$1:$I$89,3,0)*VLOOKUP('Données projet'!$B$15,Paramètres!$A$1:$I$89,5,0)</f>
        <v>-1.0286385077051818E-13</v>
      </c>
      <c r="EL164" s="13" t="e">
        <f t="shared" si="179"/>
        <v>#NUM!</v>
      </c>
      <c r="EM164" s="20" t="e">
        <f t="shared" si="180"/>
        <v>#NUM!</v>
      </c>
      <c r="EN164" s="59" t="e">
        <f t="shared" si="128"/>
        <v>#NUM!</v>
      </c>
      <c r="EO164" s="59">
        <f ca="1">AVERAGE(OFFSET($EN$3,0,0,'Données projet'!$E$15+1,1))-AVERAGE(OFFSET($H$3,0,0,'Données projet'!$E$15+1,1))</f>
        <v>398.27843768730202</v>
      </c>
      <c r="EP164" s="59">
        <f t="shared" si="154"/>
        <v>252.3617347568813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0</v>
      </c>
      <c r="EW164" s="21">
        <f>EXP(-LN(2)/25)*EW163+(1-EXP(-LN(2)/25))/(LN(2)/25)*Calculateur!ER164*Calculateur!ET164*VLOOKUP('Données projet'!$B$15,Paramètres!$A$1:$I$89,3,0)*0.475*44/12</f>
        <v>8.2185580876364711E-2</v>
      </c>
      <c r="EX164" s="21">
        <f>EXP(-LN(2)/2)*EX163+(1-EXP(-LN(2)/2))/(LN(2)/2)*ER164*EU164*VLOOKUP('Données projet'!$B$15,Paramètres!$A$1:$I$89,3,0)*0.475*44/12</f>
        <v>1.1862607898448092E-19</v>
      </c>
      <c r="EY164" s="22">
        <f t="shared" si="181"/>
        <v>8.2185580876364711E-2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69.581713992072778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-1.1368683772161603E-13</v>
      </c>
      <c r="FF164" s="17">
        <f>FE164*VLOOKUP('Données projet'!$B$16,Paramètres!$A$1:$I$89,3,0)*VLOOKUP('Données projet'!$B$16,Paramètres!$A$1:$I$89,5,0)</f>
        <v>-1.0995790944434703E-13</v>
      </c>
      <c r="FG164" s="13" t="e">
        <f t="shared" si="182"/>
        <v>#NUM!</v>
      </c>
      <c r="FH164" s="20" t="e">
        <f t="shared" si="183"/>
        <v>#NUM!</v>
      </c>
      <c r="FI164" s="59" t="e">
        <f t="shared" si="131"/>
        <v>#NUM!</v>
      </c>
      <c r="FJ164" s="59">
        <f ca="1">AVERAGE(OFFSET($FI$3,0,0,'Données projet'!$E$16+1,1))-AVERAGE(OFFSET($H$3,0,0,'Données projet'!$E$16+1,1))</f>
        <v>422.28024471365825</v>
      </c>
      <c r="FK164" s="59">
        <f t="shared" si="156"/>
        <v>266.49730479813206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0</v>
      </c>
      <c r="FR164" s="21">
        <f>EXP(-LN(2)/25)*FR163+(1-EXP(-LN(2)/25))/(LN(2)/25)*Calculateur!FM164*Calculateur!FO164*VLOOKUP('Données projet'!$B$16,Paramètres!$A$1:$I$89,3,0)*0.475*44/12</f>
        <v>8.7853551971286331E-2</v>
      </c>
      <c r="FS164" s="21">
        <f>EXP(-LN(2)/2)*FS163+(1-EXP(-LN(2)/2))/(LN(2)/2)*FM164*FP164*VLOOKUP('Données projet'!$B$16,Paramètres!$A$1:$I$89,3,0)*0.475*44/12</f>
        <v>1.2680718787996234E-19</v>
      </c>
      <c r="FT164" s="22">
        <f t="shared" si="184"/>
        <v>8.7853551971286331E-2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69.581713992072778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3.4106051316484809E-13</v>
      </c>
      <c r="GA164" s="17">
        <f>FZ164*VLOOKUP('Données projet'!$B$17,Paramètres!$A$1:$I$89,3,0)*VLOOKUP('Données projet'!$B$17,Paramètres!$A$1:$I$89,5,0)</f>
        <v>2.6602720026858149E-13</v>
      </c>
      <c r="GB164" s="13">
        <f t="shared" si="185"/>
        <v>3.5662905043956649E-12</v>
      </c>
      <c r="GC164" s="20">
        <f t="shared" si="186"/>
        <v>6.6746200022902298E-12</v>
      </c>
      <c r="GD164" s="59">
        <f t="shared" si="134"/>
        <v>291.79961797094018</v>
      </c>
      <c r="GE164" s="59">
        <f ca="1">AVERAGE(OFFSET($GD$3,0,0,'Données projet'!$E$17+1,1))-AVERAGE(OFFSET($H$3,0,0,'Données projet'!$E$17+1,1))</f>
        <v>300.95722646933314</v>
      </c>
      <c r="GF164" s="59">
        <f t="shared" si="158"/>
        <v>269.52365224623759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>
        <f>EXP(-LN(2)/35)*GL163+(1-EXP(-LN(2)/35))/(LN(2)/35)*GH164*GI164*VLOOKUP('Données projet'!$B$17,Paramètres!$A$1:$I$89,3,0)*0.475*44/12</f>
        <v>6.6467468877715818E-2</v>
      </c>
      <c r="GM164" s="21">
        <f>EXP(-LN(2)/25)*GM163+(1-EXP(-LN(2)/25))/(LN(2)/25)*Calculateur!GH164*Calculateur!GJ164*VLOOKUP('Données projet'!$B$17,Paramètres!$A$1:$I$89,3,0)*0.475*44/12</f>
        <v>0.16509288936407948</v>
      </c>
      <c r="GN164" s="21">
        <f>EXP(-LN(2)/2)*GN163+(1-EXP(-LN(2)/2))/(LN(2)/2)*GH164*GK164*VLOOKUP('Données projet'!$B$17,Paramètres!$A$1:$I$89,3,0)*0.475*44/12</f>
        <v>1.6979238246902665E-19</v>
      </c>
      <c r="GO164" s="21">
        <f t="shared" si="187"/>
        <v>0.2315603582417953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69.581713992072778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1.4000000000000001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5.1333333333333337</v>
      </c>
      <c r="H165" s="67">
        <f t="shared" si="110"/>
        <v>236.13333333333335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69.588970319162897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-3.4106051316484809E-13</v>
      </c>
      <c r="O165" s="13">
        <f>N165*VLOOKUP('Données projet'!$B$9,Paramètres!$A$1:$I$89,3,0)*VLOOKUP('Données projet'!$B$9,Paramètres!$A$1:$I$89,5,0)</f>
        <v>-3.0859155231155454E-13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479.46542424895119</v>
      </c>
      <c r="T165" s="59">
        <f t="shared" si="142"/>
        <v>337.96395820277337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0.1763774495719716</v>
      </c>
      <c r="AA165" s="21">
        <f>EXP(-LN(2)/25)*AA164+(1-EXP(-LN(2)/25))/(LN(2)/25)*Calculateur!V165*Calculateur!X165*VLOOKUP('Données projet'!$B$9,Paramètres!$A$1:$I$89,3,0)*0.475*44/12</f>
        <v>0.29038837137878526</v>
      </c>
      <c r="AB165" s="21">
        <f>EXP(-LN(2)/2)*AB164+(1-EXP(-LN(2)/2))/(LN(2)/2)*V165*Y165*VLOOKUP('Données projet'!$B$9,Paramètres!$A$1:$I$89,3,0)*0.475*44/12</f>
        <v>2.9210218193497724E-19</v>
      </c>
      <c r="AC165" s="22">
        <f t="shared" si="163"/>
        <v>0.46676582095075686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69.588970319162897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-3.4106051316484809E-13</v>
      </c>
      <c r="AJ165" s="13">
        <f>AI165*VLOOKUP('Données projet'!$B$10,Paramètres!$A$1:$I$89,3,0)*VLOOKUP('Données projet'!$B$10,Paramètres!$A$1:$I$89,5,0)</f>
        <v>-3.2987372833304104E-13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508.94560627895089</v>
      </c>
      <c r="AO165" s="59">
        <f t="shared" si="144"/>
        <v>357.86868650263034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0.18854141161141802</v>
      </c>
      <c r="AV165" s="21">
        <f>EXP(-LN(2)/25)*AV164+(1-EXP(-LN(2)/25))/(LN(2)/25)*Calculateur!AQ165*Calculateur!AS165*VLOOKUP('Données projet'!$B$10,Paramètres!$A$1:$I$89,3,0)*0.475*44/12</f>
        <v>0.31041515561180483</v>
      </c>
      <c r="AW165" s="21">
        <f>EXP(-LN(2)/2)*AW164+(1-EXP(-LN(2)/2))/(LN(2)/2)*AQ165*AT165*VLOOKUP('Données projet'!$B$10,Paramètres!$A$1:$I$89,3,0)*0.475*44/12</f>
        <v>3.12247159999457E-19</v>
      </c>
      <c r="AX165" s="21">
        <f t="shared" si="166"/>
        <v>0.49895656722322285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69.588970319162897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1.7053025658242404E-13</v>
      </c>
      <c r="BE165" s="13">
        <f>BD165*VLOOKUP('Données projet'!$B$11,Paramètres!$A$1:$I$89,3,0)*VLOOKUP('Données projet'!$B$11,Paramètres!$A$1:$I$89,5,0)</f>
        <v>1.3301360013429075E-13</v>
      </c>
      <c r="BF165" s="13">
        <f t="shared" si="167"/>
        <v>1.9329766731057041E-12</v>
      </c>
      <c r="BG165" s="20">
        <f t="shared" si="168"/>
        <v>3.5982663925596575E-12</v>
      </c>
      <c r="BH165" s="59">
        <f t="shared" si="116"/>
        <v>291.82622450360088</v>
      </c>
      <c r="BI165" s="59">
        <f ca="1">AVERAGE(OFFSET($BH$3,0,0,'Données projet'!$E$11+1,1))-AVERAGE(OFFSET($H$3,0,0,'Données projet'!$E$11+1,1))</f>
        <v>383.03154033422328</v>
      </c>
      <c r="BJ165" s="59">
        <f t="shared" si="146"/>
        <v>373.27897156169877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0.10589163382553719</v>
      </c>
      <c r="BQ165" s="21">
        <f>EXP(-LN(2)/25)*BQ164+(1-EXP(-LN(2)/25))/(LN(2)/25)*Calculateur!BL165*Calculateur!BN165*VLOOKUP('Données projet'!$B$11,Paramètres!$A$1:$I$89,3,0)*0.475*44/12</f>
        <v>0.21543912138599372</v>
      </c>
      <c r="BR165" s="21">
        <f>EXP(-LN(2)/2)*BR164+(1-EXP(-LN(2)/2))/(LN(2)/2)*BL165*BO165*VLOOKUP('Données projet'!$B$11,Paramètres!$A$1:$I$89,3,0)*0.475*44/12</f>
        <v>1.7714751644615412E-19</v>
      </c>
      <c r="BS165" s="22">
        <f t="shared" si="169"/>
        <v>0.32133075521153093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69.588970319162897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-3.4106051316484809E-13</v>
      </c>
      <c r="BZ165" s="13">
        <f>BY165*VLOOKUP('Données projet'!$B$12,Paramètres!$A$1:$I$89,3,0)*VLOOKUP('Données projet'!$B$12,Paramètres!$A$1:$I$89,5,0)</f>
        <v>-2.8730937629006804E-13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449.94334483948603</v>
      </c>
      <c r="CE165" s="59">
        <f t="shared" si="148"/>
        <v>318.02929110264176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0.16421348753252552</v>
      </c>
      <c r="CL165" s="21">
        <f>EXP(-LN(2)/25)*CL164+(1-EXP(-LN(2)/25))/(LN(2)/25)*Calculateur!CG165*Calculateur!CI165*VLOOKUP('Données projet'!$B$12,Paramètres!$A$1:$I$89,3,0)*0.475*44/12</f>
        <v>0.27036158714576558</v>
      </c>
      <c r="CM165" s="21">
        <f>EXP(-LN(2)/2)*CM164+(1-EXP(-LN(2)/2))/(LN(2)/2)*CG165*CJ165*VLOOKUP('Données projet'!$B$12,Paramètres!$A$1:$I$89,3,0)*0.475*44/12</f>
        <v>2.7195720387049508E-19</v>
      </c>
      <c r="CN165" s="22">
        <f t="shared" si="172"/>
        <v>0.4345750746782911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69.588970319162897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1.1368683772161603E-13</v>
      </c>
      <c r="CU165" s="17">
        <f>CT165*VLOOKUP('Données projet'!$B$13,Paramètres!$A$1:$I$89,3,0)*VLOOKUP('Données projet'!$B$13,Paramètres!$A$1:$I$89,5,0)</f>
        <v>9.7543306765146564E-14</v>
      </c>
      <c r="CV165" s="13">
        <f t="shared" si="173"/>
        <v>1.4696264278629426E-12</v>
      </c>
      <c r="CW165" s="20">
        <f t="shared" si="174"/>
        <v>2.7294872878105889E-12</v>
      </c>
      <c r="CX165" s="59">
        <f t="shared" si="122"/>
        <v>291.82622450360003</v>
      </c>
      <c r="CY165" s="59">
        <f ca="1">AVERAGE(OFFSET($CX$3,0,0,'Données projet'!$E$13+1,1))-AVERAGE(OFFSET($H$3,0,0,'Données projet'!$E$13+1,1))</f>
        <v>565.32667500225568</v>
      </c>
      <c r="CZ165" s="59">
        <f t="shared" si="150"/>
        <v>275.06957234480944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0</v>
      </c>
      <c r="DG165" s="21">
        <f>EXP(-LN(2)/25)*DG164+(1-EXP(-LN(2)/25))/(LN(2)/25)*Calculateur!DB165*Calculateur!DD165*VLOOKUP('Données projet'!$B$13,Paramètres!$A$1:$I$89,3,0)*0.475*44/12</f>
        <v>0.11276299067446942</v>
      </c>
      <c r="DH165" s="21">
        <f>EXP(-LN(2)/2)*DH164+(1-EXP(-LN(2)/2))/(LN(2)/2)*DB165*DE165*VLOOKUP('Données projet'!$B$13,Paramètres!$A$1:$I$89,3,0)*0.475*44/12</f>
        <v>9.5999709801030099E-20</v>
      </c>
      <c r="DI165" s="22">
        <f t="shared" si="175"/>
        <v>0.11276299067446942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69.588970319162897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-1.2505552149377763E-12</v>
      </c>
      <c r="DP165" s="17">
        <f>DO165*VLOOKUP('Données projet'!$B$14,Paramètres!$A$1:$I$89,3,0)*VLOOKUP('Données projet'!$B$14,Paramètres!$A$1:$I$89,5,0)</f>
        <v>-6.9906036515021697E-13</v>
      </c>
      <c r="DQ165" s="13" t="e">
        <f t="shared" si="176"/>
        <v>#NUM!</v>
      </c>
      <c r="DR165" s="20" t="e">
        <f t="shared" si="177"/>
        <v>#NUM!</v>
      </c>
      <c r="DS165" s="59" t="e">
        <f t="shared" si="125"/>
        <v>#NUM!</v>
      </c>
      <c r="DT165" s="59">
        <f ca="1">AVERAGE(OFFSET($DS$3,0,0,'Données projet'!$E$14+1,1))-AVERAGE(OFFSET($H$3,0,0,'Données projet'!$E$14+1,1))</f>
        <v>532.64469322244281</v>
      </c>
      <c r="DU165" s="59">
        <f t="shared" si="152"/>
        <v>525.88014011096413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0.83627239021193711</v>
      </c>
      <c r="EB165" s="21">
        <f>EXP(-LN(2)/25)*EB164+(1-EXP(-LN(2)/25))/(LN(2)/25)*Calculateur!DW165*Calculateur!DY165*VLOOKUP('Données projet'!$B$14,Paramètres!$A$1:$I$89,3,0)*0.475*44/12</f>
        <v>0.99755943741047914</v>
      </c>
      <c r="EC165" s="21">
        <f>EXP(-LN(2)/2)*EC164+(1-EXP(-LN(2)/2))/(LN(2)/2)*DW165*DZ165*VLOOKUP('Données projet'!$B$14,Paramètres!$A$1:$I$89,3,0)*0.475*44/12</f>
        <v>4.9428629802229068E-19</v>
      </c>
      <c r="ED165" s="22">
        <f t="shared" si="178"/>
        <v>1.8338318276224164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69.588970319162897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-1.1368683772161603E-13</v>
      </c>
      <c r="EK165" s="17">
        <f>EJ165*VLOOKUP('Données projet'!$B$15,Paramètres!$A$1:$I$89,3,0)*VLOOKUP('Données projet'!$B$15,Paramètres!$A$1:$I$89,5,0)</f>
        <v>-1.0286385077051818E-13</v>
      </c>
      <c r="EL165" s="13" t="e">
        <f t="shared" si="179"/>
        <v>#NUM!</v>
      </c>
      <c r="EM165" s="20" t="e">
        <f t="shared" si="180"/>
        <v>#NUM!</v>
      </c>
      <c r="EN165" s="59" t="e">
        <f t="shared" si="128"/>
        <v>#NUM!</v>
      </c>
      <c r="EO165" s="59">
        <f ca="1">AVERAGE(OFFSET($EN$3,0,0,'Données projet'!$E$15+1,1))-AVERAGE(OFFSET($H$3,0,0,'Données projet'!$E$15+1,1))</f>
        <v>398.27843768730202</v>
      </c>
      <c r="EP165" s="59">
        <f t="shared" si="154"/>
        <v>252.3617347568813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0</v>
      </c>
      <c r="EW165" s="21">
        <f>EXP(-LN(2)/25)*EW164+(1-EXP(-LN(2)/25))/(LN(2)/25)*Calculateur!ER165*Calculateur!ET165*VLOOKUP('Données projet'!$B$15,Paramètres!$A$1:$I$89,3,0)*0.475*44/12</f>
        <v>7.9938211845348661E-2</v>
      </c>
      <c r="EX165" s="21">
        <f>EXP(-LN(2)/2)*EX164+(1-EXP(-LN(2)/2))/(LN(2)/2)*ER165*EU165*VLOOKUP('Données projet'!$B$15,Paramètres!$A$1:$I$89,3,0)*0.475*44/12</f>
        <v>8.3881304875497456E-20</v>
      </c>
      <c r="EY165" s="22">
        <f t="shared" si="181"/>
        <v>7.9938211845348661E-2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69.588970319162897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-1.1368683772161603E-13</v>
      </c>
      <c r="FF165" s="17">
        <f>FE165*VLOOKUP('Données projet'!$B$16,Paramètres!$A$1:$I$89,3,0)*VLOOKUP('Données projet'!$B$16,Paramètres!$A$1:$I$89,5,0)</f>
        <v>-1.0995790944434703E-13</v>
      </c>
      <c r="FG165" s="13" t="e">
        <f t="shared" si="182"/>
        <v>#NUM!</v>
      </c>
      <c r="FH165" s="20" t="e">
        <f t="shared" si="183"/>
        <v>#NUM!</v>
      </c>
      <c r="FI165" s="59" t="e">
        <f t="shared" si="131"/>
        <v>#NUM!</v>
      </c>
      <c r="FJ165" s="59">
        <f ca="1">AVERAGE(OFFSET($FI$3,0,0,'Données projet'!$E$16+1,1))-AVERAGE(OFFSET($H$3,0,0,'Données projet'!$E$16+1,1))</f>
        <v>422.28024471365825</v>
      </c>
      <c r="FK165" s="59">
        <f t="shared" si="156"/>
        <v>266.49730479813206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0</v>
      </c>
      <c r="FR165" s="21">
        <f>EXP(-LN(2)/25)*FR164+(1-EXP(-LN(2)/25))/(LN(2)/25)*Calculateur!FM165*Calculateur!FO165*VLOOKUP('Données projet'!$B$16,Paramètres!$A$1:$I$89,3,0)*0.475*44/12</f>
        <v>8.5451191972613999E-2</v>
      </c>
      <c r="FS165" s="21">
        <f>EXP(-LN(2)/2)*FS164+(1-EXP(-LN(2)/2))/(LN(2)/2)*FM165*FP165*VLOOKUP('Données projet'!$B$16,Paramètres!$A$1:$I$89,3,0)*0.475*44/12</f>
        <v>8.9666222453117953E-20</v>
      </c>
      <c r="FT165" s="22">
        <f t="shared" si="184"/>
        <v>8.5451191972613999E-2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69.588970319162897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3.4106051316484809E-13</v>
      </c>
      <c r="GA165" s="17">
        <f>FZ165*VLOOKUP('Données projet'!$B$17,Paramètres!$A$1:$I$89,3,0)*VLOOKUP('Données projet'!$B$17,Paramètres!$A$1:$I$89,5,0)</f>
        <v>2.6602720026858149E-13</v>
      </c>
      <c r="GB165" s="13">
        <f t="shared" si="185"/>
        <v>3.5662905043956649E-12</v>
      </c>
      <c r="GC165" s="20">
        <f t="shared" si="186"/>
        <v>6.6746200022902298E-12</v>
      </c>
      <c r="GD165" s="59">
        <f t="shared" si="134"/>
        <v>291.82622450360395</v>
      </c>
      <c r="GE165" s="59">
        <f ca="1">AVERAGE(OFFSET($GD$3,0,0,'Données projet'!$E$17+1,1))-AVERAGE(OFFSET($H$3,0,0,'Données projet'!$E$17+1,1))</f>
        <v>300.95722646933314</v>
      </c>
      <c r="GF165" s="59">
        <f t="shared" si="158"/>
        <v>269.52365224623759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>
        <f>EXP(-LN(2)/35)*GL164+(1-EXP(-LN(2)/35))/(LN(2)/35)*GH165*GI165*VLOOKUP('Données projet'!$B$17,Paramètres!$A$1:$I$89,3,0)*0.475*44/12</f>
        <v>6.5164082354176714E-2</v>
      </c>
      <c r="GM165" s="21">
        <f>EXP(-LN(2)/25)*GM164+(1-EXP(-LN(2)/25))/(LN(2)/25)*Calculateur!GH165*Calculateur!GJ165*VLOOKUP('Données projet'!$B$17,Paramètres!$A$1:$I$89,3,0)*0.475*44/12</f>
        <v>0.160578415622561</v>
      </c>
      <c r="GN165" s="21">
        <f>EXP(-LN(2)/2)*GN164+(1-EXP(-LN(2)/2))/(LN(2)/2)*GH165*GK165*VLOOKUP('Données projet'!$B$17,Paramètres!$A$1:$I$89,3,0)*0.475*44/12</f>
        <v>1.2006134503766861E-19</v>
      </c>
      <c r="GO165" s="21">
        <f t="shared" si="187"/>
        <v>0.22574249797673773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69.588970319162897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1.4000000000000001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5.1333333333333337</v>
      </c>
      <c r="H166" s="67">
        <f t="shared" si="110"/>
        <v>236.13333333333335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69.596100765200717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-3.4106051316484809E-13</v>
      </c>
      <c r="O166" s="13">
        <f>N166*VLOOKUP('Données projet'!$B$9,Paramètres!$A$1:$I$89,3,0)*VLOOKUP('Données projet'!$B$9,Paramètres!$A$1:$I$89,5,0)</f>
        <v>-3.0859155231155454E-13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479.46542424895119</v>
      </c>
      <c r="T166" s="59">
        <f t="shared" si="142"/>
        <v>337.96395820277337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0.17291879536548688</v>
      </c>
      <c r="AA166" s="21">
        <f>EXP(-LN(2)/25)*AA165+(1-EXP(-LN(2)/25))/(LN(2)/25)*Calculateur!V166*Calculateur!X166*VLOOKUP('Données projet'!$B$9,Paramètres!$A$1:$I$89,3,0)*0.475*44/12</f>
        <v>0.28244768609257159</v>
      </c>
      <c r="AB166" s="21">
        <f>EXP(-LN(2)/2)*AB165+(1-EXP(-LN(2)/2))/(LN(2)/2)*V166*Y166*VLOOKUP('Données projet'!$B$9,Paramètres!$A$1:$I$89,3,0)*0.475*44/12</f>
        <v>2.0654743364560905E-19</v>
      </c>
      <c r="AC166" s="22">
        <f t="shared" si="163"/>
        <v>0.45536648145805847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69.596100765200717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-3.4106051316484809E-13</v>
      </c>
      <c r="AJ166" s="13">
        <f>AI166*VLOOKUP('Données projet'!$B$10,Paramètres!$A$1:$I$89,3,0)*VLOOKUP('Données projet'!$B$10,Paramètres!$A$1:$I$89,5,0)</f>
        <v>-3.2987372833304104E-13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508.94560627895089</v>
      </c>
      <c r="AO166" s="59">
        <f t="shared" si="144"/>
        <v>357.86868650263034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0.184844229528624</v>
      </c>
      <c r="AV166" s="21">
        <f>EXP(-LN(2)/25)*AV165+(1-EXP(-LN(2)/25))/(LN(2)/25)*Calculateur!AQ166*Calculateur!AS166*VLOOKUP('Données projet'!$B$10,Paramètres!$A$1:$I$89,3,0)*0.475*44/12</f>
        <v>0.30192683685757643</v>
      </c>
      <c r="AW166" s="21">
        <f>EXP(-LN(2)/2)*AW165+(1-EXP(-LN(2)/2))/(LN(2)/2)*AQ166*AT166*VLOOKUP('Données projet'!$B$10,Paramètres!$A$1:$I$89,3,0)*0.475*44/12</f>
        <v>2.2079208424185693E-19</v>
      </c>
      <c r="AX166" s="21">
        <f t="shared" si="166"/>
        <v>0.48677106638620043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69.596100765200717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1.7053025658242404E-13</v>
      </c>
      <c r="BE166" s="13">
        <f>BD166*VLOOKUP('Données projet'!$B$11,Paramètres!$A$1:$I$89,3,0)*VLOOKUP('Données projet'!$B$11,Paramètres!$A$1:$I$89,5,0)</f>
        <v>1.3301360013429075E-13</v>
      </c>
      <c r="BF166" s="13">
        <f t="shared" si="167"/>
        <v>1.9329766731057041E-12</v>
      </c>
      <c r="BG166" s="20">
        <f t="shared" si="168"/>
        <v>3.5982663925596575E-12</v>
      </c>
      <c r="BH166" s="59">
        <f t="shared" si="116"/>
        <v>291.85236947240622</v>
      </c>
      <c r="BI166" s="59">
        <f ca="1">AVERAGE(OFFSET($BH$3,0,0,'Données projet'!$E$11+1,1))-AVERAGE(OFFSET($H$3,0,0,'Données projet'!$E$11+1,1))</f>
        <v>383.03154033422328</v>
      </c>
      <c r="BJ166" s="59">
        <f t="shared" si="146"/>
        <v>373.27897156169877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0.10381516347373755</v>
      </c>
      <c r="BQ166" s="21">
        <f>EXP(-LN(2)/25)*BQ165+(1-EXP(-LN(2)/25))/(LN(2)/25)*Calculateur!BL166*Calculateur!BN166*VLOOKUP('Données projet'!$B$11,Paramètres!$A$1:$I$89,3,0)*0.475*44/12</f>
        <v>0.20954792728224272</v>
      </c>
      <c r="BR166" s="21">
        <f>EXP(-LN(2)/2)*BR165+(1-EXP(-LN(2)/2))/(LN(2)/2)*BL166*BO166*VLOOKUP('Données projet'!$B$11,Paramètres!$A$1:$I$89,3,0)*0.475*44/12</f>
        <v>1.2526221014943103E-19</v>
      </c>
      <c r="BS166" s="22">
        <f t="shared" si="169"/>
        <v>0.31336309075598029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69.596100765200717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-3.4106051316484809E-13</v>
      </c>
      <c r="BZ166" s="13">
        <f>BY166*VLOOKUP('Données projet'!$B$12,Paramètres!$A$1:$I$89,3,0)*VLOOKUP('Données projet'!$B$12,Paramètres!$A$1:$I$89,5,0)</f>
        <v>-2.8730937629006804E-13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449.94334483948603</v>
      </c>
      <c r="CE166" s="59">
        <f t="shared" si="148"/>
        <v>318.02929110264176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0.16099336120235008</v>
      </c>
      <c r="CL166" s="21">
        <f>EXP(-LN(2)/25)*CL165+(1-EXP(-LN(2)/25))/(LN(2)/25)*Calculateur!CG166*Calculateur!CI166*VLOOKUP('Données projet'!$B$12,Paramètres!$A$1:$I$89,3,0)*0.475*44/12</f>
        <v>0.2629685353275667</v>
      </c>
      <c r="CM166" s="21">
        <f>EXP(-LN(2)/2)*CM165+(1-EXP(-LN(2)/2))/(LN(2)/2)*CG166*CJ166*VLOOKUP('Données projet'!$B$12,Paramètres!$A$1:$I$89,3,0)*0.475*44/12</f>
        <v>1.9230278304935946E-19</v>
      </c>
      <c r="CN166" s="22">
        <f t="shared" si="172"/>
        <v>0.42396189652991678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69.596100765200717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1.1368683772161603E-13</v>
      </c>
      <c r="CU166" s="17">
        <f>CT166*VLOOKUP('Données projet'!$B$13,Paramètres!$A$1:$I$89,3,0)*VLOOKUP('Données projet'!$B$13,Paramètres!$A$1:$I$89,5,0)</f>
        <v>9.7543306765146564E-14</v>
      </c>
      <c r="CV166" s="13">
        <f t="shared" si="173"/>
        <v>1.4696264278629426E-12</v>
      </c>
      <c r="CW166" s="20">
        <f t="shared" si="174"/>
        <v>2.7294872878105889E-12</v>
      </c>
      <c r="CX166" s="59">
        <f t="shared" si="122"/>
        <v>291.85236947240537</v>
      </c>
      <c r="CY166" s="59">
        <f ca="1">AVERAGE(OFFSET($CX$3,0,0,'Données projet'!$E$13+1,1))-AVERAGE(OFFSET($H$3,0,0,'Données projet'!$E$13+1,1))</f>
        <v>565.32667500225568</v>
      </c>
      <c r="CZ166" s="59">
        <f t="shared" si="150"/>
        <v>275.06957234480944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0</v>
      </c>
      <c r="DG166" s="21">
        <f>EXP(-LN(2)/25)*DG165+(1-EXP(-LN(2)/25))/(LN(2)/25)*Calculateur!DB166*Calculateur!DD166*VLOOKUP('Données projet'!$B$13,Paramètres!$A$1:$I$89,3,0)*0.475*44/12</f>
        <v>0.10967948076452809</v>
      </c>
      <c r="DH166" s="21">
        <f>EXP(-LN(2)/2)*DH165+(1-EXP(-LN(2)/2))/(LN(2)/2)*DB166*DE166*VLOOKUP('Données projet'!$B$13,Paramètres!$A$1:$I$89,3,0)*0.475*44/12</f>
        <v>6.7882045792249051E-20</v>
      </c>
      <c r="DI166" s="22">
        <f t="shared" si="175"/>
        <v>0.10967948076452809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69.596100765200717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-1.2505552149377763E-12</v>
      </c>
      <c r="DP166" s="17">
        <f>DO166*VLOOKUP('Données projet'!$B$14,Paramètres!$A$1:$I$89,3,0)*VLOOKUP('Données projet'!$B$14,Paramètres!$A$1:$I$89,5,0)</f>
        <v>-6.9906036515021697E-13</v>
      </c>
      <c r="DQ166" s="13" t="e">
        <f t="shared" si="176"/>
        <v>#NUM!</v>
      </c>
      <c r="DR166" s="20" t="e">
        <f t="shared" si="177"/>
        <v>#NUM!</v>
      </c>
      <c r="DS166" s="59" t="e">
        <f t="shared" si="125"/>
        <v>#NUM!</v>
      </c>
      <c r="DT166" s="59">
        <f ca="1">AVERAGE(OFFSET($DS$3,0,0,'Données projet'!$E$14+1,1))-AVERAGE(OFFSET($H$3,0,0,'Données projet'!$E$14+1,1))</f>
        <v>532.64469322244281</v>
      </c>
      <c r="DU166" s="59">
        <f t="shared" si="152"/>
        <v>525.88014011096413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0.81987359871567322</v>
      </c>
      <c r="EB166" s="21">
        <f>EXP(-LN(2)/25)*EB165+(1-EXP(-LN(2)/25))/(LN(2)/25)*Calculateur!DW166*Calculateur!DY166*VLOOKUP('Données projet'!$B$14,Paramètres!$A$1:$I$89,3,0)*0.475*44/12</f>
        <v>0.97028112213511875</v>
      </c>
      <c r="EC166" s="21">
        <f>EXP(-LN(2)/2)*EC165+(1-EXP(-LN(2)/2))/(LN(2)/2)*DW166*DZ166*VLOOKUP('Données projet'!$B$14,Paramètres!$A$1:$I$89,3,0)*0.475*44/12</f>
        <v>3.4951319317915652E-19</v>
      </c>
      <c r="ED166" s="22">
        <f t="shared" si="178"/>
        <v>1.790154720850792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69.596100765200717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-1.1368683772161603E-13</v>
      </c>
      <c r="EK166" s="17">
        <f>EJ166*VLOOKUP('Données projet'!$B$15,Paramètres!$A$1:$I$89,3,0)*VLOOKUP('Données projet'!$B$15,Paramètres!$A$1:$I$89,5,0)</f>
        <v>-1.0286385077051818E-13</v>
      </c>
      <c r="EL166" s="13" t="e">
        <f t="shared" si="179"/>
        <v>#NUM!</v>
      </c>
      <c r="EM166" s="20" t="e">
        <f t="shared" si="180"/>
        <v>#NUM!</v>
      </c>
      <c r="EN166" s="59" t="e">
        <f t="shared" si="128"/>
        <v>#NUM!</v>
      </c>
      <c r="EO166" s="59">
        <f ca="1">AVERAGE(OFFSET($EN$3,0,0,'Données projet'!$E$15+1,1))-AVERAGE(OFFSET($H$3,0,0,'Données projet'!$E$15+1,1))</f>
        <v>398.27843768730202</v>
      </c>
      <c r="EP166" s="59">
        <f t="shared" si="154"/>
        <v>252.3617347568813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0</v>
      </c>
      <c r="EW166" s="21">
        <f>EXP(-LN(2)/25)*EW165+(1-EXP(-LN(2)/25))/(LN(2)/25)*Calculateur!ER166*Calculateur!ET166*VLOOKUP('Données projet'!$B$15,Paramètres!$A$1:$I$89,3,0)*0.475*44/12</f>
        <v>7.7752297238669749E-2</v>
      </c>
      <c r="EX166" s="21">
        <f>EXP(-LN(2)/2)*EX165+(1-EXP(-LN(2)/2))/(LN(2)/2)*ER166*EU166*VLOOKUP('Données projet'!$B$15,Paramètres!$A$1:$I$89,3,0)*0.475*44/12</f>
        <v>5.9313039492240461E-20</v>
      </c>
      <c r="EY166" s="22">
        <f t="shared" si="181"/>
        <v>7.7752297238669749E-2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69.596100765200717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-1.1368683772161603E-13</v>
      </c>
      <c r="FF166" s="17">
        <f>FE166*VLOOKUP('Données projet'!$B$16,Paramètres!$A$1:$I$89,3,0)*VLOOKUP('Données projet'!$B$16,Paramètres!$A$1:$I$89,5,0)</f>
        <v>-1.0995790944434703E-13</v>
      </c>
      <c r="FG166" s="13" t="e">
        <f t="shared" si="182"/>
        <v>#NUM!</v>
      </c>
      <c r="FH166" s="20" t="e">
        <f t="shared" si="183"/>
        <v>#NUM!</v>
      </c>
      <c r="FI166" s="59" t="e">
        <f t="shared" si="131"/>
        <v>#NUM!</v>
      </c>
      <c r="FJ166" s="59">
        <f ca="1">AVERAGE(OFFSET($FI$3,0,0,'Données projet'!$E$16+1,1))-AVERAGE(OFFSET($H$3,0,0,'Données projet'!$E$16+1,1))</f>
        <v>422.28024471365825</v>
      </c>
      <c r="FK166" s="59">
        <f t="shared" si="156"/>
        <v>266.49730479813206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0</v>
      </c>
      <c r="FR166" s="21">
        <f>EXP(-LN(2)/25)*FR165+(1-EXP(-LN(2)/25))/(LN(2)/25)*Calculateur!FM166*Calculateur!FO166*VLOOKUP('Données projet'!$B$16,Paramètres!$A$1:$I$89,3,0)*0.475*44/12</f>
        <v>8.3114524634439982E-2</v>
      </c>
      <c r="FS166" s="21">
        <f>EXP(-LN(2)/2)*FS165+(1-EXP(-LN(2)/2))/(LN(2)/2)*FM166*FP166*VLOOKUP('Données projet'!$B$16,Paramètres!$A$1:$I$89,3,0)*0.475*44/12</f>
        <v>6.340359393998117E-20</v>
      </c>
      <c r="FT166" s="22">
        <f t="shared" si="184"/>
        <v>8.3114524634439982E-2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69.596100765200717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3.4106051316484809E-13</v>
      </c>
      <c r="GA166" s="17">
        <f>FZ166*VLOOKUP('Données projet'!$B$17,Paramètres!$A$1:$I$89,3,0)*VLOOKUP('Données projet'!$B$17,Paramètres!$A$1:$I$89,5,0)</f>
        <v>2.6602720026858149E-13</v>
      </c>
      <c r="GB166" s="13">
        <f t="shared" si="185"/>
        <v>3.5662905043956649E-12</v>
      </c>
      <c r="GC166" s="20">
        <f t="shared" si="186"/>
        <v>6.6746200022902298E-12</v>
      </c>
      <c r="GD166" s="59">
        <f t="shared" si="134"/>
        <v>291.85236947240929</v>
      </c>
      <c r="GE166" s="59">
        <f ca="1">AVERAGE(OFFSET($GD$3,0,0,'Données projet'!$E$17+1,1))-AVERAGE(OFFSET($H$3,0,0,'Données projet'!$E$17+1,1))</f>
        <v>300.95722646933314</v>
      </c>
      <c r="GF166" s="59">
        <f t="shared" si="158"/>
        <v>269.52365224623759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>
        <f>EXP(-LN(2)/35)*GL165+(1-EXP(-LN(2)/35))/(LN(2)/35)*GH166*GI166*VLOOKUP('Données projet'!$B$17,Paramètres!$A$1:$I$89,3,0)*0.475*44/12</f>
        <v>6.3886254445376933E-2</v>
      </c>
      <c r="GM166" s="21">
        <f>EXP(-LN(2)/25)*GM165+(1-EXP(-LN(2)/25))/(LN(2)/25)*Calculateur!GH166*Calculateur!GJ166*VLOOKUP('Données projet'!$B$17,Paramètres!$A$1:$I$89,3,0)*0.475*44/12</f>
        <v>0.15618739040291021</v>
      </c>
      <c r="GN166" s="21">
        <f>EXP(-LN(2)/2)*GN165+(1-EXP(-LN(2)/2))/(LN(2)/2)*GH166*GK166*VLOOKUP('Données projet'!$B$17,Paramètres!$A$1:$I$89,3,0)*0.475*44/12</f>
        <v>8.4896191234513324E-20</v>
      </c>
      <c r="GO166" s="21">
        <f t="shared" si="187"/>
        <v>0.22007364484828715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69.596100765200717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1.4000000000000001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5.1333333333333337</v>
      </c>
      <c r="H167" s="67">
        <f t="shared" si="110"/>
        <v>236.13333333333335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69.603107513941069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-3.4106051316484809E-13</v>
      </c>
      <c r="O167" s="13">
        <f>N167*VLOOKUP('Données projet'!$B$9,Paramètres!$A$1:$I$89,3,0)*VLOOKUP('Données projet'!$B$9,Paramètres!$A$1:$I$89,5,0)</f>
        <v>-3.0859155231155454E-13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479.46542424895119</v>
      </c>
      <c r="T167" s="59">
        <f t="shared" si="142"/>
        <v>337.96395820277337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0.16952796325842054</v>
      </c>
      <c r="AA167" s="21">
        <f>EXP(-LN(2)/25)*AA166+(1-EXP(-LN(2)/25))/(LN(2)/25)*Calculateur!V167*Calculateur!X167*VLOOKUP('Données projet'!$B$9,Paramètres!$A$1:$I$89,3,0)*0.475*44/12</f>
        <v>0.27472413926309197</v>
      </c>
      <c r="AB167" s="21">
        <f>EXP(-LN(2)/2)*AB166+(1-EXP(-LN(2)/2))/(LN(2)/2)*V167*Y167*VLOOKUP('Données projet'!$B$9,Paramètres!$A$1:$I$89,3,0)*0.475*44/12</f>
        <v>1.4605109096748862E-19</v>
      </c>
      <c r="AC167" s="22">
        <f t="shared" si="163"/>
        <v>0.44425210252151248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69.603107513941069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-3.4106051316484809E-13</v>
      </c>
      <c r="AJ167" s="13">
        <f>AI167*VLOOKUP('Données projet'!$B$10,Paramètres!$A$1:$I$89,3,0)*VLOOKUP('Données projet'!$B$10,Paramètres!$A$1:$I$89,5,0)</f>
        <v>-3.2987372833304104E-13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508.94560627895089</v>
      </c>
      <c r="AO167" s="59">
        <f t="shared" si="144"/>
        <v>357.86868650263034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0.18121954693141518</v>
      </c>
      <c r="AV167" s="21">
        <f>EXP(-LN(2)/25)*AV166+(1-EXP(-LN(2)/25))/(LN(2)/25)*Calculateur!AQ167*Calculateur!AS167*VLOOKUP('Données projet'!$B$10,Paramètres!$A$1:$I$89,3,0)*0.475*44/12</f>
        <v>0.29367063162606372</v>
      </c>
      <c r="AW167" s="21">
        <f>EXP(-LN(2)/2)*AW166+(1-EXP(-LN(2)/2))/(LN(2)/2)*AQ167*AT167*VLOOKUP('Données projet'!$B$10,Paramètres!$A$1:$I$89,3,0)*0.475*44/12</f>
        <v>1.561235799997285E-19</v>
      </c>
      <c r="AX167" s="21">
        <f t="shared" si="166"/>
        <v>0.47489017855747889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69.603107513941069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1.7053025658242404E-13</v>
      </c>
      <c r="BE167" s="13">
        <f>BD167*VLOOKUP('Données projet'!$B$11,Paramètres!$A$1:$I$89,3,0)*VLOOKUP('Données projet'!$B$11,Paramètres!$A$1:$I$89,5,0)</f>
        <v>1.3301360013429075E-13</v>
      </c>
      <c r="BF167" s="13">
        <f t="shared" si="167"/>
        <v>1.9329766731057041E-12</v>
      </c>
      <c r="BG167" s="20">
        <f t="shared" si="168"/>
        <v>3.5982663925596575E-12</v>
      </c>
      <c r="BH167" s="59">
        <f t="shared" si="116"/>
        <v>291.87806088445416</v>
      </c>
      <c r="BI167" s="59">
        <f ca="1">AVERAGE(OFFSET($BH$3,0,0,'Données projet'!$E$11+1,1))-AVERAGE(OFFSET($H$3,0,0,'Données projet'!$E$11+1,1))</f>
        <v>383.03154033422328</v>
      </c>
      <c r="BJ167" s="59">
        <f t="shared" si="146"/>
        <v>373.27897156169877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0.10177941143901485</v>
      </c>
      <c r="BQ167" s="21">
        <f>EXP(-LN(2)/25)*BQ166+(1-EXP(-LN(2)/25))/(LN(2)/25)*Calculateur!BL167*Calculateur!BN167*VLOOKUP('Données projet'!$B$11,Paramètres!$A$1:$I$89,3,0)*0.475*44/12</f>
        <v>0.20381782819106323</v>
      </c>
      <c r="BR167" s="21">
        <f>EXP(-LN(2)/2)*BR166+(1-EXP(-LN(2)/2))/(LN(2)/2)*BL167*BO167*VLOOKUP('Données projet'!$B$11,Paramètres!$A$1:$I$89,3,0)*0.475*44/12</f>
        <v>8.857375822307706E-20</v>
      </c>
      <c r="BS167" s="22">
        <f t="shared" si="169"/>
        <v>0.30559723963007807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69.603107513941069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-3.4106051316484809E-13</v>
      </c>
      <c r="BZ167" s="13">
        <f>BY167*VLOOKUP('Données projet'!$B$12,Paramètres!$A$1:$I$89,3,0)*VLOOKUP('Données projet'!$B$12,Paramètres!$A$1:$I$89,5,0)</f>
        <v>-2.8730937629006804E-13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449.94334483948603</v>
      </c>
      <c r="CE167" s="59">
        <f t="shared" si="148"/>
        <v>318.02929110264176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0.15783637958542626</v>
      </c>
      <c r="CL167" s="21">
        <f>EXP(-LN(2)/25)*CL166+(1-EXP(-LN(2)/25))/(LN(2)/25)*Calculateur!CG167*Calculateur!CI167*VLOOKUP('Données projet'!$B$12,Paramètres!$A$1:$I$89,3,0)*0.475*44/12</f>
        <v>0.25577764690012011</v>
      </c>
      <c r="CM167" s="21">
        <f>EXP(-LN(2)/2)*CM166+(1-EXP(-LN(2)/2))/(LN(2)/2)*CG167*CJ167*VLOOKUP('Données projet'!$B$12,Paramètres!$A$1:$I$89,3,0)*0.475*44/12</f>
        <v>1.3597860193524754E-19</v>
      </c>
      <c r="CN167" s="22">
        <f t="shared" si="172"/>
        <v>0.41361402648554635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69.603107513941069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1.1368683772161603E-13</v>
      </c>
      <c r="CU167" s="17">
        <f>CT167*VLOOKUP('Données projet'!$B$13,Paramètres!$A$1:$I$89,3,0)*VLOOKUP('Données projet'!$B$13,Paramètres!$A$1:$I$89,5,0)</f>
        <v>9.7543306765146564E-14</v>
      </c>
      <c r="CV167" s="13">
        <f t="shared" si="173"/>
        <v>1.4696264278629426E-12</v>
      </c>
      <c r="CW167" s="20">
        <f t="shared" si="174"/>
        <v>2.7294872878105889E-12</v>
      </c>
      <c r="CX167" s="59">
        <f t="shared" si="122"/>
        <v>291.8780608844533</v>
      </c>
      <c r="CY167" s="59">
        <f ca="1">AVERAGE(OFFSET($CX$3,0,0,'Données projet'!$E$13+1,1))-AVERAGE(OFFSET($H$3,0,0,'Données projet'!$E$13+1,1))</f>
        <v>565.32667500225568</v>
      </c>
      <c r="CZ167" s="59">
        <f t="shared" si="150"/>
        <v>275.06957234480944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0</v>
      </c>
      <c r="DG167" s="21">
        <f>EXP(-LN(2)/25)*DG166+(1-EXP(-LN(2)/25))/(LN(2)/25)*Calculateur!DB167*Calculateur!DD167*VLOOKUP('Données projet'!$B$13,Paramètres!$A$1:$I$89,3,0)*0.475*44/12</f>
        <v>0.10668028959522885</v>
      </c>
      <c r="DH167" s="21">
        <f>EXP(-LN(2)/2)*DH166+(1-EXP(-LN(2)/2))/(LN(2)/2)*DB167*DE167*VLOOKUP('Données projet'!$B$13,Paramètres!$A$1:$I$89,3,0)*0.475*44/12</f>
        <v>4.799985490051505E-20</v>
      </c>
      <c r="DI167" s="22">
        <f t="shared" si="175"/>
        <v>0.10668028959522885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69.603107513941069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-1.2505552149377763E-12</v>
      </c>
      <c r="DP167" s="17">
        <f>DO167*VLOOKUP('Données projet'!$B$14,Paramètres!$A$1:$I$89,3,0)*VLOOKUP('Données projet'!$B$14,Paramètres!$A$1:$I$89,5,0)</f>
        <v>-6.9906036515021697E-13</v>
      </c>
      <c r="DQ167" s="13" t="e">
        <f t="shared" si="176"/>
        <v>#NUM!</v>
      </c>
      <c r="DR167" s="20" t="e">
        <f t="shared" si="177"/>
        <v>#NUM!</v>
      </c>
      <c r="DS167" s="59" t="e">
        <f t="shared" si="125"/>
        <v>#NUM!</v>
      </c>
      <c r="DT167" s="59">
        <f ca="1">AVERAGE(OFFSET($DS$3,0,0,'Données projet'!$E$14+1,1))-AVERAGE(OFFSET($H$3,0,0,'Données projet'!$E$14+1,1))</f>
        <v>532.64469322244281</v>
      </c>
      <c r="DU167" s="59">
        <f t="shared" si="152"/>
        <v>525.88014011096413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0.80379637751837596</v>
      </c>
      <c r="EB167" s="21">
        <f>EXP(-LN(2)/25)*EB166+(1-EXP(-LN(2)/25))/(LN(2)/25)*Calculateur!DW167*Calculateur!DY167*VLOOKUP('Données projet'!$B$14,Paramètres!$A$1:$I$89,3,0)*0.475*44/12</f>
        <v>0.94374873382546731</v>
      </c>
      <c r="EC167" s="21">
        <f>EXP(-LN(2)/2)*EC166+(1-EXP(-LN(2)/2))/(LN(2)/2)*DW167*DZ167*VLOOKUP('Données projet'!$B$14,Paramètres!$A$1:$I$89,3,0)*0.475*44/12</f>
        <v>2.4714314901114534E-19</v>
      </c>
      <c r="ED167" s="22">
        <f t="shared" si="178"/>
        <v>1.7475451113438432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69.603107513941069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-1.1368683772161603E-13</v>
      </c>
      <c r="EK167" s="17">
        <f>EJ167*VLOOKUP('Données projet'!$B$15,Paramètres!$A$1:$I$89,3,0)*VLOOKUP('Données projet'!$B$15,Paramètres!$A$1:$I$89,5,0)</f>
        <v>-1.0286385077051818E-13</v>
      </c>
      <c r="EL167" s="13" t="e">
        <f t="shared" si="179"/>
        <v>#NUM!</v>
      </c>
      <c r="EM167" s="20" t="e">
        <f t="shared" si="180"/>
        <v>#NUM!</v>
      </c>
      <c r="EN167" s="59" t="e">
        <f t="shared" si="128"/>
        <v>#NUM!</v>
      </c>
      <c r="EO167" s="59">
        <f ca="1">AVERAGE(OFFSET($EN$3,0,0,'Données projet'!$E$15+1,1))-AVERAGE(OFFSET($H$3,0,0,'Données projet'!$E$15+1,1))</f>
        <v>398.27843768730202</v>
      </c>
      <c r="EP167" s="59">
        <f t="shared" si="154"/>
        <v>252.3617347568813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0</v>
      </c>
      <c r="EW167" s="21">
        <f>EXP(-LN(2)/25)*EW166+(1-EXP(-LN(2)/25))/(LN(2)/25)*Calculateur!ER167*Calculateur!ET167*VLOOKUP('Données projet'!$B$15,Paramètres!$A$1:$I$89,3,0)*0.475*44/12</f>
        <v>7.5626156581862725E-2</v>
      </c>
      <c r="EX167" s="21">
        <f>EXP(-LN(2)/2)*EX166+(1-EXP(-LN(2)/2))/(LN(2)/2)*ER167*EU167*VLOOKUP('Données projet'!$B$15,Paramètres!$A$1:$I$89,3,0)*0.475*44/12</f>
        <v>4.1940652437748728E-20</v>
      </c>
      <c r="EY167" s="22">
        <f t="shared" si="181"/>
        <v>7.5626156581862725E-2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69.603107513941069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-1.1368683772161603E-13</v>
      </c>
      <c r="FF167" s="17">
        <f>FE167*VLOOKUP('Données projet'!$B$16,Paramètres!$A$1:$I$89,3,0)*VLOOKUP('Données projet'!$B$16,Paramètres!$A$1:$I$89,5,0)</f>
        <v>-1.0995790944434703E-13</v>
      </c>
      <c r="FG167" s="13" t="e">
        <f t="shared" si="182"/>
        <v>#NUM!</v>
      </c>
      <c r="FH167" s="20" t="e">
        <f t="shared" si="183"/>
        <v>#NUM!</v>
      </c>
      <c r="FI167" s="59" t="e">
        <f t="shared" si="131"/>
        <v>#NUM!</v>
      </c>
      <c r="FJ167" s="59">
        <f ca="1">AVERAGE(OFFSET($FI$3,0,0,'Données projet'!$E$16+1,1))-AVERAGE(OFFSET($H$3,0,0,'Données projet'!$E$16+1,1))</f>
        <v>422.28024471365825</v>
      </c>
      <c r="FK167" s="59">
        <f t="shared" si="156"/>
        <v>266.49730479813206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0</v>
      </c>
      <c r="FR167" s="21">
        <f>EXP(-LN(2)/25)*FR166+(1-EXP(-LN(2)/25))/(LN(2)/25)*Calculateur!FM167*Calculateur!FO167*VLOOKUP('Données projet'!$B$16,Paramètres!$A$1:$I$89,3,0)*0.475*44/12</f>
        <v>8.0841753587508336E-2</v>
      </c>
      <c r="FS167" s="21">
        <f>EXP(-LN(2)/2)*FS166+(1-EXP(-LN(2)/2))/(LN(2)/2)*FM167*FP167*VLOOKUP('Données projet'!$B$16,Paramètres!$A$1:$I$89,3,0)*0.475*44/12</f>
        <v>4.4833111226558977E-20</v>
      </c>
      <c r="FT167" s="22">
        <f t="shared" si="184"/>
        <v>8.0841753587508336E-2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69.603107513941069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3.4106051316484809E-13</v>
      </c>
      <c r="GA167" s="17">
        <f>FZ167*VLOOKUP('Données projet'!$B$17,Paramètres!$A$1:$I$89,3,0)*VLOOKUP('Données projet'!$B$17,Paramètres!$A$1:$I$89,5,0)</f>
        <v>2.6602720026858149E-13</v>
      </c>
      <c r="GB167" s="13">
        <f t="shared" si="185"/>
        <v>3.5662905043956649E-12</v>
      </c>
      <c r="GC167" s="20">
        <f t="shared" si="186"/>
        <v>6.6746200022902298E-12</v>
      </c>
      <c r="GD167" s="59">
        <f t="shared" si="134"/>
        <v>291.87806088445723</v>
      </c>
      <c r="GE167" s="59">
        <f ca="1">AVERAGE(OFFSET($GD$3,0,0,'Données projet'!$E$17+1,1))-AVERAGE(OFFSET($H$3,0,0,'Données projet'!$E$17+1,1))</f>
        <v>300.95722646933314</v>
      </c>
      <c r="GF167" s="59">
        <f t="shared" si="158"/>
        <v>269.52365224623759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>
        <f>EXP(-LN(2)/35)*GL166+(1-EXP(-LN(2)/35))/(LN(2)/35)*GH167*GI167*VLOOKUP('Données projet'!$B$17,Paramètres!$A$1:$I$89,3,0)*0.475*44/12</f>
        <v>6.2633483962470649E-2</v>
      </c>
      <c r="GM167" s="21">
        <f>EXP(-LN(2)/25)*GM166+(1-EXP(-LN(2)/25))/(LN(2)/25)*Calculateur!GH167*Calculateur!GJ167*VLOOKUP('Données projet'!$B$17,Paramètres!$A$1:$I$89,3,0)*0.475*44/12</f>
        <v>0.15191643799880475</v>
      </c>
      <c r="GN167" s="21">
        <f>EXP(-LN(2)/2)*GN166+(1-EXP(-LN(2)/2))/(LN(2)/2)*GH167*GK167*VLOOKUP('Données projet'!$B$17,Paramètres!$A$1:$I$89,3,0)*0.475*44/12</f>
        <v>6.0030672518834306E-20</v>
      </c>
      <c r="GO167" s="21">
        <f t="shared" si="187"/>
        <v>0.2145499219612754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69.603107513941069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1.4000000000000001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5.1333333333333337</v>
      </c>
      <c r="H168" s="67">
        <f t="shared" si="110"/>
        <v>236.13333333333335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69.609992711255529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-3.4106051316484809E-13</v>
      </c>
      <c r="O168" s="13">
        <f>N168*VLOOKUP('Données projet'!$B$9,Paramètres!$A$1:$I$89,3,0)*VLOOKUP('Données projet'!$B$9,Paramètres!$A$1:$I$89,5,0)</f>
        <v>-3.0859155231155454E-13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479.46542424895119</v>
      </c>
      <c r="T168" s="59">
        <f t="shared" si="142"/>
        <v>337.96395820277337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0.1662036233007704</v>
      </c>
      <c r="AA168" s="21">
        <f>EXP(-LN(2)/25)*AA167+(1-EXP(-LN(2)/25))/(LN(2)/25)*Calculateur!V168*Calculateur!X168*VLOOKUP('Données projet'!$B$9,Paramètres!$A$1:$I$89,3,0)*0.475*44/12</f>
        <v>0.26721179322782812</v>
      </c>
      <c r="AB168" s="21">
        <f>EXP(-LN(2)/2)*AB167+(1-EXP(-LN(2)/2))/(LN(2)/2)*V168*Y168*VLOOKUP('Données projet'!$B$9,Paramètres!$A$1:$I$89,3,0)*0.475*44/12</f>
        <v>1.0327371682280452E-19</v>
      </c>
      <c r="AC168" s="22">
        <f t="shared" si="163"/>
        <v>0.4334154165285985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69.609992711255529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-3.4106051316484809E-13</v>
      </c>
      <c r="AJ168" s="13">
        <f>AI168*VLOOKUP('Données projet'!$B$10,Paramètres!$A$1:$I$89,3,0)*VLOOKUP('Données projet'!$B$10,Paramètres!$A$1:$I$89,5,0)</f>
        <v>-3.2987372833304104E-13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508.94560627895089</v>
      </c>
      <c r="AO168" s="59">
        <f t="shared" si="144"/>
        <v>357.86868650263034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0.17766594214909953</v>
      </c>
      <c r="AV168" s="21">
        <f>EXP(-LN(2)/25)*AV167+(1-EXP(-LN(2)/25))/(LN(2)/25)*Calculateur!AQ168*Calculateur!AS168*VLOOKUP('Données projet'!$B$10,Paramètres!$A$1:$I$89,3,0)*0.475*44/12</f>
        <v>0.28564019276078167</v>
      </c>
      <c r="AW168" s="21">
        <f>EXP(-LN(2)/2)*AW167+(1-EXP(-LN(2)/2))/(LN(2)/2)*AQ168*AT168*VLOOKUP('Données projet'!$B$10,Paramètres!$A$1:$I$89,3,0)*0.475*44/12</f>
        <v>1.1039604212092846E-19</v>
      </c>
      <c r="AX168" s="21">
        <f t="shared" si="166"/>
        <v>0.46330613490988121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69.609992711255529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1.7053025658242404E-13</v>
      </c>
      <c r="BE168" s="13">
        <f>BD168*VLOOKUP('Données projet'!$B$11,Paramètres!$A$1:$I$89,3,0)*VLOOKUP('Données projet'!$B$11,Paramètres!$A$1:$I$89,5,0)</f>
        <v>1.3301360013429075E-13</v>
      </c>
      <c r="BF168" s="13">
        <f t="shared" si="167"/>
        <v>1.9329766731057041E-12</v>
      </c>
      <c r="BG168" s="20">
        <f t="shared" si="168"/>
        <v>3.5982663925596575E-12</v>
      </c>
      <c r="BH168" s="59">
        <f t="shared" si="116"/>
        <v>291.90330660794052</v>
      </c>
      <c r="BI168" s="59">
        <f ca="1">AVERAGE(OFFSET($BH$3,0,0,'Données projet'!$E$11+1,1))-AVERAGE(OFFSET($H$3,0,0,'Données projet'!$E$11+1,1))</f>
        <v>383.03154033422328</v>
      </c>
      <c r="BJ168" s="59">
        <f t="shared" si="146"/>
        <v>373.27897156169877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9.978357926000693E-2</v>
      </c>
      <c r="BQ168" s="21">
        <f>EXP(-LN(2)/25)*BQ167+(1-EXP(-LN(2)/25))/(LN(2)/25)*Calculateur!BL168*Calculateur!BN168*VLOOKUP('Données projet'!$B$11,Paramètres!$A$1:$I$89,3,0)*0.475*44/12</f>
        <v>0.19824441896086484</v>
      </c>
      <c r="BR168" s="21">
        <f>EXP(-LN(2)/2)*BR167+(1-EXP(-LN(2)/2))/(LN(2)/2)*BL168*BO168*VLOOKUP('Données projet'!$B$11,Paramètres!$A$1:$I$89,3,0)*0.475*44/12</f>
        <v>6.2631105074715514E-20</v>
      </c>
      <c r="BS168" s="22">
        <f t="shared" si="169"/>
        <v>0.29802799822087178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69.609992711255529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-3.4106051316484809E-13</v>
      </c>
      <c r="BZ168" s="13">
        <f>BY168*VLOOKUP('Données projet'!$B$12,Paramètres!$A$1:$I$89,3,0)*VLOOKUP('Données projet'!$B$12,Paramètres!$A$1:$I$89,5,0)</f>
        <v>-2.8730937629006804E-13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449.94334483948603</v>
      </c>
      <c r="CE168" s="59">
        <f t="shared" si="148"/>
        <v>318.02929110264176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0.15474130445244166</v>
      </c>
      <c r="CL168" s="21">
        <f>EXP(-LN(2)/25)*CL167+(1-EXP(-LN(2)/25))/(LN(2)/25)*Calculateur!CG168*Calculateur!CI168*VLOOKUP('Données projet'!$B$12,Paramètres!$A$1:$I$89,3,0)*0.475*44/12</f>
        <v>0.24878339369487446</v>
      </c>
      <c r="CM168" s="21">
        <f>EXP(-LN(2)/2)*CM167+(1-EXP(-LN(2)/2))/(LN(2)/2)*CG168*CJ168*VLOOKUP('Données projet'!$B$12,Paramètres!$A$1:$I$89,3,0)*0.475*44/12</f>
        <v>9.615139152467973E-20</v>
      </c>
      <c r="CN168" s="22">
        <f t="shared" si="172"/>
        <v>0.40352469814731612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69.609992711255529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1.1368683772161603E-13</v>
      </c>
      <c r="CU168" s="17">
        <f>CT168*VLOOKUP('Données projet'!$B$13,Paramètres!$A$1:$I$89,3,0)*VLOOKUP('Données projet'!$B$13,Paramètres!$A$1:$I$89,5,0)</f>
        <v>9.7543306765146564E-14</v>
      </c>
      <c r="CV168" s="13">
        <f t="shared" si="173"/>
        <v>1.4696264278629426E-12</v>
      </c>
      <c r="CW168" s="20">
        <f t="shared" si="174"/>
        <v>2.7294872878105889E-12</v>
      </c>
      <c r="CX168" s="59">
        <f t="shared" si="122"/>
        <v>291.90330660793967</v>
      </c>
      <c r="CY168" s="59">
        <f ca="1">AVERAGE(OFFSET($CX$3,0,0,'Données projet'!$E$13+1,1))-AVERAGE(OFFSET($H$3,0,0,'Données projet'!$E$13+1,1))</f>
        <v>565.32667500225568</v>
      </c>
      <c r="CZ168" s="59">
        <f t="shared" si="150"/>
        <v>275.06957234480944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0</v>
      </c>
      <c r="DG168" s="21">
        <f>EXP(-LN(2)/25)*DG167+(1-EXP(-LN(2)/25))/(LN(2)/25)*Calculateur!DB168*Calculateur!DD168*VLOOKUP('Données projet'!$B$13,Paramètres!$A$1:$I$89,3,0)*0.475*44/12</f>
        <v>0.10376311146617472</v>
      </c>
      <c r="DH168" s="21">
        <f>EXP(-LN(2)/2)*DH167+(1-EXP(-LN(2)/2))/(LN(2)/2)*DB168*DE168*VLOOKUP('Données projet'!$B$13,Paramètres!$A$1:$I$89,3,0)*0.475*44/12</f>
        <v>3.3941022896124526E-20</v>
      </c>
      <c r="DI168" s="22">
        <f t="shared" si="175"/>
        <v>0.10376311146617472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69.609992711255529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-1.2505552149377763E-12</v>
      </c>
      <c r="DP168" s="17">
        <f>DO168*VLOOKUP('Données projet'!$B$14,Paramètres!$A$1:$I$89,3,0)*VLOOKUP('Données projet'!$B$14,Paramètres!$A$1:$I$89,5,0)</f>
        <v>-6.9906036515021697E-13</v>
      </c>
      <c r="DQ168" s="13" t="e">
        <f t="shared" si="176"/>
        <v>#NUM!</v>
      </c>
      <c r="DR168" s="20" t="e">
        <f t="shared" si="177"/>
        <v>#NUM!</v>
      </c>
      <c r="DS168" s="59" t="e">
        <f t="shared" si="125"/>
        <v>#NUM!</v>
      </c>
      <c r="DT168" s="59">
        <f ca="1">AVERAGE(OFFSET($DS$3,0,0,'Données projet'!$E$14+1,1))-AVERAGE(OFFSET($H$3,0,0,'Données projet'!$E$14+1,1))</f>
        <v>532.64469322244281</v>
      </c>
      <c r="DU168" s="59">
        <f t="shared" si="152"/>
        <v>525.88014011096413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0.78803442082262098</v>
      </c>
      <c r="EB168" s="21">
        <f>EXP(-LN(2)/25)*EB167+(1-EXP(-LN(2)/25))/(LN(2)/25)*Calculateur!DW168*Calculateur!DY168*VLOOKUP('Données projet'!$B$14,Paramètres!$A$1:$I$89,3,0)*0.475*44/12</f>
        <v>0.91794187506942093</v>
      </c>
      <c r="EC168" s="21">
        <f>EXP(-LN(2)/2)*EC167+(1-EXP(-LN(2)/2))/(LN(2)/2)*DW168*DZ168*VLOOKUP('Données projet'!$B$14,Paramètres!$A$1:$I$89,3,0)*0.475*44/12</f>
        <v>1.7475659658957826E-19</v>
      </c>
      <c r="ED168" s="22">
        <f t="shared" si="178"/>
        <v>1.7059762958920419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69.609992711255529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-1.1368683772161603E-13</v>
      </c>
      <c r="EK168" s="17">
        <f>EJ168*VLOOKUP('Données projet'!$B$15,Paramètres!$A$1:$I$89,3,0)*VLOOKUP('Données projet'!$B$15,Paramètres!$A$1:$I$89,5,0)</f>
        <v>-1.0286385077051818E-13</v>
      </c>
      <c r="EL168" s="13" t="e">
        <f t="shared" si="179"/>
        <v>#NUM!</v>
      </c>
      <c r="EM168" s="20" t="e">
        <f t="shared" si="180"/>
        <v>#NUM!</v>
      </c>
      <c r="EN168" s="59" t="e">
        <f t="shared" si="128"/>
        <v>#NUM!</v>
      </c>
      <c r="EO168" s="59">
        <f ca="1">AVERAGE(OFFSET($EN$3,0,0,'Données projet'!$E$15+1,1))-AVERAGE(OFFSET($H$3,0,0,'Données projet'!$E$15+1,1))</f>
        <v>398.27843768730202</v>
      </c>
      <c r="EP168" s="59">
        <f t="shared" si="154"/>
        <v>252.3617347568813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0</v>
      </c>
      <c r="EW168" s="21">
        <f>EXP(-LN(2)/25)*EW167+(1-EXP(-LN(2)/25))/(LN(2)/25)*Calculateur!ER168*Calculateur!ET168*VLOOKUP('Données projet'!$B$15,Paramètres!$A$1:$I$89,3,0)*0.475*44/12</f>
        <v>7.355815535312496E-2</v>
      </c>
      <c r="EX168" s="21">
        <f>EXP(-LN(2)/2)*EX167+(1-EXP(-LN(2)/2))/(LN(2)/2)*ER168*EU168*VLOOKUP('Données projet'!$B$15,Paramètres!$A$1:$I$89,3,0)*0.475*44/12</f>
        <v>2.965651974612023E-20</v>
      </c>
      <c r="EY168" s="22">
        <f t="shared" si="181"/>
        <v>7.355815535312496E-2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69.609992711255529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-1.1368683772161603E-13</v>
      </c>
      <c r="FF168" s="17">
        <f>FE168*VLOOKUP('Données projet'!$B$16,Paramètres!$A$1:$I$89,3,0)*VLOOKUP('Données projet'!$B$16,Paramètres!$A$1:$I$89,5,0)</f>
        <v>-1.0995790944434703E-13</v>
      </c>
      <c r="FG168" s="13" t="e">
        <f t="shared" si="182"/>
        <v>#NUM!</v>
      </c>
      <c r="FH168" s="20" t="e">
        <f t="shared" si="183"/>
        <v>#NUM!</v>
      </c>
      <c r="FI168" s="59" t="e">
        <f t="shared" si="131"/>
        <v>#NUM!</v>
      </c>
      <c r="FJ168" s="59">
        <f ca="1">AVERAGE(OFFSET($FI$3,0,0,'Données projet'!$E$16+1,1))-AVERAGE(OFFSET($H$3,0,0,'Données projet'!$E$16+1,1))</f>
        <v>422.28024471365825</v>
      </c>
      <c r="FK168" s="59">
        <f t="shared" si="156"/>
        <v>266.49730479813206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0</v>
      </c>
      <c r="FR168" s="21">
        <f>EXP(-LN(2)/25)*FR167+(1-EXP(-LN(2)/25))/(LN(2)/25)*Calculateur!FM168*Calculateur!FO168*VLOOKUP('Données projet'!$B$16,Paramètres!$A$1:$I$89,3,0)*0.475*44/12</f>
        <v>7.8631131584374861E-2</v>
      </c>
      <c r="FS168" s="21">
        <f>EXP(-LN(2)/2)*FS167+(1-EXP(-LN(2)/2))/(LN(2)/2)*FM168*FP168*VLOOKUP('Données projet'!$B$16,Paramètres!$A$1:$I$89,3,0)*0.475*44/12</f>
        <v>3.1701796969990585E-20</v>
      </c>
      <c r="FT168" s="22">
        <f t="shared" si="184"/>
        <v>7.8631131584374861E-2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69.609992711255529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3.4106051316484809E-13</v>
      </c>
      <c r="GA168" s="17">
        <f>FZ168*VLOOKUP('Données projet'!$B$17,Paramètres!$A$1:$I$89,3,0)*VLOOKUP('Données projet'!$B$17,Paramètres!$A$1:$I$89,5,0)</f>
        <v>2.6602720026858149E-13</v>
      </c>
      <c r="GB168" s="13">
        <f t="shared" si="185"/>
        <v>3.5662905043956649E-12</v>
      </c>
      <c r="GC168" s="20">
        <f t="shared" si="186"/>
        <v>6.6746200022902298E-12</v>
      </c>
      <c r="GD168" s="59">
        <f t="shared" si="134"/>
        <v>291.90330660794359</v>
      </c>
      <c r="GE168" s="59">
        <f ca="1">AVERAGE(OFFSET($GD$3,0,0,'Données projet'!$E$17+1,1))-AVERAGE(OFFSET($H$3,0,0,'Données projet'!$E$17+1,1))</f>
        <v>300.95722646933314</v>
      </c>
      <c r="GF168" s="59">
        <f t="shared" si="158"/>
        <v>269.52365224623759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>
        <f>EXP(-LN(2)/35)*GL167+(1-EXP(-LN(2)/35))/(LN(2)/35)*GH168*GI168*VLOOKUP('Données projet'!$B$17,Paramètres!$A$1:$I$89,3,0)*0.475*44/12</f>
        <v>6.140527954461962E-2</v>
      </c>
      <c r="GM168" s="21">
        <f>EXP(-LN(2)/25)*GM167+(1-EXP(-LN(2)/25))/(LN(2)/25)*Calculateur!GH168*Calculateur!GJ168*VLOOKUP('Données projet'!$B$17,Paramètres!$A$1:$I$89,3,0)*0.475*44/12</f>
        <v>0.14776227501278916</v>
      </c>
      <c r="GN168" s="21">
        <f>EXP(-LN(2)/2)*GN167+(1-EXP(-LN(2)/2))/(LN(2)/2)*GH168*GK168*VLOOKUP('Données projet'!$B$17,Paramètres!$A$1:$I$89,3,0)*0.475*44/12</f>
        <v>4.2448095617256662E-20</v>
      </c>
      <c r="GO168" s="21">
        <f t="shared" si="187"/>
        <v>0.20916755455740876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69.609992711255529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1.4000000000000001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5.1333333333333337</v>
      </c>
      <c r="H169" s="67">
        <f t="shared" si="110"/>
        <v>236.13333333333335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69.616758465789573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-3.4106051316484809E-13</v>
      </c>
      <c r="O169" s="13">
        <f>N169*VLOOKUP('Données projet'!$B$9,Paramètres!$A$1:$I$89,3,0)*VLOOKUP('Données projet'!$B$9,Paramètres!$A$1:$I$89,5,0)</f>
        <v>-3.0859155231155454E-13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479.46542424895119</v>
      </c>
      <c r="T169" s="59">
        <f t="shared" si="142"/>
        <v>337.96395820277337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0.16294447162204265</v>
      </c>
      <c r="AA169" s="21">
        <f>EXP(-LN(2)/25)*AA168+(1-EXP(-LN(2)/25))/(LN(2)/25)*Calculateur!V169*Calculateur!X169*VLOOKUP('Données projet'!$B$9,Paramètres!$A$1:$I$89,3,0)*0.475*44/12</f>
        <v>0.25990487268995566</v>
      </c>
      <c r="AB169" s="21">
        <f>EXP(-LN(2)/2)*AB168+(1-EXP(-LN(2)/2))/(LN(2)/2)*V169*Y169*VLOOKUP('Données projet'!$B$9,Paramètres!$A$1:$I$89,3,0)*0.475*44/12</f>
        <v>7.302554548374431E-20</v>
      </c>
      <c r="AC169" s="22">
        <f t="shared" si="163"/>
        <v>0.42284934431199828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69.616758465789573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-3.4106051316484809E-13</v>
      </c>
      <c r="AJ169" s="13">
        <f>AI169*VLOOKUP('Données projet'!$B$10,Paramètres!$A$1:$I$89,3,0)*VLOOKUP('Données projet'!$B$10,Paramètres!$A$1:$I$89,5,0)</f>
        <v>-3.2987372833304104E-13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508.94560627895089</v>
      </c>
      <c r="AO169" s="59">
        <f t="shared" si="144"/>
        <v>357.86868650263034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0.1741820213890802</v>
      </c>
      <c r="AV169" s="21">
        <f>EXP(-LN(2)/25)*AV168+(1-EXP(-LN(2)/25))/(LN(2)/25)*Calculateur!AQ169*Calculateur!AS169*VLOOKUP('Données projet'!$B$10,Paramètres!$A$1:$I$89,3,0)*0.475*44/12</f>
        <v>0.27782934666857323</v>
      </c>
      <c r="AW169" s="21">
        <f>EXP(-LN(2)/2)*AW168+(1-EXP(-LN(2)/2))/(LN(2)/2)*AQ169*AT169*VLOOKUP('Données projet'!$B$10,Paramètres!$A$1:$I$89,3,0)*0.475*44/12</f>
        <v>7.8061789999864249E-20</v>
      </c>
      <c r="AX169" s="21">
        <f t="shared" si="166"/>
        <v>0.45201136805765341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69.616758465789573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1.7053025658242404E-13</v>
      </c>
      <c r="BE169" s="13">
        <f>BD169*VLOOKUP('Données projet'!$B$11,Paramètres!$A$1:$I$89,3,0)*VLOOKUP('Données projet'!$B$11,Paramètres!$A$1:$I$89,5,0)</f>
        <v>1.3301360013429075E-13</v>
      </c>
      <c r="BF169" s="13">
        <f t="shared" si="167"/>
        <v>1.9329766731057041E-12</v>
      </c>
      <c r="BG169" s="20">
        <f t="shared" si="168"/>
        <v>3.5982663925596575E-12</v>
      </c>
      <c r="BH169" s="59">
        <f t="shared" si="116"/>
        <v>291.92811437456533</v>
      </c>
      <c r="BI169" s="59">
        <f ca="1">AVERAGE(OFFSET($BH$3,0,0,'Données projet'!$E$11+1,1))-AVERAGE(OFFSET($H$3,0,0,'Données projet'!$E$11+1,1))</f>
        <v>383.03154033422328</v>
      </c>
      <c r="BJ169" s="59">
        <f t="shared" si="146"/>
        <v>373.27897156169877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9.7826884132691916E-2</v>
      </c>
      <c r="BQ169" s="21">
        <f>EXP(-LN(2)/25)*BQ168+(1-EXP(-LN(2)/25))/(LN(2)/25)*Calculateur!BL169*Calculateur!BN169*VLOOKUP('Données projet'!$B$11,Paramètres!$A$1:$I$89,3,0)*0.475*44/12</f>
        <v>0.19282341489915908</v>
      </c>
      <c r="BR169" s="21">
        <f>EXP(-LN(2)/2)*BR168+(1-EXP(-LN(2)/2))/(LN(2)/2)*BL169*BO169*VLOOKUP('Données projet'!$B$11,Paramètres!$A$1:$I$89,3,0)*0.475*44/12</f>
        <v>4.428687911153853E-20</v>
      </c>
      <c r="BS169" s="22">
        <f t="shared" si="169"/>
        <v>0.29065029903185102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69.616758465789573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-3.4106051316484809E-13</v>
      </c>
      <c r="BZ169" s="13">
        <f>BY169*VLOOKUP('Données projet'!$B$12,Paramètres!$A$1:$I$89,3,0)*VLOOKUP('Données projet'!$B$12,Paramètres!$A$1:$I$89,5,0)</f>
        <v>-2.8730937629006804E-13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449.94334483948603</v>
      </c>
      <c r="CE169" s="59">
        <f t="shared" si="148"/>
        <v>318.02929110264176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0.15170692185500545</v>
      </c>
      <c r="CL169" s="21">
        <f>EXP(-LN(2)/25)*CL168+(1-EXP(-LN(2)/25))/(LN(2)/25)*Calculateur!CG169*Calculateur!CI169*VLOOKUP('Données projet'!$B$12,Paramètres!$A$1:$I$89,3,0)*0.475*44/12</f>
        <v>0.24198039871133803</v>
      </c>
      <c r="CM169" s="21">
        <f>EXP(-LN(2)/2)*CM168+(1-EXP(-LN(2)/2))/(LN(2)/2)*CG169*CJ169*VLOOKUP('Données projet'!$B$12,Paramètres!$A$1:$I$89,3,0)*0.475*44/12</f>
        <v>6.7989300967623769E-20</v>
      </c>
      <c r="CN169" s="22">
        <f t="shared" si="172"/>
        <v>0.39368732056634348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69.616758465789573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1.1368683772161603E-13</v>
      </c>
      <c r="CU169" s="17">
        <f>CT169*VLOOKUP('Données projet'!$B$13,Paramètres!$A$1:$I$89,3,0)*VLOOKUP('Données projet'!$B$13,Paramètres!$A$1:$I$89,5,0)</f>
        <v>9.7543306765146564E-14</v>
      </c>
      <c r="CV169" s="13">
        <f t="shared" si="173"/>
        <v>1.4696264278629426E-12</v>
      </c>
      <c r="CW169" s="20">
        <f t="shared" si="174"/>
        <v>2.7294872878105889E-12</v>
      </c>
      <c r="CX169" s="59">
        <f t="shared" si="122"/>
        <v>291.92811437456447</v>
      </c>
      <c r="CY169" s="59">
        <f ca="1">AVERAGE(OFFSET($CX$3,0,0,'Données projet'!$E$13+1,1))-AVERAGE(OFFSET($H$3,0,0,'Données projet'!$E$13+1,1))</f>
        <v>565.32667500225568</v>
      </c>
      <c r="CZ169" s="59">
        <f t="shared" si="150"/>
        <v>275.06957234480944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0</v>
      </c>
      <c r="DG169" s="21">
        <f>EXP(-LN(2)/25)*DG168+(1-EXP(-LN(2)/25))/(LN(2)/25)*Calculateur!DB169*Calculateur!DD169*VLOOKUP('Données projet'!$B$13,Paramètres!$A$1:$I$89,3,0)*0.475*44/12</f>
        <v>0.10092570372646729</v>
      </c>
      <c r="DH169" s="21">
        <f>EXP(-LN(2)/2)*DH168+(1-EXP(-LN(2)/2))/(LN(2)/2)*DB169*DE169*VLOOKUP('Données projet'!$B$13,Paramètres!$A$1:$I$89,3,0)*0.475*44/12</f>
        <v>2.3999927450257525E-20</v>
      </c>
      <c r="DI169" s="22">
        <f t="shared" si="175"/>
        <v>0.10092570372646729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69.616758465789573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-1.2505552149377763E-12</v>
      </c>
      <c r="DP169" s="17">
        <f>DO169*VLOOKUP('Données projet'!$B$14,Paramètres!$A$1:$I$89,3,0)*VLOOKUP('Données projet'!$B$14,Paramètres!$A$1:$I$89,5,0)</f>
        <v>-6.9906036515021697E-13</v>
      </c>
      <c r="DQ169" s="13" t="e">
        <f t="shared" si="176"/>
        <v>#NUM!</v>
      </c>
      <c r="DR169" s="20" t="e">
        <f t="shared" si="177"/>
        <v>#NUM!</v>
      </c>
      <c r="DS169" s="59" t="e">
        <f t="shared" si="125"/>
        <v>#NUM!</v>
      </c>
      <c r="DT169" s="59">
        <f ca="1">AVERAGE(OFFSET($DS$3,0,0,'Données projet'!$E$14+1,1))-AVERAGE(OFFSET($H$3,0,0,'Données projet'!$E$14+1,1))</f>
        <v>532.64469322244281</v>
      </c>
      <c r="DU169" s="59">
        <f t="shared" si="152"/>
        <v>525.88014011096413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0.77258154648382549</v>
      </c>
      <c r="EB169" s="21">
        <f>EXP(-LN(2)/25)*EB168+(1-EXP(-LN(2)/25))/(LN(2)/25)*Calculateur!DW169*Calculateur!DY169*VLOOKUP('Données projet'!$B$14,Paramètres!$A$1:$I$89,3,0)*0.475*44/12</f>
        <v>0.89284070622318235</v>
      </c>
      <c r="EC169" s="21">
        <f>EXP(-LN(2)/2)*EC168+(1-EXP(-LN(2)/2))/(LN(2)/2)*DW169*DZ169*VLOOKUP('Données projet'!$B$14,Paramètres!$A$1:$I$89,3,0)*0.475*44/12</f>
        <v>1.2357157450557267E-19</v>
      </c>
      <c r="ED169" s="22">
        <f t="shared" si="178"/>
        <v>1.6654222527070077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69.616758465789573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-1.1368683772161603E-13</v>
      </c>
      <c r="EK169" s="17">
        <f>EJ169*VLOOKUP('Données projet'!$B$15,Paramètres!$A$1:$I$89,3,0)*VLOOKUP('Données projet'!$B$15,Paramètres!$A$1:$I$89,5,0)</f>
        <v>-1.0286385077051818E-13</v>
      </c>
      <c r="EL169" s="13" t="e">
        <f t="shared" si="179"/>
        <v>#NUM!</v>
      </c>
      <c r="EM169" s="20" t="e">
        <f t="shared" si="180"/>
        <v>#NUM!</v>
      </c>
      <c r="EN169" s="59" t="e">
        <f t="shared" si="128"/>
        <v>#NUM!</v>
      </c>
      <c r="EO169" s="59">
        <f ca="1">AVERAGE(OFFSET($EN$3,0,0,'Données projet'!$E$15+1,1))-AVERAGE(OFFSET($H$3,0,0,'Données projet'!$E$15+1,1))</f>
        <v>398.27843768730202</v>
      </c>
      <c r="EP169" s="59">
        <f t="shared" si="154"/>
        <v>252.3617347568813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0</v>
      </c>
      <c r="EW169" s="21">
        <f>EXP(-LN(2)/25)*EW168+(1-EXP(-LN(2)/25))/(LN(2)/25)*Calculateur!ER169*Calculateur!ET169*VLOOKUP('Données projet'!$B$15,Paramètres!$A$1:$I$89,3,0)*0.475*44/12</f>
        <v>7.1546703726738492E-2</v>
      </c>
      <c r="EX169" s="21">
        <f>EXP(-LN(2)/2)*EX168+(1-EXP(-LN(2)/2))/(LN(2)/2)*ER169*EU169*VLOOKUP('Données projet'!$B$15,Paramètres!$A$1:$I$89,3,0)*0.475*44/12</f>
        <v>2.0970326218874364E-20</v>
      </c>
      <c r="EY169" s="22">
        <f t="shared" si="181"/>
        <v>7.1546703726738492E-2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69.616758465789573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-1.1368683772161603E-13</v>
      </c>
      <c r="FF169" s="17">
        <f>FE169*VLOOKUP('Données projet'!$B$16,Paramètres!$A$1:$I$89,3,0)*VLOOKUP('Données projet'!$B$16,Paramètres!$A$1:$I$89,5,0)</f>
        <v>-1.0995790944434703E-13</v>
      </c>
      <c r="FG169" s="13" t="e">
        <f t="shared" si="182"/>
        <v>#NUM!</v>
      </c>
      <c r="FH169" s="20" t="e">
        <f t="shared" si="183"/>
        <v>#NUM!</v>
      </c>
      <c r="FI169" s="59" t="e">
        <f t="shared" si="131"/>
        <v>#NUM!</v>
      </c>
      <c r="FJ169" s="59">
        <f ca="1">AVERAGE(OFFSET($FI$3,0,0,'Données projet'!$E$16+1,1))-AVERAGE(OFFSET($H$3,0,0,'Données projet'!$E$16+1,1))</f>
        <v>422.28024471365825</v>
      </c>
      <c r="FK169" s="59">
        <f t="shared" si="156"/>
        <v>266.49730479813206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0</v>
      </c>
      <c r="FR169" s="21">
        <f>EXP(-LN(2)/25)*FR168+(1-EXP(-LN(2)/25))/(LN(2)/25)*Calculateur!FM169*Calculateur!FO169*VLOOKUP('Données projet'!$B$16,Paramètres!$A$1:$I$89,3,0)*0.475*44/12</f>
        <v>7.6480959156168635E-2</v>
      </c>
      <c r="FS169" s="21">
        <f>EXP(-LN(2)/2)*FS168+(1-EXP(-LN(2)/2))/(LN(2)/2)*FM169*FP169*VLOOKUP('Données projet'!$B$16,Paramètres!$A$1:$I$89,3,0)*0.475*44/12</f>
        <v>2.2416555613279488E-20</v>
      </c>
      <c r="FT169" s="22">
        <f t="shared" si="184"/>
        <v>7.6480959156168635E-2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69.616758465789573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3.4106051316484809E-13</v>
      </c>
      <c r="GA169" s="17">
        <f>FZ169*VLOOKUP('Données projet'!$B$17,Paramètres!$A$1:$I$89,3,0)*VLOOKUP('Données projet'!$B$17,Paramètres!$A$1:$I$89,5,0)</f>
        <v>2.6602720026858149E-13</v>
      </c>
      <c r="GB169" s="13">
        <f t="shared" si="185"/>
        <v>3.5662905043956649E-12</v>
      </c>
      <c r="GC169" s="20">
        <f t="shared" si="186"/>
        <v>6.6746200022902298E-12</v>
      </c>
      <c r="GD169" s="59">
        <f t="shared" si="134"/>
        <v>291.92811437456839</v>
      </c>
      <c r="GE169" s="59">
        <f ca="1">AVERAGE(OFFSET($GD$3,0,0,'Données projet'!$E$17+1,1))-AVERAGE(OFFSET($H$3,0,0,'Données projet'!$E$17+1,1))</f>
        <v>300.95722646933314</v>
      </c>
      <c r="GF169" s="59">
        <f t="shared" si="158"/>
        <v>269.52365224623759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>
        <f>EXP(-LN(2)/35)*GL168+(1-EXP(-LN(2)/35))/(LN(2)/35)*GH169*GI169*VLOOKUP('Données projet'!$B$17,Paramètres!$A$1:$I$89,3,0)*0.475*44/12</f>
        <v>6.0201159466271921E-2</v>
      </c>
      <c r="GM169" s="21">
        <f>EXP(-LN(2)/25)*GM168+(1-EXP(-LN(2)/25))/(LN(2)/25)*Calculateur!GH169*Calculateur!GJ169*VLOOKUP('Données projet'!$B$17,Paramètres!$A$1:$I$89,3,0)*0.475*44/12</f>
        <v>0.1437217078320841</v>
      </c>
      <c r="GN169" s="21">
        <f>EXP(-LN(2)/2)*GN168+(1-EXP(-LN(2)/2))/(LN(2)/2)*GH169*GK169*VLOOKUP('Données projet'!$B$17,Paramètres!$A$1:$I$89,3,0)*0.475*44/12</f>
        <v>3.0015336259417153E-20</v>
      </c>
      <c r="GO169" s="21">
        <f t="shared" si="187"/>
        <v>0.20392286729835601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69.616758465789573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1.4000000000000001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5.1333333333333337</v>
      </c>
      <c r="H170" s="67">
        <f t="shared" si="110"/>
        <v>236.13333333333335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69.623406849608415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-3.4106051316484809E-13</v>
      </c>
      <c r="O170" s="13">
        <f>N170*VLOOKUP('Données projet'!$B$9,Paramètres!$A$1:$I$89,3,0)*VLOOKUP('Données projet'!$B$9,Paramètres!$A$1:$I$89,5,0)</f>
        <v>-3.0859155231155454E-13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479.46542424895119</v>
      </c>
      <c r="T170" s="59">
        <f t="shared" si="142"/>
        <v>337.96395820277337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0.1597492299198485</v>
      </c>
      <c r="AA170" s="21">
        <f>EXP(-LN(2)/25)*AA169+(1-EXP(-LN(2)/25))/(LN(2)/25)*Calculateur!V170*Calculateur!X170*VLOOKUP('Données projet'!$B$9,Paramètres!$A$1:$I$89,3,0)*0.475*44/12</f>
        <v>0.25279776027844558</v>
      </c>
      <c r="AB170" s="21">
        <f>EXP(-LN(2)/2)*AB169+(1-EXP(-LN(2)/2))/(LN(2)/2)*V170*Y170*VLOOKUP('Données projet'!$B$9,Paramètres!$A$1:$I$89,3,0)*0.475*44/12</f>
        <v>5.1636858411402262E-20</v>
      </c>
      <c r="AC170" s="22">
        <f t="shared" si="163"/>
        <v>0.41254699019829411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69.623406849608415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-3.4106051316484809E-13</v>
      </c>
      <c r="AJ170" s="13">
        <f>AI170*VLOOKUP('Données projet'!$B$10,Paramètres!$A$1:$I$89,3,0)*VLOOKUP('Données projet'!$B$10,Paramètres!$A$1:$I$89,5,0)</f>
        <v>-3.2987372833304104E-13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508.94560627895089</v>
      </c>
      <c r="AO170" s="59">
        <f t="shared" si="144"/>
        <v>357.86868650263034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0.17076641819018301</v>
      </c>
      <c r="AV170" s="21">
        <f>EXP(-LN(2)/25)*AV169+(1-EXP(-LN(2)/25))/(LN(2)/25)*Calculateur!AQ170*Calculateur!AS170*VLOOKUP('Données projet'!$B$10,Paramètres!$A$1:$I$89,3,0)*0.475*44/12</f>
        <v>0.27023208857351072</v>
      </c>
      <c r="AW170" s="21">
        <f>EXP(-LN(2)/2)*AW169+(1-EXP(-LN(2)/2))/(LN(2)/2)*AQ170*AT170*VLOOKUP('Données projet'!$B$10,Paramètres!$A$1:$I$89,3,0)*0.475*44/12</f>
        <v>5.5198021060464232E-20</v>
      </c>
      <c r="AX170" s="21">
        <f t="shared" si="166"/>
        <v>0.44099850676369373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69.623406849608415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1.7053025658242404E-13</v>
      </c>
      <c r="BE170" s="13">
        <f>BD170*VLOOKUP('Données projet'!$B$11,Paramètres!$A$1:$I$89,3,0)*VLOOKUP('Données projet'!$B$11,Paramètres!$A$1:$I$89,5,0)</f>
        <v>1.3301360013429075E-13</v>
      </c>
      <c r="BF170" s="13">
        <f t="shared" si="167"/>
        <v>1.9329766731057041E-12</v>
      </c>
      <c r="BG170" s="20">
        <f t="shared" si="168"/>
        <v>3.5982663925596575E-12</v>
      </c>
      <c r="BH170" s="59">
        <f t="shared" si="116"/>
        <v>291.95249178190113</v>
      </c>
      <c r="BI170" s="59">
        <f ca="1">AVERAGE(OFFSET($BH$3,0,0,'Données projet'!$E$11+1,1))-AVERAGE(OFFSET($H$3,0,0,'Données projet'!$E$11+1,1))</f>
        <v>383.03154033422328</v>
      </c>
      <c r="BJ170" s="59">
        <f t="shared" si="146"/>
        <v>373.27897156169877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9.5908558603357369E-2</v>
      </c>
      <c r="BQ170" s="21">
        <f>EXP(-LN(2)/25)*BQ169+(1-EXP(-LN(2)/25))/(LN(2)/25)*Calculateur!BL170*Calculateur!BN170*VLOOKUP('Données projet'!$B$11,Paramètres!$A$1:$I$89,3,0)*0.475*44/12</f>
        <v>0.1875506484785989</v>
      </c>
      <c r="BR170" s="21">
        <f>EXP(-LN(2)/2)*BR169+(1-EXP(-LN(2)/2))/(LN(2)/2)*BL170*BO170*VLOOKUP('Données projet'!$B$11,Paramètres!$A$1:$I$89,3,0)*0.475*44/12</f>
        <v>3.1315552537357757E-20</v>
      </c>
      <c r="BS170" s="22">
        <f t="shared" si="169"/>
        <v>0.28345920708195627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69.623406849608415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-3.4106051316484809E-13</v>
      </c>
      <c r="BZ170" s="13">
        <f>BY170*VLOOKUP('Données projet'!$B$12,Paramètres!$A$1:$I$89,3,0)*VLOOKUP('Données projet'!$B$12,Paramètres!$A$1:$I$89,5,0)</f>
        <v>-2.8730937629006804E-13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449.94334483948603</v>
      </c>
      <c r="CE170" s="59">
        <f t="shared" si="148"/>
        <v>318.02929110264176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0.14873204164951434</v>
      </c>
      <c r="CL170" s="21">
        <f>EXP(-LN(2)/25)*CL169+(1-EXP(-LN(2)/25))/(LN(2)/25)*Calculateur!CG170*Calculateur!CI170*VLOOKUP('Données projet'!$B$12,Paramètres!$A$1:$I$89,3,0)*0.475*44/12</f>
        <v>0.23536343198338039</v>
      </c>
      <c r="CM170" s="21">
        <f>EXP(-LN(2)/2)*CM169+(1-EXP(-LN(2)/2))/(LN(2)/2)*CG170*CJ170*VLOOKUP('Données projet'!$B$12,Paramètres!$A$1:$I$89,3,0)*0.475*44/12</f>
        <v>4.8075695762339865E-20</v>
      </c>
      <c r="CN170" s="22">
        <f t="shared" si="172"/>
        <v>0.38409547363289476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69.623406849608415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1.1368683772161603E-13</v>
      </c>
      <c r="CU170" s="17">
        <f>CT170*VLOOKUP('Données projet'!$B$13,Paramètres!$A$1:$I$89,3,0)*VLOOKUP('Données projet'!$B$13,Paramètres!$A$1:$I$89,5,0)</f>
        <v>9.7543306765146564E-14</v>
      </c>
      <c r="CV170" s="13">
        <f t="shared" si="173"/>
        <v>1.4696264278629426E-12</v>
      </c>
      <c r="CW170" s="20">
        <f t="shared" si="174"/>
        <v>2.7294872878105889E-12</v>
      </c>
      <c r="CX170" s="59">
        <f t="shared" si="122"/>
        <v>291.95249178190028</v>
      </c>
      <c r="CY170" s="59">
        <f ca="1">AVERAGE(OFFSET($CX$3,0,0,'Données projet'!$E$13+1,1))-AVERAGE(OFFSET($H$3,0,0,'Données projet'!$E$13+1,1))</f>
        <v>565.32667500225568</v>
      </c>
      <c r="CZ170" s="59">
        <f t="shared" si="150"/>
        <v>275.06957234480944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0</v>
      </c>
      <c r="DG170" s="21">
        <f>EXP(-LN(2)/25)*DG169+(1-EXP(-LN(2)/25))/(LN(2)/25)*Calculateur!DB170*Calculateur!DD170*VLOOKUP('Données projet'!$B$13,Paramètres!$A$1:$I$89,3,0)*0.475*44/12</f>
        <v>9.8165885050614951E-2</v>
      </c>
      <c r="DH170" s="21">
        <f>EXP(-LN(2)/2)*DH169+(1-EXP(-LN(2)/2))/(LN(2)/2)*DB170*DE170*VLOOKUP('Données projet'!$B$13,Paramètres!$A$1:$I$89,3,0)*0.475*44/12</f>
        <v>1.6970511448062263E-20</v>
      </c>
      <c r="DI170" s="22">
        <f t="shared" si="175"/>
        <v>9.8165885050614951E-2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69.623406849608415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-1.2505552149377763E-12</v>
      </c>
      <c r="DP170" s="17">
        <f>DO170*VLOOKUP('Données projet'!$B$14,Paramètres!$A$1:$I$89,3,0)*VLOOKUP('Données projet'!$B$14,Paramètres!$A$1:$I$89,5,0)</f>
        <v>-6.9906036515021697E-13</v>
      </c>
      <c r="DQ170" s="13" t="e">
        <f t="shared" si="176"/>
        <v>#NUM!</v>
      </c>
      <c r="DR170" s="20" t="e">
        <f t="shared" si="177"/>
        <v>#NUM!</v>
      </c>
      <c r="DS170" s="59" t="e">
        <f t="shared" si="125"/>
        <v>#NUM!</v>
      </c>
      <c r="DT170" s="59">
        <f ca="1">AVERAGE(OFFSET($DS$3,0,0,'Données projet'!$E$14+1,1))-AVERAGE(OFFSET($H$3,0,0,'Données projet'!$E$14+1,1))</f>
        <v>532.64469322244281</v>
      </c>
      <c r="DU170" s="59">
        <f t="shared" si="152"/>
        <v>525.88014011096413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0.75743169358549112</v>
      </c>
      <c r="EB170" s="21">
        <f>EXP(-LN(2)/25)*EB169+(1-EXP(-LN(2)/25))/(LN(2)/25)*Calculateur!DW170*Calculateur!DY170*VLOOKUP('Données projet'!$B$14,Paramètres!$A$1:$I$89,3,0)*0.475*44/12</f>
        <v>0.86842593015905734</v>
      </c>
      <c r="EC170" s="21">
        <f>EXP(-LN(2)/2)*EC169+(1-EXP(-LN(2)/2))/(LN(2)/2)*DW170*DZ170*VLOOKUP('Données projet'!$B$14,Paramètres!$A$1:$I$89,3,0)*0.475*44/12</f>
        <v>8.737829829478913E-20</v>
      </c>
      <c r="ED170" s="22">
        <f t="shared" si="178"/>
        <v>1.6258576237445483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69.623406849608415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-1.1368683772161603E-13</v>
      </c>
      <c r="EK170" s="17">
        <f>EJ170*VLOOKUP('Données projet'!$B$15,Paramètres!$A$1:$I$89,3,0)*VLOOKUP('Données projet'!$B$15,Paramètres!$A$1:$I$89,5,0)</f>
        <v>-1.0286385077051818E-13</v>
      </c>
      <c r="EL170" s="13" t="e">
        <f t="shared" si="179"/>
        <v>#NUM!</v>
      </c>
      <c r="EM170" s="20" t="e">
        <f t="shared" si="180"/>
        <v>#NUM!</v>
      </c>
      <c r="EN170" s="59" t="e">
        <f t="shared" si="128"/>
        <v>#NUM!</v>
      </c>
      <c r="EO170" s="59">
        <f ca="1">AVERAGE(OFFSET($EN$3,0,0,'Données projet'!$E$15+1,1))-AVERAGE(OFFSET($H$3,0,0,'Données projet'!$E$15+1,1))</f>
        <v>398.27843768730202</v>
      </c>
      <c r="EP170" s="59">
        <f t="shared" si="154"/>
        <v>252.3617347568813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0</v>
      </c>
      <c r="EW170" s="21">
        <f>EXP(-LN(2)/25)*EW169+(1-EXP(-LN(2)/25))/(LN(2)/25)*Calculateur!ER170*Calculateur!ET170*VLOOKUP('Données projet'!$B$15,Paramètres!$A$1:$I$89,3,0)*0.475*44/12</f>
        <v>6.9590255350853197E-2</v>
      </c>
      <c r="EX170" s="21">
        <f>EXP(-LN(2)/2)*EX169+(1-EXP(-LN(2)/2))/(LN(2)/2)*ER170*EU170*VLOOKUP('Données projet'!$B$15,Paramètres!$A$1:$I$89,3,0)*0.475*44/12</f>
        <v>1.4828259873060115E-20</v>
      </c>
      <c r="EY170" s="22">
        <f t="shared" si="181"/>
        <v>6.9590255350853197E-2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69.623406849608415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-1.1368683772161603E-13</v>
      </c>
      <c r="FF170" s="17">
        <f>FE170*VLOOKUP('Données projet'!$B$16,Paramètres!$A$1:$I$89,3,0)*VLOOKUP('Données projet'!$B$16,Paramètres!$A$1:$I$89,5,0)</f>
        <v>-1.0995790944434703E-13</v>
      </c>
      <c r="FG170" s="13" t="e">
        <f t="shared" si="182"/>
        <v>#NUM!</v>
      </c>
      <c r="FH170" s="20" t="e">
        <f t="shared" si="183"/>
        <v>#NUM!</v>
      </c>
      <c r="FI170" s="59" t="e">
        <f t="shared" si="131"/>
        <v>#NUM!</v>
      </c>
      <c r="FJ170" s="59">
        <f ca="1">AVERAGE(OFFSET($FI$3,0,0,'Données projet'!$E$16+1,1))-AVERAGE(OFFSET($H$3,0,0,'Données projet'!$E$16+1,1))</f>
        <v>422.28024471365825</v>
      </c>
      <c r="FK170" s="59">
        <f t="shared" si="156"/>
        <v>266.49730479813206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0</v>
      </c>
      <c r="FR170" s="21">
        <f>EXP(-LN(2)/25)*FR169+(1-EXP(-LN(2)/25))/(LN(2)/25)*Calculateur!FM170*Calculateur!FO170*VLOOKUP('Données projet'!$B$16,Paramètres!$A$1:$I$89,3,0)*0.475*44/12</f>
        <v>7.4389583306084361E-2</v>
      </c>
      <c r="FS170" s="21">
        <f>EXP(-LN(2)/2)*FS169+(1-EXP(-LN(2)/2))/(LN(2)/2)*FM170*FP170*VLOOKUP('Données projet'!$B$16,Paramètres!$A$1:$I$89,3,0)*0.475*44/12</f>
        <v>1.5850898484995292E-20</v>
      </c>
      <c r="FT170" s="22">
        <f t="shared" si="184"/>
        <v>7.4389583306084361E-2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69.623406849608415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3.4106051316484809E-13</v>
      </c>
      <c r="GA170" s="17">
        <f>FZ170*VLOOKUP('Données projet'!$B$17,Paramètres!$A$1:$I$89,3,0)*VLOOKUP('Données projet'!$B$17,Paramètres!$A$1:$I$89,5,0)</f>
        <v>2.6602720026858149E-13</v>
      </c>
      <c r="GB170" s="13">
        <f t="shared" si="185"/>
        <v>3.5662905043956649E-12</v>
      </c>
      <c r="GC170" s="20">
        <f t="shared" si="186"/>
        <v>6.6746200022902298E-12</v>
      </c>
      <c r="GD170" s="59">
        <f t="shared" si="134"/>
        <v>291.9524917819042</v>
      </c>
      <c r="GE170" s="59">
        <f ca="1">AVERAGE(OFFSET($GD$3,0,0,'Données projet'!$E$17+1,1))-AVERAGE(OFFSET($H$3,0,0,'Données projet'!$E$17+1,1))</f>
        <v>300.95722646933314</v>
      </c>
      <c r="GF170" s="59">
        <f t="shared" si="158"/>
        <v>269.52365224623759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>
        <f>EXP(-LN(2)/35)*GL169+(1-EXP(-LN(2)/35))/(LN(2)/35)*GH170*GI170*VLOOKUP('Données projet'!$B$17,Paramètres!$A$1:$I$89,3,0)*0.475*44/12</f>
        <v>5.9020651448219892E-2</v>
      </c>
      <c r="GM170" s="21">
        <f>EXP(-LN(2)/25)*GM169+(1-EXP(-LN(2)/25))/(LN(2)/25)*Calculateur!GH170*Calculateur!GJ170*VLOOKUP('Données projet'!$B$17,Paramètres!$A$1:$I$89,3,0)*0.475*44/12</f>
        <v>0.13979163017341964</v>
      </c>
      <c r="GN170" s="21">
        <f>EXP(-LN(2)/2)*GN169+(1-EXP(-LN(2)/2))/(LN(2)/2)*GH170*GK170*VLOOKUP('Données projet'!$B$17,Paramètres!$A$1:$I$89,3,0)*0.475*44/12</f>
        <v>2.1224047808628331E-20</v>
      </c>
      <c r="GO170" s="21">
        <f t="shared" si="187"/>
        <v>0.19881228162163952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69.623406849608415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1.4000000000000001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5.1333333333333337</v>
      </c>
      <c r="H171" s="67">
        <f t="shared" si="110"/>
        <v>236.13333333333335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69.629939898831552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-3.4106051316484809E-13</v>
      </c>
      <c r="O171" s="13">
        <f>N171*VLOOKUP('Données projet'!$B$9,Paramètres!$A$1:$I$89,3,0)*VLOOKUP('Données projet'!$B$9,Paramètres!$A$1:$I$89,5,0)</f>
        <v>-3.0859155231155454E-13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479.46542424895119</v>
      </c>
      <c r="T171" s="59">
        <f t="shared" si="142"/>
        <v>337.96395820277337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0.15661664495852937</v>
      </c>
      <c r="AA171" s="21">
        <f>EXP(-LN(2)/25)*AA170+(1-EXP(-LN(2)/25))/(LN(2)/25)*Calculateur!V171*Calculateur!X171*VLOOKUP('Données projet'!$B$9,Paramètres!$A$1:$I$89,3,0)*0.475*44/12</f>
        <v>0.24588499222957505</v>
      </c>
      <c r="AB171" s="21">
        <f>EXP(-LN(2)/2)*AB170+(1-EXP(-LN(2)/2))/(LN(2)/2)*V171*Y171*VLOOKUP('Données projet'!$B$9,Paramètres!$A$1:$I$89,3,0)*0.475*44/12</f>
        <v>3.6512772741872155E-20</v>
      </c>
      <c r="AC171" s="22">
        <f t="shared" si="163"/>
        <v>0.40250163718810439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69.629939898831552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-3.4106051316484809E-13</v>
      </c>
      <c r="AJ171" s="13">
        <f>AI171*VLOOKUP('Données projet'!$B$10,Paramètres!$A$1:$I$89,3,0)*VLOOKUP('Données projet'!$B$10,Paramètres!$A$1:$I$89,5,0)</f>
        <v>-3.2987372833304104E-13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508.94560627895089</v>
      </c>
      <c r="AO171" s="59">
        <f t="shared" si="144"/>
        <v>357.86868650263034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0.16741779288670394</v>
      </c>
      <c r="AV171" s="21">
        <f>EXP(-LN(2)/25)*AV170+(1-EXP(-LN(2)/25))/(LN(2)/25)*Calculateur!AQ171*Calculateur!AS171*VLOOKUP('Données projet'!$B$10,Paramètres!$A$1:$I$89,3,0)*0.475*44/12</f>
        <v>0.26284257790058013</v>
      </c>
      <c r="AW171" s="21">
        <f>EXP(-LN(2)/2)*AW170+(1-EXP(-LN(2)/2))/(LN(2)/2)*AQ171*AT171*VLOOKUP('Données projet'!$B$10,Paramètres!$A$1:$I$89,3,0)*0.475*44/12</f>
        <v>3.9030894999932124E-20</v>
      </c>
      <c r="AX171" s="21">
        <f t="shared" si="166"/>
        <v>0.43026037078728407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69.629939898831552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1.7053025658242404E-13</v>
      </c>
      <c r="BE171" s="13">
        <f>BD171*VLOOKUP('Données projet'!$B$11,Paramètres!$A$1:$I$89,3,0)*VLOOKUP('Données projet'!$B$11,Paramètres!$A$1:$I$89,5,0)</f>
        <v>1.3301360013429075E-13</v>
      </c>
      <c r="BF171" s="13">
        <f t="shared" si="167"/>
        <v>1.9329766731057041E-12</v>
      </c>
      <c r="BG171" s="20">
        <f t="shared" si="168"/>
        <v>3.5982663925596575E-12</v>
      </c>
      <c r="BH171" s="59">
        <f t="shared" si="116"/>
        <v>291.97644629571926</v>
      </c>
      <c r="BI171" s="59">
        <f ca="1">AVERAGE(OFFSET($BH$3,0,0,'Données projet'!$E$11+1,1))-AVERAGE(OFFSET($H$3,0,0,'Données projet'!$E$11+1,1))</f>
        <v>383.03154033422328</v>
      </c>
      <c r="BJ171" s="59">
        <f t="shared" si="146"/>
        <v>373.27897156169877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9.4027850267590043E-2</v>
      </c>
      <c r="BQ171" s="21">
        <f>EXP(-LN(2)/25)*BQ170+(1-EXP(-LN(2)/25))/(LN(2)/25)*Calculateur!BL171*Calculateur!BN171*VLOOKUP('Données projet'!$B$11,Paramètres!$A$1:$I$89,3,0)*0.475*44/12</f>
        <v>0.18242206613309167</v>
      </c>
      <c r="BR171" s="21">
        <f>EXP(-LN(2)/2)*BR170+(1-EXP(-LN(2)/2))/(LN(2)/2)*BL171*BO171*VLOOKUP('Données projet'!$B$11,Paramètres!$A$1:$I$89,3,0)*0.475*44/12</f>
        <v>2.2143439555769265E-20</v>
      </c>
      <c r="BS171" s="22">
        <f t="shared" si="169"/>
        <v>0.27644991640068173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69.629939898831552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-3.4106051316484809E-13</v>
      </c>
      <c r="BZ171" s="13">
        <f>BY171*VLOOKUP('Données projet'!$B$12,Paramètres!$A$1:$I$89,3,0)*VLOOKUP('Données projet'!$B$12,Paramètres!$A$1:$I$89,5,0)</f>
        <v>-2.8730937629006804E-13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449.94334483948603</v>
      </c>
      <c r="CE171" s="59">
        <f t="shared" si="148"/>
        <v>318.02929110264176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0.14581549703035515</v>
      </c>
      <c r="CL171" s="21">
        <f>EXP(-LN(2)/25)*CL170+(1-EXP(-LN(2)/25))/(LN(2)/25)*Calculateur!CG171*Calculateur!CI171*VLOOKUP('Données projet'!$B$12,Paramètres!$A$1:$I$89,3,0)*0.475*44/12</f>
        <v>0.22892740655856988</v>
      </c>
      <c r="CM171" s="21">
        <f>EXP(-LN(2)/2)*CM170+(1-EXP(-LN(2)/2))/(LN(2)/2)*CG171*CJ171*VLOOKUP('Données projet'!$B$12,Paramètres!$A$1:$I$89,3,0)*0.475*44/12</f>
        <v>3.3994650483811885E-20</v>
      </c>
      <c r="CN171" s="22">
        <f t="shared" si="172"/>
        <v>0.37474290358892504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69.629939898831552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1.1368683772161603E-13</v>
      </c>
      <c r="CU171" s="17">
        <f>CT171*VLOOKUP('Données projet'!$B$13,Paramètres!$A$1:$I$89,3,0)*VLOOKUP('Données projet'!$B$13,Paramètres!$A$1:$I$89,5,0)</f>
        <v>9.7543306765146564E-14</v>
      </c>
      <c r="CV171" s="13">
        <f t="shared" si="173"/>
        <v>1.4696264278629426E-12</v>
      </c>
      <c r="CW171" s="20">
        <f t="shared" si="174"/>
        <v>2.7294872878105889E-12</v>
      </c>
      <c r="CX171" s="59">
        <f t="shared" si="122"/>
        <v>291.9764462957184</v>
      </c>
      <c r="CY171" s="59">
        <f ca="1">AVERAGE(OFFSET($CX$3,0,0,'Données projet'!$E$13+1,1))-AVERAGE(OFFSET($H$3,0,0,'Données projet'!$E$13+1,1))</f>
        <v>565.32667500225568</v>
      </c>
      <c r="CZ171" s="59">
        <f t="shared" si="150"/>
        <v>275.06957234480944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0</v>
      </c>
      <c r="DG171" s="21">
        <f>EXP(-LN(2)/25)*DG170+(1-EXP(-LN(2)/25))/(LN(2)/25)*Calculateur!DB171*Calculateur!DD171*VLOOKUP('Données projet'!$B$13,Paramètres!$A$1:$I$89,3,0)*0.475*44/12</f>
        <v>9.5481533761586357E-2</v>
      </c>
      <c r="DH171" s="21">
        <f>EXP(-LN(2)/2)*DH170+(1-EXP(-LN(2)/2))/(LN(2)/2)*DB171*DE171*VLOOKUP('Données projet'!$B$13,Paramètres!$A$1:$I$89,3,0)*0.475*44/12</f>
        <v>1.1999963725128762E-20</v>
      </c>
      <c r="DI171" s="22">
        <f t="shared" si="175"/>
        <v>9.5481533761586357E-2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69.629939898831552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-1.2505552149377763E-12</v>
      </c>
      <c r="DP171" s="17">
        <f>DO171*VLOOKUP('Données projet'!$B$14,Paramètres!$A$1:$I$89,3,0)*VLOOKUP('Données projet'!$B$14,Paramètres!$A$1:$I$89,5,0)</f>
        <v>-6.9906036515021697E-13</v>
      </c>
      <c r="DQ171" s="13" t="e">
        <f t="shared" si="176"/>
        <v>#NUM!</v>
      </c>
      <c r="DR171" s="20" t="e">
        <f t="shared" si="177"/>
        <v>#NUM!</v>
      </c>
      <c r="DS171" s="59" t="e">
        <f t="shared" si="125"/>
        <v>#NUM!</v>
      </c>
      <c r="DT171" s="59">
        <f ca="1">AVERAGE(OFFSET($DS$3,0,0,'Données projet'!$E$14+1,1))-AVERAGE(OFFSET($H$3,0,0,'Données projet'!$E$14+1,1))</f>
        <v>532.64469322244281</v>
      </c>
      <c r="DU171" s="59">
        <f t="shared" si="152"/>
        <v>525.88014011096413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0.74257892006199522</v>
      </c>
      <c r="EB171" s="21">
        <f>EXP(-LN(2)/25)*EB170+(1-EXP(-LN(2)/25))/(LN(2)/25)*Calculateur!DW171*Calculateur!DY171*VLOOKUP('Données projet'!$B$14,Paramètres!$A$1:$I$89,3,0)*0.475*44/12</f>
        <v>0.84467877743032305</v>
      </c>
      <c r="EC171" s="21">
        <f>EXP(-LN(2)/2)*EC170+(1-EXP(-LN(2)/2))/(LN(2)/2)*DW171*DZ171*VLOOKUP('Données projet'!$B$14,Paramètres!$A$1:$I$89,3,0)*0.475*44/12</f>
        <v>6.1785787252786335E-20</v>
      </c>
      <c r="ED171" s="22">
        <f t="shared" si="178"/>
        <v>1.5872576974923183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69.629939898831552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-1.1368683772161603E-13</v>
      </c>
      <c r="EK171" s="17">
        <f>EJ171*VLOOKUP('Données projet'!$B$15,Paramètres!$A$1:$I$89,3,0)*VLOOKUP('Données projet'!$B$15,Paramètres!$A$1:$I$89,5,0)</f>
        <v>-1.0286385077051818E-13</v>
      </c>
      <c r="EL171" s="13" t="e">
        <f t="shared" si="179"/>
        <v>#NUM!</v>
      </c>
      <c r="EM171" s="20" t="e">
        <f t="shared" si="180"/>
        <v>#NUM!</v>
      </c>
      <c r="EN171" s="59" t="e">
        <f t="shared" si="128"/>
        <v>#NUM!</v>
      </c>
      <c r="EO171" s="59">
        <f ca="1">AVERAGE(OFFSET($EN$3,0,0,'Données projet'!$E$15+1,1))-AVERAGE(OFFSET($H$3,0,0,'Données projet'!$E$15+1,1))</f>
        <v>398.27843768730202</v>
      </c>
      <c r="EP171" s="59">
        <f t="shared" si="154"/>
        <v>252.3617347568813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0</v>
      </c>
      <c r="EW171" s="21">
        <f>EXP(-LN(2)/25)*EW170+(1-EXP(-LN(2)/25))/(LN(2)/25)*Calculateur!ER171*Calculateur!ET171*VLOOKUP('Données projet'!$B$15,Paramètres!$A$1:$I$89,3,0)*0.475*44/12</f>
        <v>6.7687306158691632E-2</v>
      </c>
      <c r="EX171" s="21">
        <f>EXP(-LN(2)/2)*EX170+(1-EXP(-LN(2)/2))/(LN(2)/2)*ER171*EU171*VLOOKUP('Données projet'!$B$15,Paramètres!$A$1:$I$89,3,0)*0.475*44/12</f>
        <v>1.0485163109437182E-20</v>
      </c>
      <c r="EY171" s="22">
        <f t="shared" si="181"/>
        <v>6.7687306158691632E-2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69.629939898831552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-1.1368683772161603E-13</v>
      </c>
      <c r="FF171" s="17">
        <f>FE171*VLOOKUP('Données projet'!$B$16,Paramètres!$A$1:$I$89,3,0)*VLOOKUP('Données projet'!$B$16,Paramètres!$A$1:$I$89,5,0)</f>
        <v>-1.0995790944434703E-13</v>
      </c>
      <c r="FG171" s="13" t="e">
        <f t="shared" si="182"/>
        <v>#NUM!</v>
      </c>
      <c r="FH171" s="20" t="e">
        <f t="shared" si="183"/>
        <v>#NUM!</v>
      </c>
      <c r="FI171" s="59" t="e">
        <f t="shared" si="131"/>
        <v>#NUM!</v>
      </c>
      <c r="FJ171" s="59">
        <f ca="1">AVERAGE(OFFSET($FI$3,0,0,'Données projet'!$E$16+1,1))-AVERAGE(OFFSET($H$3,0,0,'Données projet'!$E$16+1,1))</f>
        <v>422.28024471365825</v>
      </c>
      <c r="FK171" s="59">
        <f t="shared" si="156"/>
        <v>266.49730479813206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0</v>
      </c>
      <c r="FR171" s="21">
        <f>EXP(-LN(2)/25)*FR170+(1-EXP(-LN(2)/25))/(LN(2)/25)*Calculateur!FM171*Calculateur!FO171*VLOOKUP('Données projet'!$B$16,Paramètres!$A$1:$I$89,3,0)*0.475*44/12</f>
        <v>7.2355396238601322E-2</v>
      </c>
      <c r="FS171" s="21">
        <f>EXP(-LN(2)/2)*FS170+(1-EXP(-LN(2)/2))/(LN(2)/2)*FM171*FP171*VLOOKUP('Données projet'!$B$16,Paramètres!$A$1:$I$89,3,0)*0.475*44/12</f>
        <v>1.1208277806639744E-20</v>
      </c>
      <c r="FT171" s="22">
        <f t="shared" si="184"/>
        <v>7.2355396238601322E-2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69.629939898831552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3.4106051316484809E-13</v>
      </c>
      <c r="GA171" s="17">
        <f>FZ171*VLOOKUP('Données projet'!$B$17,Paramètres!$A$1:$I$89,3,0)*VLOOKUP('Données projet'!$B$17,Paramètres!$A$1:$I$89,5,0)</f>
        <v>2.6602720026858149E-13</v>
      </c>
      <c r="GB171" s="13">
        <f t="shared" si="185"/>
        <v>3.5662905043956649E-12</v>
      </c>
      <c r="GC171" s="20">
        <f t="shared" si="186"/>
        <v>6.6746200022902298E-12</v>
      </c>
      <c r="GD171" s="59">
        <f t="shared" si="134"/>
        <v>291.97644629572233</v>
      </c>
      <c r="GE171" s="59">
        <f ca="1">AVERAGE(OFFSET($GD$3,0,0,'Données projet'!$E$17+1,1))-AVERAGE(OFFSET($H$3,0,0,'Données projet'!$E$17+1,1))</f>
        <v>300.95722646933314</v>
      </c>
      <c r="GF171" s="59">
        <f t="shared" si="158"/>
        <v>269.52365224623759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>
        <f>EXP(-LN(2)/35)*GL170+(1-EXP(-LN(2)/35))/(LN(2)/35)*GH171*GI171*VLOOKUP('Données projet'!$B$17,Paramètres!$A$1:$I$89,3,0)*0.475*44/12</f>
        <v>5.7863292472363076E-2</v>
      </c>
      <c r="GM171" s="21">
        <f>EXP(-LN(2)/25)*GM170+(1-EXP(-LN(2)/25))/(LN(2)/25)*Calculateur!GH171*Calculateur!GJ171*VLOOKUP('Données projet'!$B$17,Paramètres!$A$1:$I$89,3,0)*0.475*44/12</f>
        <v>0.13596902069500516</v>
      </c>
      <c r="GN171" s="21">
        <f>EXP(-LN(2)/2)*GN170+(1-EXP(-LN(2)/2))/(LN(2)/2)*GH171*GK171*VLOOKUP('Données projet'!$B$17,Paramètres!$A$1:$I$89,3,0)*0.475*44/12</f>
        <v>1.5007668129708576E-20</v>
      </c>
      <c r="GO171" s="21">
        <f t="shared" si="187"/>
        <v>0.19383231316736824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69.629939898831552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1.4000000000000001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5.1333333333333337</v>
      </c>
      <c r="H172" s="67">
        <f t="shared" si="110"/>
        <v>236.13333333333335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69.636359614256378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-3.4106051316484809E-13</v>
      </c>
      <c r="O172" s="13">
        <f>N172*VLOOKUP('Données projet'!$B$9,Paramètres!$A$1:$I$89,3,0)*VLOOKUP('Données projet'!$B$9,Paramètres!$A$1:$I$89,5,0)</f>
        <v>-3.0859155231155454E-13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479.46542424895119</v>
      </c>
      <c r="T172" s="59">
        <f t="shared" si="142"/>
        <v>337.96395820277337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0.15354548807761356</v>
      </c>
      <c r="AA172" s="21">
        <f>EXP(-LN(2)/25)*AA171+(1-EXP(-LN(2)/25))/(LN(2)/25)*Calculateur!V172*Calculateur!X172*VLOOKUP('Données projet'!$B$9,Paramètres!$A$1:$I$89,3,0)*0.475*44/12</f>
        <v>0.23916125418652756</v>
      </c>
      <c r="AB172" s="21">
        <f>EXP(-LN(2)/2)*AB171+(1-EXP(-LN(2)/2))/(LN(2)/2)*V172*Y172*VLOOKUP('Données projet'!$B$9,Paramètres!$A$1:$I$89,3,0)*0.475*44/12</f>
        <v>2.5818429205701131E-20</v>
      </c>
      <c r="AC172" s="22">
        <f t="shared" si="163"/>
        <v>0.39270674226414115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69.636359614256378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-3.4106051316484809E-13</v>
      </c>
      <c r="AJ172" s="13">
        <f>AI172*VLOOKUP('Données projet'!$B$10,Paramètres!$A$1:$I$89,3,0)*VLOOKUP('Données projet'!$B$10,Paramètres!$A$1:$I$89,5,0)</f>
        <v>-3.2987372833304104E-13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508.94560627895089</v>
      </c>
      <c r="AO172" s="59">
        <f t="shared" si="144"/>
        <v>357.86868650263034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0.16413483208296634</v>
      </c>
      <c r="AV172" s="21">
        <f>EXP(-LN(2)/25)*AV171+(1-EXP(-LN(2)/25))/(LN(2)/25)*Calculateur!AQ172*Calculateur!AS172*VLOOKUP('Données projet'!$B$10,Paramètres!$A$1:$I$89,3,0)*0.475*44/12</f>
        <v>0.25565513378559834</v>
      </c>
      <c r="AW172" s="21">
        <f>EXP(-LN(2)/2)*AW171+(1-EXP(-LN(2)/2))/(LN(2)/2)*AQ172*AT172*VLOOKUP('Données projet'!$B$10,Paramètres!$A$1:$I$89,3,0)*0.475*44/12</f>
        <v>2.7599010530232116E-20</v>
      </c>
      <c r="AX172" s="21">
        <f t="shared" si="166"/>
        <v>0.41978996586856465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69.636359614256378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1.7053025658242404E-13</v>
      </c>
      <c r="BE172" s="13">
        <f>BD172*VLOOKUP('Données projet'!$B$11,Paramètres!$A$1:$I$89,3,0)*VLOOKUP('Données projet'!$B$11,Paramètres!$A$1:$I$89,5,0)</f>
        <v>1.3301360013429075E-13</v>
      </c>
      <c r="BF172" s="13">
        <f t="shared" si="167"/>
        <v>1.9329766731057041E-12</v>
      </c>
      <c r="BG172" s="20">
        <f t="shared" si="168"/>
        <v>3.5982663925596575E-12</v>
      </c>
      <c r="BH172" s="59">
        <f t="shared" si="116"/>
        <v>291.99998525227693</v>
      </c>
      <c r="BI172" s="59">
        <f ca="1">AVERAGE(OFFSET($BH$3,0,0,'Données projet'!$E$11+1,1))-AVERAGE(OFFSET($H$3,0,0,'Données projet'!$E$11+1,1))</f>
        <v>383.03154033422328</v>
      </c>
      <c r="BJ172" s="59">
        <f t="shared" si="146"/>
        <v>373.27897156169877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9.2184021475168298E-2</v>
      </c>
      <c r="BQ172" s="21">
        <f>EXP(-LN(2)/25)*BQ171+(1-EXP(-LN(2)/25))/(LN(2)/25)*Calculateur!BL172*Calculateur!BN172*VLOOKUP('Données projet'!$B$11,Paramètres!$A$1:$I$89,3,0)*0.475*44/12</f>
        <v>0.17743372514152275</v>
      </c>
      <c r="BR172" s="21">
        <f>EXP(-LN(2)/2)*BR171+(1-EXP(-LN(2)/2))/(LN(2)/2)*BL172*BO172*VLOOKUP('Données projet'!$B$11,Paramètres!$A$1:$I$89,3,0)*0.475*44/12</f>
        <v>1.5657776268678878E-20</v>
      </c>
      <c r="BS172" s="22">
        <f t="shared" si="169"/>
        <v>0.26961774661669102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69.636359614256378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-3.4106051316484809E-13</v>
      </c>
      <c r="BZ172" s="13">
        <f>BY172*VLOOKUP('Données projet'!$B$12,Paramètres!$A$1:$I$89,3,0)*VLOOKUP('Données projet'!$B$12,Paramètres!$A$1:$I$89,5,0)</f>
        <v>-2.8730937629006804E-13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449.94334483948603</v>
      </c>
      <c r="CE172" s="59">
        <f t="shared" si="148"/>
        <v>318.02929110264176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0.14295614407226112</v>
      </c>
      <c r="CL172" s="21">
        <f>EXP(-LN(2)/25)*CL171+(1-EXP(-LN(2)/25))/(LN(2)/25)*Calculateur!CG172*Calculateur!CI172*VLOOKUP('Données projet'!$B$12,Paramètres!$A$1:$I$89,3,0)*0.475*44/12</f>
        <v>0.2226673745874567</v>
      </c>
      <c r="CM172" s="21">
        <f>EXP(-LN(2)/2)*CM171+(1-EXP(-LN(2)/2))/(LN(2)/2)*CG172*CJ172*VLOOKUP('Données projet'!$B$12,Paramètres!$A$1:$I$89,3,0)*0.475*44/12</f>
        <v>2.4037847881169933E-20</v>
      </c>
      <c r="CN172" s="22">
        <f t="shared" si="172"/>
        <v>0.36562351865971782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69.636359614256378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1.1368683772161603E-13</v>
      </c>
      <c r="CU172" s="17">
        <f>CT172*VLOOKUP('Données projet'!$B$13,Paramètres!$A$1:$I$89,3,0)*VLOOKUP('Données projet'!$B$13,Paramètres!$A$1:$I$89,5,0)</f>
        <v>9.7543306765146564E-14</v>
      </c>
      <c r="CV172" s="13">
        <f t="shared" si="173"/>
        <v>1.4696264278629426E-12</v>
      </c>
      <c r="CW172" s="20">
        <f t="shared" si="174"/>
        <v>2.7294872878105889E-12</v>
      </c>
      <c r="CX172" s="59">
        <f t="shared" si="122"/>
        <v>291.99998525227608</v>
      </c>
      <c r="CY172" s="59">
        <f ca="1">AVERAGE(OFFSET($CX$3,0,0,'Données projet'!$E$13+1,1))-AVERAGE(OFFSET($H$3,0,0,'Données projet'!$E$13+1,1))</f>
        <v>565.32667500225568</v>
      </c>
      <c r="CZ172" s="59">
        <f t="shared" si="150"/>
        <v>275.06957234480944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0</v>
      </c>
      <c r="DG172" s="21">
        <f>EXP(-LN(2)/25)*DG171+(1-EXP(-LN(2)/25))/(LN(2)/25)*Calculateur!DB172*Calculateur!DD172*VLOOKUP('Données projet'!$B$13,Paramètres!$A$1:$I$89,3,0)*0.475*44/12</f>
        <v>9.2870586199720148E-2</v>
      </c>
      <c r="DH172" s="21">
        <f>EXP(-LN(2)/2)*DH171+(1-EXP(-LN(2)/2))/(LN(2)/2)*DB172*DE172*VLOOKUP('Données projet'!$B$13,Paramètres!$A$1:$I$89,3,0)*0.475*44/12</f>
        <v>8.4852557240311314E-21</v>
      </c>
      <c r="DI172" s="22">
        <f t="shared" si="175"/>
        <v>9.2870586199720148E-2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69.636359614256378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-1.2505552149377763E-12</v>
      </c>
      <c r="DP172" s="17">
        <f>DO172*VLOOKUP('Données projet'!$B$14,Paramètres!$A$1:$I$89,3,0)*VLOOKUP('Données projet'!$B$14,Paramètres!$A$1:$I$89,5,0)</f>
        <v>-6.9906036515021697E-13</v>
      </c>
      <c r="DQ172" s="13" t="e">
        <f t="shared" si="176"/>
        <v>#NUM!</v>
      </c>
      <c r="DR172" s="20" t="e">
        <f t="shared" si="177"/>
        <v>#NUM!</v>
      </c>
      <c r="DS172" s="59" t="e">
        <f t="shared" si="125"/>
        <v>#NUM!</v>
      </c>
      <c r="DT172" s="59">
        <f ca="1">AVERAGE(OFFSET($DS$3,0,0,'Données projet'!$E$14+1,1))-AVERAGE(OFFSET($H$3,0,0,'Données projet'!$E$14+1,1))</f>
        <v>532.64469322244281</v>
      </c>
      <c r="DU172" s="59">
        <f t="shared" si="152"/>
        <v>525.88014011096413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0.72801740036799778</v>
      </c>
      <c r="EB172" s="21">
        <f>EXP(-LN(2)/25)*EB171+(1-EXP(-LN(2)/25))/(LN(2)/25)*Calculateur!DW172*Calculateur!DY172*VLOOKUP('Données projet'!$B$14,Paramètres!$A$1:$I$89,3,0)*0.475*44/12</f>
        <v>0.82158099184176447</v>
      </c>
      <c r="EC172" s="21">
        <f>EXP(-LN(2)/2)*EC171+(1-EXP(-LN(2)/2))/(LN(2)/2)*DW172*DZ172*VLOOKUP('Données projet'!$B$14,Paramètres!$A$1:$I$89,3,0)*0.475*44/12</f>
        <v>4.3689149147394565E-20</v>
      </c>
      <c r="ED172" s="22">
        <f t="shared" si="178"/>
        <v>1.5495983922097623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69.636359614256378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-1.1368683772161603E-13</v>
      </c>
      <c r="EK172" s="17">
        <f>EJ172*VLOOKUP('Données projet'!$B$15,Paramètres!$A$1:$I$89,3,0)*VLOOKUP('Données projet'!$B$15,Paramètres!$A$1:$I$89,5,0)</f>
        <v>-1.0286385077051818E-13</v>
      </c>
      <c r="EL172" s="13" t="e">
        <f t="shared" si="179"/>
        <v>#NUM!</v>
      </c>
      <c r="EM172" s="20" t="e">
        <f t="shared" si="180"/>
        <v>#NUM!</v>
      </c>
      <c r="EN172" s="59" t="e">
        <f t="shared" si="128"/>
        <v>#NUM!</v>
      </c>
      <c r="EO172" s="59">
        <f ca="1">AVERAGE(OFFSET($EN$3,0,0,'Données projet'!$E$15+1,1))-AVERAGE(OFFSET($H$3,0,0,'Données projet'!$E$15+1,1))</f>
        <v>398.27843768730202</v>
      </c>
      <c r="EP172" s="59">
        <f t="shared" si="154"/>
        <v>252.3617347568813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0</v>
      </c>
      <c r="EW172" s="21">
        <f>EXP(-LN(2)/25)*EW171+(1-EXP(-LN(2)/25))/(LN(2)/25)*Calculateur!ER172*Calculateur!ET172*VLOOKUP('Données projet'!$B$15,Paramètres!$A$1:$I$89,3,0)*0.475*44/12</f>
        <v>6.5836393212261479E-2</v>
      </c>
      <c r="EX172" s="21">
        <f>EXP(-LN(2)/2)*EX171+(1-EXP(-LN(2)/2))/(LN(2)/2)*ER172*EU172*VLOOKUP('Données projet'!$B$15,Paramètres!$A$1:$I$89,3,0)*0.475*44/12</f>
        <v>7.4141299365300576E-21</v>
      </c>
      <c r="EY172" s="22">
        <f t="shared" si="181"/>
        <v>6.5836393212261479E-2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69.636359614256378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-1.1368683772161603E-13</v>
      </c>
      <c r="FF172" s="17">
        <f>FE172*VLOOKUP('Données projet'!$B$16,Paramètres!$A$1:$I$89,3,0)*VLOOKUP('Données projet'!$B$16,Paramètres!$A$1:$I$89,5,0)</f>
        <v>-1.0995790944434703E-13</v>
      </c>
      <c r="FG172" s="13" t="e">
        <f t="shared" si="182"/>
        <v>#NUM!</v>
      </c>
      <c r="FH172" s="20" t="e">
        <f t="shared" si="183"/>
        <v>#NUM!</v>
      </c>
      <c r="FI172" s="59" t="e">
        <f t="shared" si="131"/>
        <v>#NUM!</v>
      </c>
      <c r="FJ172" s="59">
        <f ca="1">AVERAGE(OFFSET($FI$3,0,0,'Données projet'!$E$16+1,1))-AVERAGE(OFFSET($H$3,0,0,'Données projet'!$E$16+1,1))</f>
        <v>422.28024471365825</v>
      </c>
      <c r="FK172" s="59">
        <f t="shared" si="156"/>
        <v>266.49730479813206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0</v>
      </c>
      <c r="FR172" s="21">
        <f>EXP(-LN(2)/25)*FR171+(1-EXP(-LN(2)/25))/(LN(2)/25)*Calculateur!FM172*Calculateur!FO172*VLOOKUP('Données projet'!$B$16,Paramètres!$A$1:$I$89,3,0)*0.475*44/12</f>
        <v>7.0376834123451845E-2</v>
      </c>
      <c r="FS172" s="21">
        <f>EXP(-LN(2)/2)*FS171+(1-EXP(-LN(2)/2))/(LN(2)/2)*FM172*FP172*VLOOKUP('Données projet'!$B$16,Paramètres!$A$1:$I$89,3,0)*0.475*44/12</f>
        <v>7.9254492424976462E-21</v>
      </c>
      <c r="FT172" s="22">
        <f t="shared" si="184"/>
        <v>7.0376834123451845E-2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69.636359614256378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3.4106051316484809E-13</v>
      </c>
      <c r="GA172" s="17">
        <f>FZ172*VLOOKUP('Données projet'!$B$17,Paramètres!$A$1:$I$89,3,0)*VLOOKUP('Données projet'!$B$17,Paramètres!$A$1:$I$89,5,0)</f>
        <v>2.6602720026858149E-13</v>
      </c>
      <c r="GB172" s="13">
        <f t="shared" si="185"/>
        <v>3.5662905043956649E-12</v>
      </c>
      <c r="GC172" s="20">
        <f t="shared" si="186"/>
        <v>6.6746200022902298E-12</v>
      </c>
      <c r="GD172" s="59">
        <f t="shared" si="134"/>
        <v>291.99998525228</v>
      </c>
      <c r="GE172" s="59">
        <f ca="1">AVERAGE(OFFSET($GD$3,0,0,'Données projet'!$E$17+1,1))-AVERAGE(OFFSET($H$3,0,0,'Données projet'!$E$17+1,1))</f>
        <v>300.95722646933314</v>
      </c>
      <c r="GF172" s="59">
        <f t="shared" si="158"/>
        <v>269.52365224623759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>
        <f>EXP(-LN(2)/35)*GL171+(1-EXP(-LN(2)/35))/(LN(2)/35)*GH172*GI172*VLOOKUP('Données projet'!$B$17,Paramètres!$A$1:$I$89,3,0)*0.475*44/12</f>
        <v>5.6728628600103539E-2</v>
      </c>
      <c r="GM172" s="21">
        <f>EXP(-LN(2)/25)*GM171+(1-EXP(-LN(2)/25))/(LN(2)/25)*Calculateur!GH172*Calculateur!GJ172*VLOOKUP('Données projet'!$B$17,Paramètres!$A$1:$I$89,3,0)*0.475*44/12</f>
        <v>0.13225094067380022</v>
      </c>
      <c r="GN172" s="21">
        <f>EXP(-LN(2)/2)*GN171+(1-EXP(-LN(2)/2))/(LN(2)/2)*GH172*GK172*VLOOKUP('Données projet'!$B$17,Paramètres!$A$1:$I$89,3,0)*0.475*44/12</f>
        <v>1.0612023904314165E-20</v>
      </c>
      <c r="GO172" s="21">
        <f t="shared" si="187"/>
        <v>0.18897956927390375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69.636359614256378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1.4000000000000001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5.1333333333333337</v>
      </c>
      <c r="H173" s="67">
        <f t="shared" si="110"/>
        <v>236.13333333333335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69.642667961970915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-3.4106051316484809E-13</v>
      </c>
      <c r="O173" s="13">
        <f>N173*VLOOKUP('Données projet'!$B$9,Paramètres!$A$1:$I$89,3,0)*VLOOKUP('Données projet'!$B$9,Paramètres!$A$1:$I$89,5,0)</f>
        <v>-3.0859155231155454E-13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479.46542424895119</v>
      </c>
      <c r="T173" s="59">
        <f t="shared" si="142"/>
        <v>337.96395820277337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0.15053455470991178</v>
      </c>
      <c r="AA173" s="21">
        <f>EXP(-LN(2)/25)*AA172+(1-EXP(-LN(2)/25))/(LN(2)/25)*Calculateur!V173*Calculateur!X173*VLOOKUP('Données projet'!$B$9,Paramètres!$A$1:$I$89,3,0)*0.475*44/12</f>
        <v>0.23262137711385322</v>
      </c>
      <c r="AB173" s="21">
        <f>EXP(-LN(2)/2)*AB172+(1-EXP(-LN(2)/2))/(LN(2)/2)*V173*Y173*VLOOKUP('Données projet'!$B$9,Paramètres!$A$1:$I$89,3,0)*0.475*44/12</f>
        <v>1.8256386370936077E-20</v>
      </c>
      <c r="AC173" s="22">
        <f t="shared" si="163"/>
        <v>0.38315593182376501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69.642667961970915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-3.4106051316484809E-13</v>
      </c>
      <c r="AJ173" s="13">
        <f>AI173*VLOOKUP('Données projet'!$B$10,Paramètres!$A$1:$I$89,3,0)*VLOOKUP('Données projet'!$B$10,Paramètres!$A$1:$I$89,5,0)</f>
        <v>-3.2987372833304104E-13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508.94560627895089</v>
      </c>
      <c r="AO173" s="59">
        <f t="shared" si="144"/>
        <v>357.86868650263034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0.16091624813818167</v>
      </c>
      <c r="AV173" s="21">
        <f>EXP(-LN(2)/25)*AV172+(1-EXP(-LN(2)/25))/(LN(2)/25)*Calculateur!AQ173*Calculateur!AS173*VLOOKUP('Données projet'!$B$10,Paramètres!$A$1:$I$89,3,0)*0.475*44/12</f>
        <v>0.24866423070791197</v>
      </c>
      <c r="AW173" s="21">
        <f>EXP(-LN(2)/2)*AW172+(1-EXP(-LN(2)/2))/(LN(2)/2)*AQ173*AT173*VLOOKUP('Données projet'!$B$10,Paramètres!$A$1:$I$89,3,0)*0.475*44/12</f>
        <v>1.9515447499966062E-20</v>
      </c>
      <c r="AX173" s="21">
        <f t="shared" si="166"/>
        <v>0.40958047884609361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69.642667961970915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1.7053025658242404E-13</v>
      </c>
      <c r="BE173" s="13">
        <f>BD173*VLOOKUP('Données projet'!$B$11,Paramètres!$A$1:$I$89,3,0)*VLOOKUP('Données projet'!$B$11,Paramètres!$A$1:$I$89,5,0)</f>
        <v>1.3301360013429075E-13</v>
      </c>
      <c r="BF173" s="13">
        <f t="shared" si="167"/>
        <v>1.9329766731057041E-12</v>
      </c>
      <c r="BG173" s="20">
        <f t="shared" si="168"/>
        <v>3.5982663925596575E-12</v>
      </c>
      <c r="BH173" s="59">
        <f t="shared" si="116"/>
        <v>292.02311586056362</v>
      </c>
      <c r="BI173" s="59">
        <f ca="1">AVERAGE(OFFSET($BH$3,0,0,'Données projet'!$E$11+1,1))-AVERAGE(OFFSET($H$3,0,0,'Données projet'!$E$11+1,1))</f>
        <v>383.03154033422328</v>
      </c>
      <c r="BJ173" s="59">
        <f t="shared" si="146"/>
        <v>373.27897156169877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9.0376349040741419E-2</v>
      </c>
      <c r="BQ173" s="21">
        <f>EXP(-LN(2)/25)*BQ172+(1-EXP(-LN(2)/25))/(LN(2)/25)*Calculateur!BL173*Calculateur!BN173*VLOOKUP('Données projet'!$B$11,Paramètres!$A$1:$I$89,3,0)*0.475*44/12</f>
        <v>0.17258179059669373</v>
      </c>
      <c r="BR173" s="21">
        <f>EXP(-LN(2)/2)*BR172+(1-EXP(-LN(2)/2))/(LN(2)/2)*BL173*BO173*VLOOKUP('Données projet'!$B$11,Paramètres!$A$1:$I$89,3,0)*0.475*44/12</f>
        <v>1.1071719777884633E-20</v>
      </c>
      <c r="BS173" s="22">
        <f t="shared" si="169"/>
        <v>0.26295813963743514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69.642667961970915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-3.4106051316484809E-13</v>
      </c>
      <c r="BZ173" s="13">
        <f>BY173*VLOOKUP('Données projet'!$B$12,Paramètres!$A$1:$I$89,3,0)*VLOOKUP('Données projet'!$B$12,Paramètres!$A$1:$I$89,5,0)</f>
        <v>-2.8730937629006804E-13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449.94334483948603</v>
      </c>
      <c r="CE173" s="59">
        <f t="shared" si="148"/>
        <v>318.02929110264176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0.1401528612816422</v>
      </c>
      <c r="CL173" s="21">
        <f>EXP(-LN(2)/25)*CL172+(1-EXP(-LN(2)/25))/(LN(2)/25)*Calculateur!CG173*Calculateur!CI173*VLOOKUP('Données projet'!$B$12,Paramètres!$A$1:$I$89,3,0)*0.475*44/12</f>
        <v>0.21657852351979437</v>
      </c>
      <c r="CM173" s="21">
        <f>EXP(-LN(2)/2)*CM172+(1-EXP(-LN(2)/2))/(LN(2)/2)*CG173*CJ173*VLOOKUP('Données projet'!$B$12,Paramètres!$A$1:$I$89,3,0)*0.475*44/12</f>
        <v>1.6997325241905942E-20</v>
      </c>
      <c r="CN173" s="22">
        <f t="shared" si="172"/>
        <v>0.35673138480143657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69.642667961970915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1.1368683772161603E-13</v>
      </c>
      <c r="CU173" s="17">
        <f>CT173*VLOOKUP('Données projet'!$B$13,Paramètres!$A$1:$I$89,3,0)*VLOOKUP('Données projet'!$B$13,Paramètres!$A$1:$I$89,5,0)</f>
        <v>9.7543306765146564E-14</v>
      </c>
      <c r="CV173" s="13">
        <f t="shared" si="173"/>
        <v>1.4696264278629426E-12</v>
      </c>
      <c r="CW173" s="20">
        <f t="shared" si="174"/>
        <v>2.7294872878105889E-12</v>
      </c>
      <c r="CX173" s="59">
        <f t="shared" si="122"/>
        <v>292.02311586056277</v>
      </c>
      <c r="CY173" s="59">
        <f ca="1">AVERAGE(OFFSET($CX$3,0,0,'Données projet'!$E$13+1,1))-AVERAGE(OFFSET($H$3,0,0,'Données projet'!$E$13+1,1))</f>
        <v>565.32667500225568</v>
      </c>
      <c r="CZ173" s="59">
        <f t="shared" si="150"/>
        <v>275.06957234480944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0</v>
      </c>
      <c r="DG173" s="21">
        <f>EXP(-LN(2)/25)*DG172+(1-EXP(-LN(2)/25))/(LN(2)/25)*Calculateur!DB173*Calculateur!DD173*VLOOKUP('Données projet'!$B$13,Paramètres!$A$1:$I$89,3,0)*0.475*44/12</f>
        <v>9.0331035136236928E-2</v>
      </c>
      <c r="DH173" s="21">
        <f>EXP(-LN(2)/2)*DH172+(1-EXP(-LN(2)/2))/(LN(2)/2)*DB173*DE173*VLOOKUP('Données projet'!$B$13,Paramètres!$A$1:$I$89,3,0)*0.475*44/12</f>
        <v>5.9999818625643812E-21</v>
      </c>
      <c r="DI173" s="22">
        <f t="shared" si="175"/>
        <v>9.0331035136236928E-2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69.642667961970915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-1.2505552149377763E-12</v>
      </c>
      <c r="DP173" s="17">
        <f>DO173*VLOOKUP('Données projet'!$B$14,Paramètres!$A$1:$I$89,3,0)*VLOOKUP('Données projet'!$B$14,Paramètres!$A$1:$I$89,5,0)</f>
        <v>-6.9906036515021697E-13</v>
      </c>
      <c r="DQ173" s="13" t="e">
        <f t="shared" si="176"/>
        <v>#NUM!</v>
      </c>
      <c r="DR173" s="20" t="e">
        <f t="shared" si="177"/>
        <v>#NUM!</v>
      </c>
      <c r="DS173" s="59" t="e">
        <f t="shared" si="125"/>
        <v>#NUM!</v>
      </c>
      <c r="DT173" s="59">
        <f ca="1">AVERAGE(OFFSET($DS$3,0,0,'Données projet'!$E$14+1,1))-AVERAGE(OFFSET($H$3,0,0,'Données projet'!$E$14+1,1))</f>
        <v>532.64469322244281</v>
      </c>
      <c r="DU173" s="59">
        <f t="shared" si="152"/>
        <v>525.88014011096413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0.71374142319354961</v>
      </c>
      <c r="EB173" s="21">
        <f>EXP(-LN(2)/25)*EB172+(1-EXP(-LN(2)/25))/(LN(2)/25)*Calculateur!DW173*Calculateur!DY173*VLOOKUP('Données projet'!$B$14,Paramètres!$A$1:$I$89,3,0)*0.475*44/12</f>
        <v>0.79911481641478477</v>
      </c>
      <c r="EC173" s="21">
        <f>EXP(-LN(2)/2)*EC172+(1-EXP(-LN(2)/2))/(LN(2)/2)*DW173*DZ173*VLOOKUP('Données projet'!$B$14,Paramètres!$A$1:$I$89,3,0)*0.475*44/12</f>
        <v>3.0892893626393168E-20</v>
      </c>
      <c r="ED173" s="22">
        <f t="shared" si="178"/>
        <v>1.5128562396083343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69.642667961970915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-1.1368683772161603E-13</v>
      </c>
      <c r="EK173" s="17">
        <f>EJ173*VLOOKUP('Données projet'!$B$15,Paramètres!$A$1:$I$89,3,0)*VLOOKUP('Données projet'!$B$15,Paramètres!$A$1:$I$89,5,0)</f>
        <v>-1.0286385077051818E-13</v>
      </c>
      <c r="EL173" s="13" t="e">
        <f t="shared" si="179"/>
        <v>#NUM!</v>
      </c>
      <c r="EM173" s="20" t="e">
        <f t="shared" si="180"/>
        <v>#NUM!</v>
      </c>
      <c r="EN173" s="59" t="e">
        <f t="shared" si="128"/>
        <v>#NUM!</v>
      </c>
      <c r="EO173" s="59">
        <f ca="1">AVERAGE(OFFSET($EN$3,0,0,'Données projet'!$E$15+1,1))-AVERAGE(OFFSET($H$3,0,0,'Données projet'!$E$15+1,1))</f>
        <v>398.27843768730202</v>
      </c>
      <c r="EP173" s="59">
        <f t="shared" si="154"/>
        <v>252.3617347568813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0</v>
      </c>
      <c r="EW173" s="21">
        <f>EXP(-LN(2)/25)*EW172+(1-EXP(-LN(2)/25))/(LN(2)/25)*Calculateur!ER173*Calculateur!ET173*VLOOKUP('Données projet'!$B$15,Paramètres!$A$1:$I$89,3,0)*0.475*44/12</f>
        <v>6.4036093577686748E-2</v>
      </c>
      <c r="EX173" s="21">
        <f>EXP(-LN(2)/2)*EX172+(1-EXP(-LN(2)/2))/(LN(2)/2)*ER173*EU173*VLOOKUP('Données projet'!$B$15,Paramètres!$A$1:$I$89,3,0)*0.475*44/12</f>
        <v>5.242581554718591E-21</v>
      </c>
      <c r="EY173" s="22">
        <f t="shared" si="181"/>
        <v>6.4036093577686748E-2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69.642667961970915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-1.1368683772161603E-13</v>
      </c>
      <c r="FF173" s="17">
        <f>FE173*VLOOKUP('Données projet'!$B$16,Paramètres!$A$1:$I$89,3,0)*VLOOKUP('Données projet'!$B$16,Paramètres!$A$1:$I$89,5,0)</f>
        <v>-1.0995790944434703E-13</v>
      </c>
      <c r="FG173" s="13" t="e">
        <f t="shared" si="182"/>
        <v>#NUM!</v>
      </c>
      <c r="FH173" s="20" t="e">
        <f t="shared" si="183"/>
        <v>#NUM!</v>
      </c>
      <c r="FI173" s="59" t="e">
        <f t="shared" si="131"/>
        <v>#NUM!</v>
      </c>
      <c r="FJ173" s="59">
        <f ca="1">AVERAGE(OFFSET($FI$3,0,0,'Données projet'!$E$16+1,1))-AVERAGE(OFFSET($H$3,0,0,'Données projet'!$E$16+1,1))</f>
        <v>422.28024471365825</v>
      </c>
      <c r="FK173" s="59">
        <f t="shared" si="156"/>
        <v>266.49730479813206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0</v>
      </c>
      <c r="FR173" s="21">
        <f>EXP(-LN(2)/25)*FR172+(1-EXP(-LN(2)/25))/(LN(2)/25)*Calculateur!FM173*Calculateur!FO173*VLOOKUP('Données projet'!$B$16,Paramètres!$A$1:$I$89,3,0)*0.475*44/12</f>
        <v>6.8452375893389192E-2</v>
      </c>
      <c r="FS173" s="21">
        <f>EXP(-LN(2)/2)*FS172+(1-EXP(-LN(2)/2))/(LN(2)/2)*FM173*FP173*VLOOKUP('Données projet'!$B$16,Paramètres!$A$1:$I$89,3,0)*0.475*44/12</f>
        <v>5.6041389033198721E-21</v>
      </c>
      <c r="FT173" s="22">
        <f t="shared" si="184"/>
        <v>6.8452375893389192E-2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69.642667961970915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3.4106051316484809E-13</v>
      </c>
      <c r="GA173" s="17">
        <f>FZ173*VLOOKUP('Données projet'!$B$17,Paramètres!$A$1:$I$89,3,0)*VLOOKUP('Données projet'!$B$17,Paramètres!$A$1:$I$89,5,0)</f>
        <v>2.6602720026858149E-13</v>
      </c>
      <c r="GB173" s="13">
        <f t="shared" si="185"/>
        <v>3.5662905043956649E-12</v>
      </c>
      <c r="GC173" s="20">
        <f t="shared" si="186"/>
        <v>6.6746200022902298E-12</v>
      </c>
      <c r="GD173" s="59">
        <f t="shared" si="134"/>
        <v>292.02311586056669</v>
      </c>
      <c r="GE173" s="59">
        <f ca="1">AVERAGE(OFFSET($GD$3,0,0,'Données projet'!$E$17+1,1))-AVERAGE(OFFSET($H$3,0,0,'Données projet'!$E$17+1,1))</f>
        <v>300.95722646933314</v>
      </c>
      <c r="GF173" s="59">
        <f t="shared" si="158"/>
        <v>269.52365224623759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>
        <f>EXP(-LN(2)/35)*GL172+(1-EXP(-LN(2)/35))/(LN(2)/35)*GH173*GI173*VLOOKUP('Données projet'!$B$17,Paramètres!$A$1:$I$89,3,0)*0.475*44/12</f>
        <v>5.5616214794302385E-2</v>
      </c>
      <c r="GM173" s="21">
        <f>EXP(-LN(2)/25)*GM172+(1-EXP(-LN(2)/25))/(LN(2)/25)*Calculateur!GH173*Calculateur!GJ173*VLOOKUP('Données projet'!$B$17,Paramètres!$A$1:$I$89,3,0)*0.475*44/12</f>
        <v>0.12863453174630043</v>
      </c>
      <c r="GN173" s="21">
        <f>EXP(-LN(2)/2)*GN172+(1-EXP(-LN(2)/2))/(LN(2)/2)*GH173*GK173*VLOOKUP('Données projet'!$B$17,Paramètres!$A$1:$I$89,3,0)*0.475*44/12</f>
        <v>7.5038340648542882E-21</v>
      </c>
      <c r="GO173" s="21">
        <f t="shared" si="187"/>
        <v>0.18425074654060281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69.642667961970915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1.4000000000000001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5.1333333333333337</v>
      </c>
      <c r="H174" s="67">
        <f t="shared" si="110"/>
        <v>236.13333333333335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69.648866873955967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-3.4106051316484809E-13</v>
      </c>
      <c r="O174" s="13">
        <f>N174*VLOOKUP('Données projet'!$B$9,Paramètres!$A$1:$I$89,3,0)*VLOOKUP('Données projet'!$B$9,Paramètres!$A$1:$I$89,5,0)</f>
        <v>-3.0859155231155454E-13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479.46542424895119</v>
      </c>
      <c r="T174" s="59">
        <f t="shared" si="142"/>
        <v>337.96395820277337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0.14758266390906261</v>
      </c>
      <c r="AA174" s="21">
        <f>EXP(-LN(2)/25)*AA173+(1-EXP(-LN(2)/25))/(LN(2)/25)*Calculateur!V174*Calculateur!X174*VLOOKUP('Données projet'!$B$9,Paramètres!$A$1:$I$89,3,0)*0.475*44/12</f>
        <v>0.22626033332364834</v>
      </c>
      <c r="AB174" s="21">
        <f>EXP(-LN(2)/2)*AB173+(1-EXP(-LN(2)/2))/(LN(2)/2)*V174*Y174*VLOOKUP('Données projet'!$B$9,Paramètres!$A$1:$I$89,3,0)*0.475*44/12</f>
        <v>1.2909214602850566E-20</v>
      </c>
      <c r="AC174" s="22">
        <f t="shared" si="163"/>
        <v>0.37384299723271097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69.648866873955967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-3.4106051316484809E-13</v>
      </c>
      <c r="AJ174" s="13">
        <f>AI174*VLOOKUP('Données projet'!$B$10,Paramètres!$A$1:$I$89,3,0)*VLOOKUP('Données projet'!$B$10,Paramètres!$A$1:$I$89,5,0)</f>
        <v>-3.2987372833304104E-13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508.94560627895089</v>
      </c>
      <c r="AO174" s="59">
        <f t="shared" si="144"/>
        <v>357.86868650263034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0.15776077866141186</v>
      </c>
      <c r="AV174" s="21">
        <f>EXP(-LN(2)/25)*AV173+(1-EXP(-LN(2)/25))/(LN(2)/25)*Calculateur!AQ174*Calculateur!AS174*VLOOKUP('Données projet'!$B$10,Paramètres!$A$1:$I$89,3,0)*0.475*44/12</f>
        <v>0.24186449424252054</v>
      </c>
      <c r="AW174" s="21">
        <f>EXP(-LN(2)/2)*AW173+(1-EXP(-LN(2)/2))/(LN(2)/2)*AQ174*AT174*VLOOKUP('Données projet'!$B$10,Paramètres!$A$1:$I$89,3,0)*0.475*44/12</f>
        <v>1.3799505265116058E-20</v>
      </c>
      <c r="AX174" s="21">
        <f t="shared" si="166"/>
        <v>0.3996252729039324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69.648866873955967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1.7053025658242404E-13</v>
      </c>
      <c r="BE174" s="13">
        <f>BD174*VLOOKUP('Données projet'!$B$11,Paramètres!$A$1:$I$89,3,0)*VLOOKUP('Données projet'!$B$11,Paramètres!$A$1:$I$89,5,0)</f>
        <v>1.3301360013429075E-13</v>
      </c>
      <c r="BF174" s="13">
        <f t="shared" si="167"/>
        <v>1.9329766731057041E-12</v>
      </c>
      <c r="BG174" s="20">
        <f t="shared" si="168"/>
        <v>3.5982663925596575E-12</v>
      </c>
      <c r="BH174" s="59">
        <f t="shared" si="116"/>
        <v>292.04584520450879</v>
      </c>
      <c r="BI174" s="59">
        <f ca="1">AVERAGE(OFFSET($BH$3,0,0,'Données projet'!$E$11+1,1))-AVERAGE(OFFSET($H$3,0,0,'Données projet'!$E$11+1,1))</f>
        <v>383.03154033422328</v>
      </c>
      <c r="BJ174" s="59">
        <f t="shared" si="146"/>
        <v>373.27897156169877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8.8604123960182343E-2</v>
      </c>
      <c r="BQ174" s="21">
        <f>EXP(-LN(2)/25)*BQ173+(1-EXP(-LN(2)/25))/(LN(2)/25)*Calculateur!BL174*Calculateur!BN174*VLOOKUP('Données projet'!$B$11,Paramètres!$A$1:$I$89,3,0)*0.475*44/12</f>
        <v>0.16786253245714522</v>
      </c>
      <c r="BR174" s="21">
        <f>EXP(-LN(2)/2)*BR173+(1-EXP(-LN(2)/2))/(LN(2)/2)*BL174*BO174*VLOOKUP('Données projet'!$B$11,Paramètres!$A$1:$I$89,3,0)*0.475*44/12</f>
        <v>7.8288881343394392E-21</v>
      </c>
      <c r="BS174" s="22">
        <f t="shared" si="169"/>
        <v>0.25646665641732758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69.648866873955967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-3.4106051316484809E-13</v>
      </c>
      <c r="BZ174" s="13">
        <f>BY174*VLOOKUP('Données projet'!$B$12,Paramètres!$A$1:$I$89,3,0)*VLOOKUP('Données projet'!$B$12,Paramètres!$A$1:$I$89,5,0)</f>
        <v>-2.8730937629006804E-13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449.94334483948603</v>
      </c>
      <c r="CE174" s="59">
        <f t="shared" si="148"/>
        <v>318.02929110264176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0.13740454915671366</v>
      </c>
      <c r="CL174" s="21">
        <f>EXP(-LN(2)/25)*CL173+(1-EXP(-LN(2)/25))/(LN(2)/25)*Calculateur!CG174*Calculateur!CI174*VLOOKUP('Données projet'!$B$12,Paramètres!$A$1:$I$89,3,0)*0.475*44/12</f>
        <v>0.21065617240477605</v>
      </c>
      <c r="CM174" s="21">
        <f>EXP(-LN(2)/2)*CM173+(1-EXP(-LN(2)/2))/(LN(2)/2)*CG174*CJ174*VLOOKUP('Données projet'!$B$12,Paramètres!$A$1:$I$89,3,0)*0.475*44/12</f>
        <v>1.2018923940584966E-20</v>
      </c>
      <c r="CN174" s="22">
        <f t="shared" si="172"/>
        <v>0.34806072156148971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69.648866873955967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1.1368683772161603E-13</v>
      </c>
      <c r="CU174" s="17">
        <f>CT174*VLOOKUP('Données projet'!$B$13,Paramètres!$A$1:$I$89,3,0)*VLOOKUP('Données projet'!$B$13,Paramètres!$A$1:$I$89,5,0)</f>
        <v>9.7543306765146564E-14</v>
      </c>
      <c r="CV174" s="13">
        <f t="shared" si="173"/>
        <v>1.4696264278629426E-12</v>
      </c>
      <c r="CW174" s="20">
        <f t="shared" si="174"/>
        <v>2.7294872878105889E-12</v>
      </c>
      <c r="CX174" s="59">
        <f t="shared" si="122"/>
        <v>292.04584520450794</v>
      </c>
      <c r="CY174" s="59">
        <f ca="1">AVERAGE(OFFSET($CX$3,0,0,'Données projet'!$E$13+1,1))-AVERAGE(OFFSET($H$3,0,0,'Données projet'!$E$13+1,1))</f>
        <v>565.32667500225568</v>
      </c>
      <c r="CZ174" s="59">
        <f t="shared" si="150"/>
        <v>275.06957234480944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0</v>
      </c>
      <c r="DG174" s="21">
        <f>EXP(-LN(2)/25)*DG173+(1-EXP(-LN(2)/25))/(LN(2)/25)*Calculateur!DB174*Calculateur!DD174*VLOOKUP('Données projet'!$B$13,Paramètres!$A$1:$I$89,3,0)*0.475*44/12</f>
        <v>8.7860928230133847E-2</v>
      </c>
      <c r="DH174" s="21">
        <f>EXP(-LN(2)/2)*DH173+(1-EXP(-LN(2)/2))/(LN(2)/2)*DB174*DE174*VLOOKUP('Données projet'!$B$13,Paramètres!$A$1:$I$89,3,0)*0.475*44/12</f>
        <v>4.2426278620155657E-21</v>
      </c>
      <c r="DI174" s="22">
        <f t="shared" si="175"/>
        <v>8.7860928230133847E-2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69.648866873955967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-1.2505552149377763E-12</v>
      </c>
      <c r="DP174" s="17">
        <f>DO174*VLOOKUP('Données projet'!$B$14,Paramètres!$A$1:$I$89,3,0)*VLOOKUP('Données projet'!$B$14,Paramètres!$A$1:$I$89,5,0)</f>
        <v>-6.9906036515021697E-13</v>
      </c>
      <c r="DQ174" s="13" t="e">
        <f t="shared" si="176"/>
        <v>#NUM!</v>
      </c>
      <c r="DR174" s="20" t="e">
        <f t="shared" si="177"/>
        <v>#NUM!</v>
      </c>
      <c r="DS174" s="59" t="e">
        <f t="shared" si="125"/>
        <v>#NUM!</v>
      </c>
      <c r="DT174" s="59">
        <f ca="1">AVERAGE(OFFSET($DS$3,0,0,'Données projet'!$E$14+1,1))-AVERAGE(OFFSET($H$3,0,0,'Données projet'!$E$14+1,1))</f>
        <v>532.64469322244281</v>
      </c>
      <c r="DU174" s="59">
        <f t="shared" si="152"/>
        <v>525.88014011096413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0.69974538922400609</v>
      </c>
      <c r="EB174" s="21">
        <f>EXP(-LN(2)/25)*EB173+(1-EXP(-LN(2)/25))/(LN(2)/25)*Calculateur!DW174*Calculateur!DY174*VLOOKUP('Données projet'!$B$14,Paramètres!$A$1:$I$89,3,0)*0.475*44/12</f>
        <v>0.77726297973630065</v>
      </c>
      <c r="EC174" s="21">
        <f>EXP(-LN(2)/2)*EC173+(1-EXP(-LN(2)/2))/(LN(2)/2)*DW174*DZ174*VLOOKUP('Données projet'!$B$14,Paramètres!$A$1:$I$89,3,0)*0.475*44/12</f>
        <v>2.1844574573697283E-20</v>
      </c>
      <c r="ED174" s="22">
        <f t="shared" si="178"/>
        <v>1.4770083689603068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69.648866873955967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-1.1368683772161603E-13</v>
      </c>
      <c r="EK174" s="17">
        <f>EJ174*VLOOKUP('Données projet'!$B$15,Paramètres!$A$1:$I$89,3,0)*VLOOKUP('Données projet'!$B$15,Paramètres!$A$1:$I$89,5,0)</f>
        <v>-1.0286385077051818E-13</v>
      </c>
      <c r="EL174" s="13" t="e">
        <f t="shared" si="179"/>
        <v>#NUM!</v>
      </c>
      <c r="EM174" s="20" t="e">
        <f t="shared" si="180"/>
        <v>#NUM!</v>
      </c>
      <c r="EN174" s="59" t="e">
        <f t="shared" si="128"/>
        <v>#NUM!</v>
      </c>
      <c r="EO174" s="59">
        <f ca="1">AVERAGE(OFFSET($EN$3,0,0,'Données projet'!$E$15+1,1))-AVERAGE(OFFSET($H$3,0,0,'Données projet'!$E$15+1,1))</f>
        <v>398.27843768730202</v>
      </c>
      <c r="EP174" s="59">
        <f t="shared" si="154"/>
        <v>252.3617347568813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0</v>
      </c>
      <c r="EW174" s="21">
        <f>EXP(-LN(2)/25)*EW173+(1-EXP(-LN(2)/25))/(LN(2)/25)*Calculateur!ER174*Calculateur!ET174*VLOOKUP('Données projet'!$B$15,Paramètres!$A$1:$I$89,3,0)*0.475*44/12</f>
        <v>6.2285023231293098E-2</v>
      </c>
      <c r="EX174" s="21">
        <f>EXP(-LN(2)/2)*EX173+(1-EXP(-LN(2)/2))/(LN(2)/2)*ER174*EU174*VLOOKUP('Données projet'!$B$15,Paramètres!$A$1:$I$89,3,0)*0.475*44/12</f>
        <v>3.7070649682650288E-21</v>
      </c>
      <c r="EY174" s="22">
        <f t="shared" si="181"/>
        <v>6.2285023231293098E-2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69.648866873955967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-1.1368683772161603E-13</v>
      </c>
      <c r="FF174" s="17">
        <f>FE174*VLOOKUP('Données projet'!$B$16,Paramètres!$A$1:$I$89,3,0)*VLOOKUP('Données projet'!$B$16,Paramètres!$A$1:$I$89,5,0)</f>
        <v>-1.0995790944434703E-13</v>
      </c>
      <c r="FG174" s="13" t="e">
        <f t="shared" si="182"/>
        <v>#NUM!</v>
      </c>
      <c r="FH174" s="20" t="e">
        <f t="shared" si="183"/>
        <v>#NUM!</v>
      </c>
      <c r="FI174" s="59" t="e">
        <f t="shared" si="131"/>
        <v>#NUM!</v>
      </c>
      <c r="FJ174" s="59">
        <f ca="1">AVERAGE(OFFSET($FI$3,0,0,'Données projet'!$E$16+1,1))-AVERAGE(OFFSET($H$3,0,0,'Données projet'!$E$16+1,1))</f>
        <v>422.28024471365825</v>
      </c>
      <c r="FK174" s="59">
        <f t="shared" si="156"/>
        <v>266.49730479813206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0</v>
      </c>
      <c r="FR174" s="21">
        <f>EXP(-LN(2)/25)*FR173+(1-EXP(-LN(2)/25))/(LN(2)/25)*Calculateur!FM174*Calculateur!FO174*VLOOKUP('Données projet'!$B$16,Paramètres!$A$1:$I$89,3,0)*0.475*44/12</f>
        <v>6.6580542074830468E-2</v>
      </c>
      <c r="FS174" s="21">
        <f>EXP(-LN(2)/2)*FS173+(1-EXP(-LN(2)/2))/(LN(2)/2)*FM174*FP174*VLOOKUP('Données projet'!$B$16,Paramètres!$A$1:$I$89,3,0)*0.475*44/12</f>
        <v>3.9627246212488231E-21</v>
      </c>
      <c r="FT174" s="22">
        <f t="shared" si="184"/>
        <v>6.6580542074830468E-2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69.648866873955967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3.4106051316484809E-13</v>
      </c>
      <c r="GA174" s="17">
        <f>FZ174*VLOOKUP('Données projet'!$B$17,Paramètres!$A$1:$I$89,3,0)*VLOOKUP('Données projet'!$B$17,Paramètres!$A$1:$I$89,5,0)</f>
        <v>2.6602720026858149E-13</v>
      </c>
      <c r="GB174" s="13">
        <f t="shared" si="185"/>
        <v>3.5662905043956649E-12</v>
      </c>
      <c r="GC174" s="20">
        <f t="shared" si="186"/>
        <v>6.6746200022902298E-12</v>
      </c>
      <c r="GD174" s="59">
        <f t="shared" si="134"/>
        <v>292.04584520451186</v>
      </c>
      <c r="GE174" s="59">
        <f ca="1">AVERAGE(OFFSET($GD$3,0,0,'Données projet'!$E$17+1,1))-AVERAGE(OFFSET($H$3,0,0,'Données projet'!$E$17+1,1))</f>
        <v>300.95722646933314</v>
      </c>
      <c r="GF174" s="59">
        <f t="shared" si="158"/>
        <v>269.52365224623759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>
        <f>EXP(-LN(2)/35)*GL173+(1-EXP(-LN(2)/35))/(LN(2)/35)*GH174*GI174*VLOOKUP('Données projet'!$B$17,Paramètres!$A$1:$I$89,3,0)*0.475*44/12</f>
        <v>5.4525614744727564E-2</v>
      </c>
      <c r="GM174" s="21">
        <f>EXP(-LN(2)/25)*GM173+(1-EXP(-LN(2)/25))/(LN(2)/25)*Calculateur!GH174*Calculateur!GJ174*VLOOKUP('Données projet'!$B$17,Paramètres!$A$1:$I$89,3,0)*0.475*44/12</f>
        <v>0.12511701371110182</v>
      </c>
      <c r="GN174" s="21">
        <f>EXP(-LN(2)/2)*GN173+(1-EXP(-LN(2)/2))/(LN(2)/2)*GH174*GK174*VLOOKUP('Données projet'!$B$17,Paramètres!$A$1:$I$89,3,0)*0.475*44/12</f>
        <v>5.3060119521570827E-21</v>
      </c>
      <c r="GO174" s="21">
        <f t="shared" si="187"/>
        <v>0.17964262845582937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69.648866873955967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1.4000000000000001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5.1333333333333337</v>
      </c>
      <c r="H175" s="67">
        <f t="shared" si="110"/>
        <v>236.13333333333335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69.654958248676763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-3.4106051316484809E-13</v>
      </c>
      <c r="O175" s="13">
        <f>N175*VLOOKUP('Données projet'!$B$9,Paramètres!$A$1:$I$89,3,0)*VLOOKUP('Données projet'!$B$9,Paramètres!$A$1:$I$89,5,0)</f>
        <v>-3.0859155231155454E-13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479.46542424895119</v>
      </c>
      <c r="T175" s="59">
        <f t="shared" si="142"/>
        <v>337.96395820277337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0.14468865788634247</v>
      </c>
      <c r="AA175" s="21">
        <f>EXP(-LN(2)/25)*AA174+(1-EXP(-LN(2)/25))/(LN(2)/25)*Calculateur!V175*Calculateur!X175*VLOOKUP('Données projet'!$B$9,Paramètres!$A$1:$I$89,3,0)*0.475*44/12</f>
        <v>0.22007323261039938</v>
      </c>
      <c r="AB175" s="21">
        <f>EXP(-LN(2)/2)*AB174+(1-EXP(-LN(2)/2))/(LN(2)/2)*V175*Y175*VLOOKUP('Données projet'!$B$9,Paramètres!$A$1:$I$89,3,0)*0.475*44/12</f>
        <v>9.1281931854680387E-21</v>
      </c>
      <c r="AC175" s="22">
        <f t="shared" si="163"/>
        <v>0.36476189049674185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69.654958248676763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-3.4106051316484809E-13</v>
      </c>
      <c r="AJ175" s="13">
        <f>AI175*VLOOKUP('Données projet'!$B$10,Paramètres!$A$1:$I$89,3,0)*VLOOKUP('Données projet'!$B$10,Paramètres!$A$1:$I$89,5,0)</f>
        <v>-3.2987372833304104E-13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508.94560627895089</v>
      </c>
      <c r="AO175" s="59">
        <f t="shared" si="144"/>
        <v>357.86868650263034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0.15466718601643517</v>
      </c>
      <c r="AV175" s="21">
        <f>EXP(-LN(2)/25)*AV174+(1-EXP(-LN(2)/25))/(LN(2)/25)*Calculateur!AQ175*Calculateur!AS175*VLOOKUP('Données projet'!$B$10,Paramètres!$A$1:$I$89,3,0)*0.475*44/12</f>
        <v>0.23525069692835784</v>
      </c>
      <c r="AW175" s="21">
        <f>EXP(-LN(2)/2)*AW174+(1-EXP(-LN(2)/2))/(LN(2)/2)*AQ175*AT175*VLOOKUP('Données projet'!$B$10,Paramètres!$A$1:$I$89,3,0)*0.475*44/12</f>
        <v>9.7577237499830311E-21</v>
      </c>
      <c r="AX175" s="21">
        <f t="shared" si="166"/>
        <v>0.38991788294479302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69.654958248676763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1.7053025658242404E-13</v>
      </c>
      <c r="BE175" s="13">
        <f>BD175*VLOOKUP('Données projet'!$B$11,Paramètres!$A$1:$I$89,3,0)*VLOOKUP('Données projet'!$B$11,Paramètres!$A$1:$I$89,5,0)</f>
        <v>1.3301360013429075E-13</v>
      </c>
      <c r="BF175" s="13">
        <f t="shared" si="167"/>
        <v>1.9329766731057041E-12</v>
      </c>
      <c r="BG175" s="20">
        <f t="shared" si="168"/>
        <v>3.5982663925596575E-12</v>
      </c>
      <c r="BH175" s="59">
        <f t="shared" si="116"/>
        <v>292.06818024515172</v>
      </c>
      <c r="BI175" s="59">
        <f ca="1">AVERAGE(OFFSET($BH$3,0,0,'Données projet'!$E$11+1,1))-AVERAGE(OFFSET($H$3,0,0,'Données projet'!$E$11+1,1))</f>
        <v>383.03154033422328</v>
      </c>
      <c r="BJ175" s="59">
        <f t="shared" si="146"/>
        <v>373.27897156169877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8.6866651132502457E-2</v>
      </c>
      <c r="BQ175" s="21">
        <f>EXP(-LN(2)/25)*BQ174+(1-EXP(-LN(2)/25))/(LN(2)/25)*Calculateur!BL175*Calculateur!BN175*VLOOKUP('Données projet'!$B$11,Paramètres!$A$1:$I$89,3,0)*0.475*44/12</f>
        <v>0.16327232267959765</v>
      </c>
      <c r="BR175" s="21">
        <f>EXP(-LN(2)/2)*BR174+(1-EXP(-LN(2)/2))/(LN(2)/2)*BL175*BO175*VLOOKUP('Données projet'!$B$11,Paramètres!$A$1:$I$89,3,0)*0.475*44/12</f>
        <v>5.5358598889423163E-21</v>
      </c>
      <c r="BS175" s="22">
        <f t="shared" si="169"/>
        <v>0.2501389738121001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69.654958248676763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-3.4106051316484809E-13</v>
      </c>
      <c r="BZ175" s="13">
        <f>BY175*VLOOKUP('Données projet'!$B$12,Paramètres!$A$1:$I$89,3,0)*VLOOKUP('Données projet'!$B$12,Paramètres!$A$1:$I$89,5,0)</f>
        <v>-2.8730937629006804E-13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449.94334483948603</v>
      </c>
      <c r="CE175" s="59">
        <f t="shared" si="148"/>
        <v>318.02929110264176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0.13471012975625007</v>
      </c>
      <c r="CL175" s="21">
        <f>EXP(-LN(2)/25)*CL174+(1-EXP(-LN(2)/25))/(LN(2)/25)*Calculateur!CG175*Calculateur!CI175*VLOOKUP('Données projet'!$B$12,Paramètres!$A$1:$I$89,3,0)*0.475*44/12</f>
        <v>0.2048957682924408</v>
      </c>
      <c r="CM175" s="21">
        <f>EXP(-LN(2)/2)*CM174+(1-EXP(-LN(2)/2))/(LN(2)/2)*CG175*CJ175*VLOOKUP('Données projet'!$B$12,Paramètres!$A$1:$I$89,3,0)*0.475*44/12</f>
        <v>8.4986626209529711E-21</v>
      </c>
      <c r="CN175" s="22">
        <f t="shared" si="172"/>
        <v>0.3396058980486909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69.654958248676763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1.1368683772161603E-13</v>
      </c>
      <c r="CU175" s="17">
        <f>CT175*VLOOKUP('Données projet'!$B$13,Paramètres!$A$1:$I$89,3,0)*VLOOKUP('Données projet'!$B$13,Paramètres!$A$1:$I$89,5,0)</f>
        <v>9.7543306765146564E-14</v>
      </c>
      <c r="CV175" s="13">
        <f t="shared" si="173"/>
        <v>1.4696264278629426E-12</v>
      </c>
      <c r="CW175" s="20">
        <f t="shared" si="174"/>
        <v>2.7294872878105889E-12</v>
      </c>
      <c r="CX175" s="59">
        <f t="shared" si="122"/>
        <v>292.06818024515087</v>
      </c>
      <c r="CY175" s="59">
        <f ca="1">AVERAGE(OFFSET($CX$3,0,0,'Données projet'!$E$13+1,1))-AVERAGE(OFFSET($H$3,0,0,'Données projet'!$E$13+1,1))</f>
        <v>565.32667500225568</v>
      </c>
      <c r="CZ175" s="59">
        <f t="shared" si="150"/>
        <v>275.06957234480944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0</v>
      </c>
      <c r="DG175" s="21">
        <f>EXP(-LN(2)/25)*DG174+(1-EXP(-LN(2)/25))/(LN(2)/25)*Calculateur!DB175*Calculateur!DD175*VLOOKUP('Données projet'!$B$13,Paramètres!$A$1:$I$89,3,0)*0.475*44/12</f>
        <v>8.5458366527275426E-2</v>
      </c>
      <c r="DH175" s="21">
        <f>EXP(-LN(2)/2)*DH174+(1-EXP(-LN(2)/2))/(LN(2)/2)*DB175*DE175*VLOOKUP('Données projet'!$B$13,Paramètres!$A$1:$I$89,3,0)*0.475*44/12</f>
        <v>2.9999909312821906E-21</v>
      </c>
      <c r="DI175" s="22">
        <f t="shared" si="175"/>
        <v>8.5458366527275426E-2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69.654958248676763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-1.2505552149377763E-12</v>
      </c>
      <c r="DP175" s="17">
        <f>DO175*VLOOKUP('Données projet'!$B$14,Paramètres!$A$1:$I$89,3,0)*VLOOKUP('Données projet'!$B$14,Paramètres!$A$1:$I$89,5,0)</f>
        <v>-6.9906036515021697E-13</v>
      </c>
      <c r="DQ175" s="13" t="e">
        <f t="shared" si="176"/>
        <v>#NUM!</v>
      </c>
      <c r="DR175" s="20" t="e">
        <f t="shared" si="177"/>
        <v>#NUM!</v>
      </c>
      <c r="DS175" s="59" t="e">
        <f t="shared" si="125"/>
        <v>#NUM!</v>
      </c>
      <c r="DT175" s="59">
        <f ca="1">AVERAGE(OFFSET($DS$3,0,0,'Données projet'!$E$14+1,1))-AVERAGE(OFFSET($H$3,0,0,'Données projet'!$E$14+1,1))</f>
        <v>532.64469322244281</v>
      </c>
      <c r="DU175" s="59">
        <f t="shared" si="152"/>
        <v>525.88014011096413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0.6860238089438675</v>
      </c>
      <c r="EB175" s="21">
        <f>EXP(-LN(2)/25)*EB174+(1-EXP(-LN(2)/25))/(LN(2)/25)*Calculateur!DW175*Calculateur!DY175*VLOOKUP('Données projet'!$B$14,Paramètres!$A$1:$I$89,3,0)*0.475*44/12</f>
        <v>0.75600868268092791</v>
      </c>
      <c r="EC175" s="21">
        <f>EXP(-LN(2)/2)*EC174+(1-EXP(-LN(2)/2))/(LN(2)/2)*DW175*DZ175*VLOOKUP('Données projet'!$B$14,Paramètres!$A$1:$I$89,3,0)*0.475*44/12</f>
        <v>1.5446446813196584E-20</v>
      </c>
      <c r="ED175" s="22">
        <f t="shared" si="178"/>
        <v>1.4420324916247953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69.654958248676763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-1.1368683772161603E-13</v>
      </c>
      <c r="EK175" s="17">
        <f>EJ175*VLOOKUP('Données projet'!$B$15,Paramètres!$A$1:$I$89,3,0)*VLOOKUP('Données projet'!$B$15,Paramètres!$A$1:$I$89,5,0)</f>
        <v>-1.0286385077051818E-13</v>
      </c>
      <c r="EL175" s="13" t="e">
        <f t="shared" si="179"/>
        <v>#NUM!</v>
      </c>
      <c r="EM175" s="20" t="e">
        <f t="shared" si="180"/>
        <v>#NUM!</v>
      </c>
      <c r="EN175" s="59" t="e">
        <f t="shared" si="128"/>
        <v>#NUM!</v>
      </c>
      <c r="EO175" s="59">
        <f ca="1">AVERAGE(OFFSET($EN$3,0,0,'Données projet'!$E$15+1,1))-AVERAGE(OFFSET($H$3,0,0,'Données projet'!$E$15+1,1))</f>
        <v>398.27843768730202</v>
      </c>
      <c r="EP175" s="59">
        <f t="shared" si="154"/>
        <v>252.3617347568813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0</v>
      </c>
      <c r="EW175" s="21">
        <f>EXP(-LN(2)/25)*EW174+(1-EXP(-LN(2)/25))/(LN(2)/25)*Calculateur!ER175*Calculateur!ET175*VLOOKUP('Données projet'!$B$15,Paramètres!$A$1:$I$89,3,0)*0.475*44/12</f>
        <v>6.0581835995606369E-2</v>
      </c>
      <c r="EX175" s="21">
        <f>EXP(-LN(2)/2)*EX174+(1-EXP(-LN(2)/2))/(LN(2)/2)*ER175*EU175*VLOOKUP('Données projet'!$B$15,Paramètres!$A$1:$I$89,3,0)*0.475*44/12</f>
        <v>2.6212907773592955E-21</v>
      </c>
      <c r="EY175" s="22">
        <f t="shared" si="181"/>
        <v>6.0581835995606369E-2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69.654958248676763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-1.1368683772161603E-13</v>
      </c>
      <c r="FF175" s="17">
        <f>FE175*VLOOKUP('Données projet'!$B$16,Paramètres!$A$1:$I$89,3,0)*VLOOKUP('Données projet'!$B$16,Paramètres!$A$1:$I$89,5,0)</f>
        <v>-1.0995790944434703E-13</v>
      </c>
      <c r="FG175" s="13" t="e">
        <f t="shared" si="182"/>
        <v>#NUM!</v>
      </c>
      <c r="FH175" s="20" t="e">
        <f t="shared" si="183"/>
        <v>#NUM!</v>
      </c>
      <c r="FI175" s="59" t="e">
        <f t="shared" si="131"/>
        <v>#NUM!</v>
      </c>
      <c r="FJ175" s="59">
        <f ca="1">AVERAGE(OFFSET($FI$3,0,0,'Données projet'!$E$16+1,1))-AVERAGE(OFFSET($H$3,0,0,'Données projet'!$E$16+1,1))</f>
        <v>422.28024471365825</v>
      </c>
      <c r="FK175" s="59">
        <f t="shared" si="156"/>
        <v>266.49730479813206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0</v>
      </c>
      <c r="FR175" s="21">
        <f>EXP(-LN(2)/25)*FR174+(1-EXP(-LN(2)/25))/(LN(2)/25)*Calculateur!FM175*Calculateur!FO175*VLOOKUP('Données projet'!$B$16,Paramètres!$A$1:$I$89,3,0)*0.475*44/12</f>
        <v>6.4759893650475686E-2</v>
      </c>
      <c r="FS175" s="21">
        <f>EXP(-LN(2)/2)*FS174+(1-EXP(-LN(2)/2))/(LN(2)/2)*FM175*FP175*VLOOKUP('Données projet'!$B$16,Paramètres!$A$1:$I$89,3,0)*0.475*44/12</f>
        <v>2.802069451659936E-21</v>
      </c>
      <c r="FT175" s="22">
        <f t="shared" si="184"/>
        <v>6.4759893650475686E-2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69.654958248676763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3.4106051316484809E-13</v>
      </c>
      <c r="GA175" s="17">
        <f>FZ175*VLOOKUP('Données projet'!$B$17,Paramètres!$A$1:$I$89,3,0)*VLOOKUP('Données projet'!$B$17,Paramètres!$A$1:$I$89,5,0)</f>
        <v>2.6602720026858149E-13</v>
      </c>
      <c r="GB175" s="13">
        <f t="shared" si="185"/>
        <v>3.5662905043956649E-12</v>
      </c>
      <c r="GC175" s="20">
        <f t="shared" si="186"/>
        <v>6.6746200022902298E-12</v>
      </c>
      <c r="GD175" s="59">
        <f t="shared" si="134"/>
        <v>292.06818024515479</v>
      </c>
      <c r="GE175" s="59">
        <f ca="1">AVERAGE(OFFSET($GD$3,0,0,'Données projet'!$E$17+1,1))-AVERAGE(OFFSET($H$3,0,0,'Données projet'!$E$17+1,1))</f>
        <v>300.95722646933314</v>
      </c>
      <c r="GF175" s="59">
        <f t="shared" si="158"/>
        <v>269.52365224623759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>
        <f>EXP(-LN(2)/35)*GL174+(1-EXP(-LN(2)/35))/(LN(2)/35)*GH175*GI175*VLOOKUP('Données projet'!$B$17,Paramètres!$A$1:$I$89,3,0)*0.475*44/12</f>
        <v>5.3456400696924561E-2</v>
      </c>
      <c r="GM175" s="21">
        <f>EXP(-LN(2)/25)*GM174+(1-EXP(-LN(2)/25))/(LN(2)/25)*Calculateur!GH175*Calculateur!GJ175*VLOOKUP('Données projet'!$B$17,Paramètres!$A$1:$I$89,3,0)*0.475*44/12</f>
        <v>0.12169568239155394</v>
      </c>
      <c r="GN175" s="21">
        <f>EXP(-LN(2)/2)*GN174+(1-EXP(-LN(2)/2))/(LN(2)/2)*GH175*GK175*VLOOKUP('Données projet'!$B$17,Paramètres!$A$1:$I$89,3,0)*0.475*44/12</f>
        <v>3.7519170324271441E-21</v>
      </c>
      <c r="GO175" s="21">
        <f t="shared" si="187"/>
        <v>0.17515208308847852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69.654958248676763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1.4000000000000001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5.1333333333333337</v>
      </c>
      <c r="H176" s="67">
        <f t="shared" si="110"/>
        <v>236.13333333333335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69.660943951664436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-3.4106051316484809E-13</v>
      </c>
      <c r="O176" s="13">
        <f>N176*VLOOKUP('Données projet'!$B$9,Paramètres!$A$1:$I$89,3,0)*VLOOKUP('Données projet'!$B$9,Paramètres!$A$1:$I$89,5,0)</f>
        <v>-3.0859155231155454E-13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479.46542424895119</v>
      </c>
      <c r="T176" s="59">
        <f t="shared" si="142"/>
        <v>337.96395820277337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0.14185140155655851</v>
      </c>
      <c r="AA176" s="21">
        <f>EXP(-LN(2)/25)*AA175+(1-EXP(-LN(2)/25))/(LN(2)/25)*Calculateur!V176*Calculateur!X176*VLOOKUP('Données projet'!$B$9,Paramètres!$A$1:$I$89,3,0)*0.475*44/12</f>
        <v>0.21405531849151968</v>
      </c>
      <c r="AB176" s="21">
        <f>EXP(-LN(2)/2)*AB175+(1-EXP(-LN(2)/2))/(LN(2)/2)*V176*Y176*VLOOKUP('Données projet'!$B$9,Paramètres!$A$1:$I$89,3,0)*0.475*44/12</f>
        <v>6.4546073014252828E-21</v>
      </c>
      <c r="AC176" s="22">
        <f t="shared" si="163"/>
        <v>0.35590672004807822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69.660943951664436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-3.4106051316484809E-13</v>
      </c>
      <c r="AJ176" s="13">
        <f>AI176*VLOOKUP('Données projet'!$B$10,Paramètres!$A$1:$I$89,3,0)*VLOOKUP('Données projet'!$B$10,Paramètres!$A$1:$I$89,5,0)</f>
        <v>-3.2987372833304104E-13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508.94560627895089</v>
      </c>
      <c r="AO176" s="59">
        <f t="shared" si="144"/>
        <v>357.86868650263034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0.15163425683632129</v>
      </c>
      <c r="AV176" s="21">
        <f>EXP(-LN(2)/25)*AV175+(1-EXP(-LN(2)/25))/(LN(2)/25)*Calculateur!AQ176*Calculateur!AS176*VLOOKUP('Données projet'!$B$10,Paramètres!$A$1:$I$89,3,0)*0.475*44/12</f>
        <v>0.22881775424955542</v>
      </c>
      <c r="AW176" s="21">
        <f>EXP(-LN(2)/2)*AW175+(1-EXP(-LN(2)/2))/(LN(2)/2)*AQ176*AT176*VLOOKUP('Données projet'!$B$10,Paramètres!$A$1:$I$89,3,0)*0.475*44/12</f>
        <v>6.899752632558029E-21</v>
      </c>
      <c r="AX176" s="21">
        <f t="shared" si="166"/>
        <v>0.38045201108587667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69.660943951664436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1.7053025658242404E-13</v>
      </c>
      <c r="BE176" s="13">
        <f>BD176*VLOOKUP('Données projet'!$B$11,Paramètres!$A$1:$I$89,3,0)*VLOOKUP('Données projet'!$B$11,Paramètres!$A$1:$I$89,5,0)</f>
        <v>1.3301360013429075E-13</v>
      </c>
      <c r="BF176" s="13">
        <f t="shared" si="167"/>
        <v>1.9329766731057041E-12</v>
      </c>
      <c r="BG176" s="20">
        <f t="shared" si="168"/>
        <v>3.5982663925596575E-12</v>
      </c>
      <c r="BH176" s="59">
        <f t="shared" si="116"/>
        <v>292.09012782277318</v>
      </c>
      <c r="BI176" s="59">
        <f ca="1">AVERAGE(OFFSET($BH$3,0,0,'Données projet'!$E$11+1,1))-AVERAGE(OFFSET($H$3,0,0,'Données projet'!$E$11+1,1))</f>
        <v>383.03154033422328</v>
      </c>
      <c r="BJ176" s="59">
        <f t="shared" si="146"/>
        <v>373.27897156169877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8.5163249087219589E-2</v>
      </c>
      <c r="BQ176" s="21">
        <f>EXP(-LN(2)/25)*BQ175+(1-EXP(-LN(2)/25))/(LN(2)/25)*Calculateur!BL176*Calculateur!BN176*VLOOKUP('Données projet'!$B$11,Paramètres!$A$1:$I$89,3,0)*0.475*44/12</f>
        <v>0.15880763242980578</v>
      </c>
      <c r="BR176" s="21">
        <f>EXP(-LN(2)/2)*BR175+(1-EXP(-LN(2)/2))/(LN(2)/2)*BL176*BO176*VLOOKUP('Données projet'!$B$11,Paramètres!$A$1:$I$89,3,0)*0.475*44/12</f>
        <v>3.9144440671697196E-21</v>
      </c>
      <c r="BS176" s="22">
        <f t="shared" si="169"/>
        <v>0.24397088151702537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69.660943951664436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-3.4106051316484809E-13</v>
      </c>
      <c r="BZ176" s="13">
        <f>BY176*VLOOKUP('Données projet'!$B$12,Paramètres!$A$1:$I$89,3,0)*VLOOKUP('Données projet'!$B$12,Paramètres!$A$1:$I$89,5,0)</f>
        <v>-2.8730937629006804E-13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449.94334483948603</v>
      </c>
      <c r="CE176" s="59">
        <f t="shared" si="148"/>
        <v>318.02929110264176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0.13206854627679604</v>
      </c>
      <c r="CL176" s="21">
        <f>EXP(-LN(2)/25)*CL175+(1-EXP(-LN(2)/25))/(LN(2)/25)*Calculateur!CG176*Calculateur!CI176*VLOOKUP('Données projet'!$B$12,Paramètres!$A$1:$I$89,3,0)*0.475*44/12</f>
        <v>0.19929288273348383</v>
      </c>
      <c r="CM176" s="21">
        <f>EXP(-LN(2)/2)*CM175+(1-EXP(-LN(2)/2))/(LN(2)/2)*CG176*CJ176*VLOOKUP('Données projet'!$B$12,Paramètres!$A$1:$I$89,3,0)*0.475*44/12</f>
        <v>6.0094619702924831E-21</v>
      </c>
      <c r="CN176" s="22">
        <f t="shared" si="172"/>
        <v>0.33136142901027987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69.660943951664436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1.1368683772161603E-13</v>
      </c>
      <c r="CU176" s="17">
        <f>CT176*VLOOKUP('Données projet'!$B$13,Paramètres!$A$1:$I$89,3,0)*VLOOKUP('Données projet'!$B$13,Paramètres!$A$1:$I$89,5,0)</f>
        <v>9.7543306765146564E-14</v>
      </c>
      <c r="CV176" s="13">
        <f t="shared" si="173"/>
        <v>1.4696264278629426E-12</v>
      </c>
      <c r="CW176" s="20">
        <f t="shared" si="174"/>
        <v>2.7294872878105889E-12</v>
      </c>
      <c r="CX176" s="59">
        <f t="shared" si="122"/>
        <v>292.09012782277233</v>
      </c>
      <c r="CY176" s="59">
        <f ca="1">AVERAGE(OFFSET($CX$3,0,0,'Données projet'!$E$13+1,1))-AVERAGE(OFFSET($H$3,0,0,'Données projet'!$E$13+1,1))</f>
        <v>565.32667500225568</v>
      </c>
      <c r="CZ176" s="59">
        <f t="shared" si="150"/>
        <v>275.06957234480944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0</v>
      </c>
      <c r="DG176" s="21">
        <f>EXP(-LN(2)/25)*DG175+(1-EXP(-LN(2)/25))/(LN(2)/25)*Calculateur!DB176*Calculateur!DD176*VLOOKUP('Données projet'!$B$13,Paramètres!$A$1:$I$89,3,0)*0.475*44/12</f>
        <v>8.3121503000526897E-2</v>
      </c>
      <c r="DH176" s="21">
        <f>EXP(-LN(2)/2)*DH175+(1-EXP(-LN(2)/2))/(LN(2)/2)*DB176*DE176*VLOOKUP('Données projet'!$B$13,Paramètres!$A$1:$I$89,3,0)*0.475*44/12</f>
        <v>2.1213139310077828E-21</v>
      </c>
      <c r="DI176" s="22">
        <f t="shared" si="175"/>
        <v>8.3121503000526897E-2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69.660943951664436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-1.2505552149377763E-12</v>
      </c>
      <c r="DP176" s="17">
        <f>DO176*VLOOKUP('Données projet'!$B$14,Paramètres!$A$1:$I$89,3,0)*VLOOKUP('Données projet'!$B$14,Paramètres!$A$1:$I$89,5,0)</f>
        <v>-6.9906036515021697E-13</v>
      </c>
      <c r="DQ176" s="13" t="e">
        <f t="shared" si="176"/>
        <v>#NUM!</v>
      </c>
      <c r="DR176" s="20" t="e">
        <f t="shared" si="177"/>
        <v>#NUM!</v>
      </c>
      <c r="DS176" s="59" t="e">
        <f t="shared" si="125"/>
        <v>#NUM!</v>
      </c>
      <c r="DT176" s="59">
        <f ca="1">AVERAGE(OFFSET($DS$3,0,0,'Données projet'!$E$14+1,1))-AVERAGE(OFFSET($H$3,0,0,'Données projet'!$E$14+1,1))</f>
        <v>532.64469322244281</v>
      </c>
      <c r="DU176" s="59">
        <f t="shared" si="152"/>
        <v>525.88014011096413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0.67257130048368485</v>
      </c>
      <c r="EB176" s="21">
        <f>EXP(-LN(2)/25)*EB175+(1-EXP(-LN(2)/25))/(LN(2)/25)*Calculateur!DW176*Calculateur!DY176*VLOOKUP('Données projet'!$B$14,Paramètres!$A$1:$I$89,3,0)*0.475*44/12</f>
        <v>0.73533558549624922</v>
      </c>
      <c r="EC176" s="21">
        <f>EXP(-LN(2)/2)*EC175+(1-EXP(-LN(2)/2))/(LN(2)/2)*DW176*DZ176*VLOOKUP('Données projet'!$B$14,Paramètres!$A$1:$I$89,3,0)*0.475*44/12</f>
        <v>1.0922287286848641E-20</v>
      </c>
      <c r="ED176" s="22">
        <f t="shared" si="178"/>
        <v>1.407906885979934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69.660943951664436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-1.1368683772161603E-13</v>
      </c>
      <c r="EK176" s="17">
        <f>EJ176*VLOOKUP('Données projet'!$B$15,Paramètres!$A$1:$I$89,3,0)*VLOOKUP('Données projet'!$B$15,Paramètres!$A$1:$I$89,5,0)</f>
        <v>-1.0286385077051818E-13</v>
      </c>
      <c r="EL176" s="13" t="e">
        <f t="shared" si="179"/>
        <v>#NUM!</v>
      </c>
      <c r="EM176" s="20" t="e">
        <f t="shared" si="180"/>
        <v>#NUM!</v>
      </c>
      <c r="EN176" s="59" t="e">
        <f t="shared" si="128"/>
        <v>#NUM!</v>
      </c>
      <c r="EO176" s="59">
        <f ca="1">AVERAGE(OFFSET($EN$3,0,0,'Données projet'!$E$15+1,1))-AVERAGE(OFFSET($H$3,0,0,'Données projet'!$E$15+1,1))</f>
        <v>398.27843768730202</v>
      </c>
      <c r="EP176" s="59">
        <f t="shared" si="154"/>
        <v>252.3617347568813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0</v>
      </c>
      <c r="EW176" s="21">
        <f>EXP(-LN(2)/25)*EW175+(1-EXP(-LN(2)/25))/(LN(2)/25)*Calculateur!ER176*Calculateur!ET176*VLOOKUP('Données projet'!$B$15,Paramètres!$A$1:$I$89,3,0)*0.475*44/12</f>
        <v>5.892522250444622E-2</v>
      </c>
      <c r="EX176" s="21">
        <f>EXP(-LN(2)/2)*EX175+(1-EXP(-LN(2)/2))/(LN(2)/2)*ER176*EU176*VLOOKUP('Données projet'!$B$15,Paramètres!$A$1:$I$89,3,0)*0.475*44/12</f>
        <v>1.8535324841325144E-21</v>
      </c>
      <c r="EY176" s="22">
        <f t="shared" si="181"/>
        <v>5.892522250444622E-2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69.660943951664436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-1.1368683772161603E-13</v>
      </c>
      <c r="FF176" s="17">
        <f>FE176*VLOOKUP('Données projet'!$B$16,Paramètres!$A$1:$I$89,3,0)*VLOOKUP('Données projet'!$B$16,Paramètres!$A$1:$I$89,5,0)</f>
        <v>-1.0995790944434703E-13</v>
      </c>
      <c r="FG176" s="13" t="e">
        <f t="shared" si="182"/>
        <v>#NUM!</v>
      </c>
      <c r="FH176" s="20" t="e">
        <f t="shared" si="183"/>
        <v>#NUM!</v>
      </c>
      <c r="FI176" s="59" t="e">
        <f t="shared" si="131"/>
        <v>#NUM!</v>
      </c>
      <c r="FJ176" s="59">
        <f ca="1">AVERAGE(OFFSET($FI$3,0,0,'Données projet'!$E$16+1,1))-AVERAGE(OFFSET($H$3,0,0,'Données projet'!$E$16+1,1))</f>
        <v>422.28024471365825</v>
      </c>
      <c r="FK176" s="59">
        <f t="shared" si="156"/>
        <v>266.49730479813206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0</v>
      </c>
      <c r="FR176" s="21">
        <f>EXP(-LN(2)/25)*FR175+(1-EXP(-LN(2)/25))/(LN(2)/25)*Calculateur!FM176*Calculateur!FO176*VLOOKUP('Données projet'!$B$16,Paramètres!$A$1:$I$89,3,0)*0.475*44/12</f>
        <v>6.298903095302863E-2</v>
      </c>
      <c r="FS176" s="21">
        <f>EXP(-LN(2)/2)*FS175+(1-EXP(-LN(2)/2))/(LN(2)/2)*FM176*FP176*VLOOKUP('Données projet'!$B$16,Paramètres!$A$1:$I$89,3,0)*0.475*44/12</f>
        <v>1.9813623106244116E-21</v>
      </c>
      <c r="FT176" s="22">
        <f t="shared" si="184"/>
        <v>6.298903095302863E-2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69.660943951664436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3.4106051316484809E-13</v>
      </c>
      <c r="GA176" s="17">
        <f>FZ176*VLOOKUP('Données projet'!$B$17,Paramètres!$A$1:$I$89,3,0)*VLOOKUP('Données projet'!$B$17,Paramètres!$A$1:$I$89,5,0)</f>
        <v>2.6602720026858149E-13</v>
      </c>
      <c r="GB176" s="13">
        <f t="shared" si="185"/>
        <v>3.5662905043956649E-12</v>
      </c>
      <c r="GC176" s="20">
        <f t="shared" si="186"/>
        <v>6.6746200022902298E-12</v>
      </c>
      <c r="GD176" s="59">
        <f t="shared" si="134"/>
        <v>292.09012782277625</v>
      </c>
      <c r="GE176" s="59">
        <f ca="1">AVERAGE(OFFSET($GD$3,0,0,'Données projet'!$E$17+1,1))-AVERAGE(OFFSET($H$3,0,0,'Données projet'!$E$17+1,1))</f>
        <v>300.95722646933314</v>
      </c>
      <c r="GF176" s="59">
        <f t="shared" si="158"/>
        <v>269.52365224623759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>
        <f>EXP(-LN(2)/35)*GL175+(1-EXP(-LN(2)/35))/(LN(2)/35)*GH176*GI176*VLOOKUP('Données projet'!$B$17,Paramètres!$A$1:$I$89,3,0)*0.475*44/12</f>
        <v>5.2408153284442802E-2</v>
      </c>
      <c r="GM176" s="21">
        <f>EXP(-LN(2)/25)*GM175+(1-EXP(-LN(2)/25))/(LN(2)/25)*Calculateur!GH176*Calculateur!GJ176*VLOOKUP('Données projet'!$B$17,Paramètres!$A$1:$I$89,3,0)*0.475*44/12</f>
        <v>0.11836790755685909</v>
      </c>
      <c r="GN176" s="21">
        <f>EXP(-LN(2)/2)*GN175+(1-EXP(-LN(2)/2))/(LN(2)/2)*GH176*GK176*VLOOKUP('Données projet'!$B$17,Paramètres!$A$1:$I$89,3,0)*0.475*44/12</f>
        <v>2.6530059760785414E-21</v>
      </c>
      <c r="GO176" s="21">
        <f t="shared" si="187"/>
        <v>0.1707760608413019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69.660943951664436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1.4000000000000001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5.1333333333333337</v>
      </c>
      <c r="H177" s="67">
        <f t="shared" si="110"/>
        <v>236.13333333333335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69.666825816087282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-3.4106051316484809E-13</v>
      </c>
      <c r="O177" s="13">
        <f>N177*VLOOKUP('Données projet'!$B$9,Paramètres!$A$1:$I$89,3,0)*VLOOKUP('Données projet'!$B$9,Paramètres!$A$1:$I$89,5,0)</f>
        <v>-3.0859155231155454E-13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479.46542424895119</v>
      </c>
      <c r="T177" s="59">
        <f t="shared" si="142"/>
        <v>337.96395820277337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0.13906978209284612</v>
      </c>
      <c r="AA177" s="21">
        <f>EXP(-LN(2)/25)*AA176+(1-EXP(-LN(2)/25))/(LN(2)/25)*Calculateur!V177*Calculateur!X177*VLOOKUP('Données projet'!$B$9,Paramètres!$A$1:$I$89,3,0)*0.475*44/12</f>
        <v>0.20820196455068909</v>
      </c>
      <c r="AB177" s="21">
        <f>EXP(-LN(2)/2)*AB176+(1-EXP(-LN(2)/2))/(LN(2)/2)*V177*Y177*VLOOKUP('Données projet'!$B$9,Paramètres!$A$1:$I$89,3,0)*0.475*44/12</f>
        <v>4.5640965927340194E-21</v>
      </c>
      <c r="AC177" s="22">
        <f t="shared" si="163"/>
        <v>0.34727174664353522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69.666825816087282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-3.4106051316484809E-13</v>
      </c>
      <c r="AJ177" s="13">
        <f>AI177*VLOOKUP('Données projet'!$B$10,Paramètres!$A$1:$I$89,3,0)*VLOOKUP('Données projet'!$B$10,Paramètres!$A$1:$I$89,5,0)</f>
        <v>-3.2987372833304104E-13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508.94560627895089</v>
      </c>
      <c r="AO177" s="59">
        <f t="shared" si="144"/>
        <v>357.86868650263034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0.14866080154752528</v>
      </c>
      <c r="AV177" s="21">
        <f>EXP(-LN(2)/25)*AV176+(1-EXP(-LN(2)/25))/(LN(2)/25)*Calculateur!AQ177*Calculateur!AS177*VLOOKUP('Données projet'!$B$10,Paramètres!$A$1:$I$89,3,0)*0.475*44/12</f>
        <v>0.2225607207265986</v>
      </c>
      <c r="AW177" s="21">
        <f>EXP(-LN(2)/2)*AW176+(1-EXP(-LN(2)/2))/(LN(2)/2)*AQ177*AT177*VLOOKUP('Données projet'!$B$10,Paramètres!$A$1:$I$89,3,0)*0.475*44/12</f>
        <v>4.8788618749915156E-21</v>
      </c>
      <c r="AX177" s="21">
        <f t="shared" si="166"/>
        <v>0.37122152227412386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69.666825816087282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1.7053025658242404E-13</v>
      </c>
      <c r="BE177" s="13">
        <f>BD177*VLOOKUP('Données projet'!$B$11,Paramètres!$A$1:$I$89,3,0)*VLOOKUP('Données projet'!$B$11,Paramètres!$A$1:$I$89,5,0)</f>
        <v>1.3301360013429075E-13</v>
      </c>
      <c r="BF177" s="13">
        <f t="shared" si="167"/>
        <v>1.9329766731057041E-12</v>
      </c>
      <c r="BG177" s="20">
        <f t="shared" si="168"/>
        <v>3.5982663925596575E-12</v>
      </c>
      <c r="BH177" s="59">
        <f t="shared" si="116"/>
        <v>292.11169465899025</v>
      </c>
      <c r="BI177" s="59">
        <f ca="1">AVERAGE(OFFSET($BH$3,0,0,'Données projet'!$E$11+1,1))-AVERAGE(OFFSET($H$3,0,0,'Données projet'!$E$11+1,1))</f>
        <v>383.03154033422328</v>
      </c>
      <c r="BJ177" s="59">
        <f t="shared" si="146"/>
        <v>373.27897156169877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8.3493249717072074E-2</v>
      </c>
      <c r="BQ177" s="21">
        <f>EXP(-LN(2)/25)*BQ176+(1-EXP(-LN(2)/25))/(LN(2)/25)*Calculateur!BL177*Calculateur!BN177*VLOOKUP('Données projet'!$B$11,Paramètres!$A$1:$I$89,3,0)*0.475*44/12</f>
        <v>0.15446502936968232</v>
      </c>
      <c r="BR177" s="21">
        <f>EXP(-LN(2)/2)*BR176+(1-EXP(-LN(2)/2))/(LN(2)/2)*BL177*BO177*VLOOKUP('Données projet'!$B$11,Paramètres!$A$1:$I$89,3,0)*0.475*44/12</f>
        <v>2.7679299444711581E-21</v>
      </c>
      <c r="BS177" s="22">
        <f t="shared" si="169"/>
        <v>0.23795827908675438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69.666825816087282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-3.4106051316484809E-13</v>
      </c>
      <c r="BZ177" s="13">
        <f>BY177*VLOOKUP('Données projet'!$B$12,Paramètres!$A$1:$I$89,3,0)*VLOOKUP('Données projet'!$B$12,Paramètres!$A$1:$I$89,5,0)</f>
        <v>-2.8730937629006804E-13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449.94334483948603</v>
      </c>
      <c r="CE177" s="59">
        <f t="shared" si="148"/>
        <v>318.02929110264176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0.12947876263816727</v>
      </c>
      <c r="CL177" s="21">
        <f>EXP(-LN(2)/25)*CL176+(1-EXP(-LN(2)/25))/(LN(2)/25)*Calculateur!CG177*Calculateur!CI177*VLOOKUP('Données projet'!$B$12,Paramètres!$A$1:$I$89,3,0)*0.475*44/12</f>
        <v>0.1938432083747795</v>
      </c>
      <c r="CM177" s="21">
        <f>EXP(-LN(2)/2)*CM176+(1-EXP(-LN(2)/2))/(LN(2)/2)*CG177*CJ177*VLOOKUP('Données projet'!$B$12,Paramètres!$A$1:$I$89,3,0)*0.475*44/12</f>
        <v>4.2493313104764856E-21</v>
      </c>
      <c r="CN177" s="22">
        <f t="shared" si="172"/>
        <v>0.3233219710129468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69.666825816087282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1.1368683772161603E-13</v>
      </c>
      <c r="CU177" s="17">
        <f>CT177*VLOOKUP('Données projet'!$B$13,Paramètres!$A$1:$I$89,3,0)*VLOOKUP('Données projet'!$B$13,Paramètres!$A$1:$I$89,5,0)</f>
        <v>9.7543306765146564E-14</v>
      </c>
      <c r="CV177" s="13">
        <f t="shared" si="173"/>
        <v>1.4696264278629426E-12</v>
      </c>
      <c r="CW177" s="20">
        <f t="shared" si="174"/>
        <v>2.7294872878105889E-12</v>
      </c>
      <c r="CX177" s="59">
        <f t="shared" si="122"/>
        <v>292.11169465898939</v>
      </c>
      <c r="CY177" s="59">
        <f ca="1">AVERAGE(OFFSET($CX$3,0,0,'Données projet'!$E$13+1,1))-AVERAGE(OFFSET($H$3,0,0,'Données projet'!$E$13+1,1))</f>
        <v>565.32667500225568</v>
      </c>
      <c r="CZ177" s="59">
        <f t="shared" si="150"/>
        <v>275.06957234480944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0</v>
      </c>
      <c r="DG177" s="21">
        <f>EXP(-LN(2)/25)*DG176+(1-EXP(-LN(2)/25))/(LN(2)/25)*Calculateur!DB177*Calculateur!DD177*VLOOKUP('Données projet'!$B$13,Paramètres!$A$1:$I$89,3,0)*0.475*44/12</f>
        <v>8.0848541129807619E-2</v>
      </c>
      <c r="DH177" s="21">
        <f>EXP(-LN(2)/2)*DH176+(1-EXP(-LN(2)/2))/(LN(2)/2)*DB177*DE177*VLOOKUP('Données projet'!$B$13,Paramètres!$A$1:$I$89,3,0)*0.475*44/12</f>
        <v>1.4999954656410953E-21</v>
      </c>
      <c r="DI177" s="22">
        <f t="shared" si="175"/>
        <v>8.0848541129807619E-2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69.666825816087282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-1.2505552149377763E-12</v>
      </c>
      <c r="DP177" s="17">
        <f>DO177*VLOOKUP('Données projet'!$B$14,Paramètres!$A$1:$I$89,3,0)*VLOOKUP('Données projet'!$B$14,Paramètres!$A$1:$I$89,5,0)</f>
        <v>-6.9906036515021697E-13</v>
      </c>
      <c r="DQ177" s="13" t="e">
        <f t="shared" si="176"/>
        <v>#NUM!</v>
      </c>
      <c r="DR177" s="20" t="e">
        <f t="shared" si="177"/>
        <v>#NUM!</v>
      </c>
      <c r="DS177" s="59" t="e">
        <f t="shared" si="125"/>
        <v>#NUM!</v>
      </c>
      <c r="DT177" s="59">
        <f ca="1">AVERAGE(OFFSET($DS$3,0,0,'Données projet'!$E$14+1,1))-AVERAGE(OFFSET($H$3,0,0,'Données projet'!$E$14+1,1))</f>
        <v>532.64469322244281</v>
      </c>
      <c r="DU177" s="59">
        <f t="shared" si="152"/>
        <v>525.88014011096413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0.65938258750918644</v>
      </c>
      <c r="EB177" s="21">
        <f>EXP(-LN(2)/25)*EB176+(1-EXP(-LN(2)/25))/(LN(2)/25)*Calculateur!DW177*Calculateur!DY177*VLOOKUP('Données projet'!$B$14,Paramètres!$A$1:$I$89,3,0)*0.475*44/12</f>
        <v>0.71522779524123647</v>
      </c>
      <c r="EC177" s="21">
        <f>EXP(-LN(2)/2)*EC176+(1-EXP(-LN(2)/2))/(LN(2)/2)*DW177*DZ177*VLOOKUP('Données projet'!$B$14,Paramètres!$A$1:$I$89,3,0)*0.475*44/12</f>
        <v>7.7232234065982919E-21</v>
      </c>
      <c r="ED177" s="22">
        <f t="shared" si="178"/>
        <v>1.374610382750423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69.666825816087282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-1.1368683772161603E-13</v>
      </c>
      <c r="EK177" s="17">
        <f>EJ177*VLOOKUP('Données projet'!$B$15,Paramètres!$A$1:$I$89,3,0)*VLOOKUP('Données projet'!$B$15,Paramètres!$A$1:$I$89,5,0)</f>
        <v>-1.0286385077051818E-13</v>
      </c>
      <c r="EL177" s="13" t="e">
        <f t="shared" si="179"/>
        <v>#NUM!</v>
      </c>
      <c r="EM177" s="20" t="e">
        <f t="shared" si="180"/>
        <v>#NUM!</v>
      </c>
      <c r="EN177" s="59" t="e">
        <f t="shared" si="128"/>
        <v>#NUM!</v>
      </c>
      <c r="EO177" s="59">
        <f ca="1">AVERAGE(OFFSET($EN$3,0,0,'Données projet'!$E$15+1,1))-AVERAGE(OFFSET($H$3,0,0,'Données projet'!$E$15+1,1))</f>
        <v>398.27843768730202</v>
      </c>
      <c r="EP177" s="59">
        <f t="shared" si="154"/>
        <v>252.3617347568813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0</v>
      </c>
      <c r="EW177" s="21">
        <f>EXP(-LN(2)/25)*EW176+(1-EXP(-LN(2)/25))/(LN(2)/25)*Calculateur!ER177*Calculateur!ET177*VLOOKUP('Données projet'!$B$15,Paramètres!$A$1:$I$89,3,0)*0.475*44/12</f>
        <v>5.731390919631936E-2</v>
      </c>
      <c r="EX177" s="21">
        <f>EXP(-LN(2)/2)*EX176+(1-EXP(-LN(2)/2))/(LN(2)/2)*ER177*EU177*VLOOKUP('Données projet'!$B$15,Paramètres!$A$1:$I$89,3,0)*0.475*44/12</f>
        <v>1.3106453886796478E-21</v>
      </c>
      <c r="EY177" s="22">
        <f t="shared" si="181"/>
        <v>5.731390919631936E-2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69.666825816087282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-1.1368683772161603E-13</v>
      </c>
      <c r="FF177" s="17">
        <f>FE177*VLOOKUP('Données projet'!$B$16,Paramètres!$A$1:$I$89,3,0)*VLOOKUP('Données projet'!$B$16,Paramètres!$A$1:$I$89,5,0)</f>
        <v>-1.0995790944434703E-13</v>
      </c>
      <c r="FG177" s="13" t="e">
        <f t="shared" si="182"/>
        <v>#NUM!</v>
      </c>
      <c r="FH177" s="20" t="e">
        <f t="shared" si="183"/>
        <v>#NUM!</v>
      </c>
      <c r="FI177" s="59" t="e">
        <f t="shared" si="131"/>
        <v>#NUM!</v>
      </c>
      <c r="FJ177" s="59">
        <f ca="1">AVERAGE(OFFSET($FI$3,0,0,'Données projet'!$E$16+1,1))-AVERAGE(OFFSET($H$3,0,0,'Données projet'!$E$16+1,1))</f>
        <v>422.28024471365825</v>
      </c>
      <c r="FK177" s="59">
        <f t="shared" si="156"/>
        <v>266.49730479813206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0</v>
      </c>
      <c r="FR177" s="21">
        <f>EXP(-LN(2)/25)*FR176+(1-EXP(-LN(2)/25))/(LN(2)/25)*Calculateur!FM177*Calculateur!FO177*VLOOKUP('Données projet'!$B$16,Paramètres!$A$1:$I$89,3,0)*0.475*44/12</f>
        <v>6.1266592589168889E-2</v>
      </c>
      <c r="FS177" s="21">
        <f>EXP(-LN(2)/2)*FS176+(1-EXP(-LN(2)/2))/(LN(2)/2)*FM177*FP177*VLOOKUP('Données projet'!$B$16,Paramètres!$A$1:$I$89,3,0)*0.475*44/12</f>
        <v>1.401034725829968E-21</v>
      </c>
      <c r="FT177" s="22">
        <f t="shared" si="184"/>
        <v>6.1266592589168889E-2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69.666825816087282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3.4106051316484809E-13</v>
      </c>
      <c r="GA177" s="17">
        <f>FZ177*VLOOKUP('Données projet'!$B$17,Paramètres!$A$1:$I$89,3,0)*VLOOKUP('Données projet'!$B$17,Paramètres!$A$1:$I$89,5,0)</f>
        <v>2.6602720026858149E-13</v>
      </c>
      <c r="GB177" s="13">
        <f t="shared" si="185"/>
        <v>3.5662905043956649E-12</v>
      </c>
      <c r="GC177" s="20">
        <f t="shared" si="186"/>
        <v>6.6746200022902298E-12</v>
      </c>
      <c r="GD177" s="59">
        <f t="shared" si="134"/>
        <v>292.11169465899331</v>
      </c>
      <c r="GE177" s="59">
        <f ca="1">AVERAGE(OFFSET($GD$3,0,0,'Données projet'!$E$17+1,1))-AVERAGE(OFFSET($H$3,0,0,'Données projet'!$E$17+1,1))</f>
        <v>300.95722646933314</v>
      </c>
      <c r="GF177" s="59">
        <f t="shared" si="158"/>
        <v>269.52365224623759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>
        <f>EXP(-LN(2)/35)*GL176+(1-EXP(-LN(2)/35))/(LN(2)/35)*GH177*GI177*VLOOKUP('Données projet'!$B$17,Paramètres!$A$1:$I$89,3,0)*0.475*44/12</f>
        <v>5.1380461364352016E-2</v>
      </c>
      <c r="GM177" s="21">
        <f>EXP(-LN(2)/25)*GM176+(1-EXP(-LN(2)/25))/(LN(2)/25)*Calculateur!GH177*Calculateur!GJ177*VLOOKUP('Données projet'!$B$17,Paramètres!$A$1:$I$89,3,0)*0.475*44/12</f>
        <v>0.11513113090001906</v>
      </c>
      <c r="GN177" s="21">
        <f>EXP(-LN(2)/2)*GN176+(1-EXP(-LN(2)/2))/(LN(2)/2)*GH177*GK177*VLOOKUP('Données projet'!$B$17,Paramètres!$A$1:$I$89,3,0)*0.475*44/12</f>
        <v>1.8759585162135721E-21</v>
      </c>
      <c r="GO177" s="21">
        <f t="shared" si="187"/>
        <v>0.16651159226437107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69.666825816087282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1.4000000000000001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5.1333333333333337</v>
      </c>
      <c r="H178" s="67">
        <f t="shared" si="110"/>
        <v>236.13333333333335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69.672605643312281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-3.4106051316484809E-13</v>
      </c>
      <c r="O178" s="13">
        <f>N178*VLOOKUP('Données projet'!$B$9,Paramètres!$A$1:$I$89,3,0)*VLOOKUP('Données projet'!$B$9,Paramètres!$A$1:$I$89,5,0)</f>
        <v>-3.0859155231155454E-13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479.46542424895119</v>
      </c>
      <c r="T178" s="59">
        <f t="shared" si="142"/>
        <v>337.96395820277337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0.13634270849019681</v>
      </c>
      <c r="AA178" s="21">
        <f>EXP(-LN(2)/25)*AA177+(1-EXP(-LN(2)/25))/(LN(2)/25)*Calculateur!V178*Calculateur!X178*VLOOKUP('Données projet'!$B$9,Paramètres!$A$1:$I$89,3,0)*0.475*44/12</f>
        <v>0.20250867088118504</v>
      </c>
      <c r="AB178" s="21">
        <f>EXP(-LN(2)/2)*AB177+(1-EXP(-LN(2)/2))/(LN(2)/2)*V178*Y178*VLOOKUP('Données projet'!$B$9,Paramètres!$A$1:$I$89,3,0)*0.475*44/12</f>
        <v>3.2273036507126414E-21</v>
      </c>
      <c r="AC178" s="22">
        <f t="shared" si="163"/>
        <v>0.33885137937138188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69.672605643312281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-3.4106051316484809E-13</v>
      </c>
      <c r="AJ178" s="13">
        <f>AI178*VLOOKUP('Données projet'!$B$10,Paramètres!$A$1:$I$89,3,0)*VLOOKUP('Données projet'!$B$10,Paramètres!$A$1:$I$89,5,0)</f>
        <v>-3.2987372833304104E-13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508.94560627895089</v>
      </c>
      <c r="AO178" s="59">
        <f t="shared" si="144"/>
        <v>357.86868650263034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0.14574565390331393</v>
      </c>
      <c r="AV178" s="21">
        <f>EXP(-LN(2)/25)*AV177+(1-EXP(-LN(2)/25))/(LN(2)/25)*Calculateur!AQ178*Calculateur!AS178*VLOOKUP('Données projet'!$B$10,Paramètres!$A$1:$I$89,3,0)*0.475*44/12</f>
        <v>0.21647478611437013</v>
      </c>
      <c r="AW178" s="21">
        <f>EXP(-LN(2)/2)*AW177+(1-EXP(-LN(2)/2))/(LN(2)/2)*AQ178*AT178*VLOOKUP('Données projet'!$B$10,Paramètres!$A$1:$I$89,3,0)*0.475*44/12</f>
        <v>3.4498763162790145E-21</v>
      </c>
      <c r="AX178" s="21">
        <f t="shared" si="166"/>
        <v>0.36222044001768405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69.672605643312281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1.7053025658242404E-13</v>
      </c>
      <c r="BE178" s="13">
        <f>BD178*VLOOKUP('Données projet'!$B$11,Paramètres!$A$1:$I$89,3,0)*VLOOKUP('Données projet'!$B$11,Paramètres!$A$1:$I$89,5,0)</f>
        <v>1.3301360013429075E-13</v>
      </c>
      <c r="BF178" s="13">
        <f t="shared" si="167"/>
        <v>1.9329766731057041E-12</v>
      </c>
      <c r="BG178" s="20">
        <f t="shared" si="168"/>
        <v>3.5982663925596575E-12</v>
      </c>
      <c r="BH178" s="59">
        <f t="shared" si="116"/>
        <v>292.13288735881531</v>
      </c>
      <c r="BI178" s="59">
        <f ca="1">AVERAGE(OFFSET($BH$3,0,0,'Données projet'!$E$11+1,1))-AVERAGE(OFFSET($H$3,0,0,'Données projet'!$E$11+1,1))</f>
        <v>383.03154033422328</v>
      </c>
      <c r="BJ178" s="59">
        <f t="shared" si="146"/>
        <v>373.27897156169877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8.185599801597411E-2</v>
      </c>
      <c r="BQ178" s="21">
        <f>EXP(-LN(2)/25)*BQ177+(1-EXP(-LN(2)/25))/(LN(2)/25)*Calculateur!BL178*Calculateur!BN178*VLOOKUP('Données projet'!$B$11,Paramètres!$A$1:$I$89,3,0)*0.475*44/12</f>
        <v>0.15024117501860548</v>
      </c>
      <c r="BR178" s="21">
        <f>EXP(-LN(2)/2)*BR177+(1-EXP(-LN(2)/2))/(LN(2)/2)*BL178*BO178*VLOOKUP('Données projet'!$B$11,Paramètres!$A$1:$I$89,3,0)*0.475*44/12</f>
        <v>1.9572220335848598E-21</v>
      </c>
      <c r="BS178" s="22">
        <f t="shared" si="169"/>
        <v>0.23209717303457961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69.672605643312281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-3.4106051316484809E-13</v>
      </c>
      <c r="BZ178" s="13">
        <f>BY178*VLOOKUP('Données projet'!$B$12,Paramètres!$A$1:$I$89,3,0)*VLOOKUP('Données projet'!$B$12,Paramètres!$A$1:$I$89,5,0)</f>
        <v>-2.8730937629006804E-13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449.94334483948603</v>
      </c>
      <c r="CE178" s="59">
        <f t="shared" si="148"/>
        <v>318.02929110264176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0.12693976307707996</v>
      </c>
      <c r="CL178" s="21">
        <f>EXP(-LN(2)/25)*CL177+(1-EXP(-LN(2)/25))/(LN(2)/25)*Calculateur!CG178*Calculateur!CI178*VLOOKUP('Données projet'!$B$12,Paramètres!$A$1:$I$89,3,0)*0.475*44/12</f>
        <v>0.18854255564799988</v>
      </c>
      <c r="CM178" s="21">
        <f>EXP(-LN(2)/2)*CM177+(1-EXP(-LN(2)/2))/(LN(2)/2)*CG178*CJ178*VLOOKUP('Données projet'!$B$12,Paramètres!$A$1:$I$89,3,0)*0.475*44/12</f>
        <v>3.0047309851462416E-21</v>
      </c>
      <c r="CN178" s="22">
        <f t="shared" si="172"/>
        <v>0.31548231872507981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69.672605643312281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1.1368683772161603E-13</v>
      </c>
      <c r="CU178" s="17">
        <f>CT178*VLOOKUP('Données projet'!$B$13,Paramètres!$A$1:$I$89,3,0)*VLOOKUP('Données projet'!$B$13,Paramètres!$A$1:$I$89,5,0)</f>
        <v>9.7543306765146564E-14</v>
      </c>
      <c r="CV178" s="13">
        <f t="shared" si="173"/>
        <v>1.4696264278629426E-12</v>
      </c>
      <c r="CW178" s="20">
        <f t="shared" si="174"/>
        <v>2.7294872878105889E-12</v>
      </c>
      <c r="CX178" s="59">
        <f t="shared" si="122"/>
        <v>292.13288735881446</v>
      </c>
      <c r="CY178" s="59">
        <f ca="1">AVERAGE(OFFSET($CX$3,0,0,'Données projet'!$E$13+1,1))-AVERAGE(OFFSET($H$3,0,0,'Données projet'!$E$13+1,1))</f>
        <v>565.32667500225568</v>
      </c>
      <c r="CZ178" s="59">
        <f t="shared" si="150"/>
        <v>275.06957234480944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0</v>
      </c>
      <c r="DG178" s="21">
        <f>EXP(-LN(2)/25)*DG177+(1-EXP(-LN(2)/25))/(LN(2)/25)*Calculateur!DB178*Calculateur!DD178*VLOOKUP('Données projet'!$B$13,Paramètres!$A$1:$I$89,3,0)*0.475*44/12</f>
        <v>7.863773352097303E-2</v>
      </c>
      <c r="DH178" s="21">
        <f>EXP(-LN(2)/2)*DH177+(1-EXP(-LN(2)/2))/(LN(2)/2)*DB178*DE178*VLOOKUP('Données projet'!$B$13,Paramètres!$A$1:$I$89,3,0)*0.475*44/12</f>
        <v>1.0606569655038914E-21</v>
      </c>
      <c r="DI178" s="22">
        <f t="shared" si="175"/>
        <v>7.863773352097303E-2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69.672605643312281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-1.2505552149377763E-12</v>
      </c>
      <c r="DP178" s="17">
        <f>DO178*VLOOKUP('Données projet'!$B$14,Paramètres!$A$1:$I$89,3,0)*VLOOKUP('Données projet'!$B$14,Paramètres!$A$1:$I$89,5,0)</f>
        <v>-6.9906036515021697E-13</v>
      </c>
      <c r="DQ178" s="13" t="e">
        <f t="shared" si="176"/>
        <v>#NUM!</v>
      </c>
      <c r="DR178" s="20" t="e">
        <f t="shared" si="177"/>
        <v>#NUM!</v>
      </c>
      <c r="DS178" s="59" t="e">
        <f t="shared" si="125"/>
        <v>#NUM!</v>
      </c>
      <c r="DT178" s="59">
        <f ca="1">AVERAGE(OFFSET($DS$3,0,0,'Données projet'!$E$14+1,1))-AVERAGE(OFFSET($H$3,0,0,'Données projet'!$E$14+1,1))</f>
        <v>532.64469322244281</v>
      </c>
      <c r="DU178" s="59">
        <f t="shared" si="152"/>
        <v>525.88014011096413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0.64645249715179731</v>
      </c>
      <c r="EB178" s="21">
        <f>EXP(-LN(2)/25)*EB177+(1-EXP(-LN(2)/25))/(LN(2)/25)*Calculateur!DW178*Calculateur!DY178*VLOOKUP('Données projet'!$B$14,Paramètres!$A$1:$I$89,3,0)*0.475*44/12</f>
        <v>0.69566985356816979</v>
      </c>
      <c r="EC178" s="21">
        <f>EXP(-LN(2)/2)*EC177+(1-EXP(-LN(2)/2))/(LN(2)/2)*DW178*DZ178*VLOOKUP('Données projet'!$B$14,Paramètres!$A$1:$I$89,3,0)*0.475*44/12</f>
        <v>5.4611436434243206E-21</v>
      </c>
      <c r="ED178" s="22">
        <f t="shared" si="178"/>
        <v>1.3421223507199671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69.672605643312281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-1.1368683772161603E-13</v>
      </c>
      <c r="EK178" s="17">
        <f>EJ178*VLOOKUP('Données projet'!$B$15,Paramètres!$A$1:$I$89,3,0)*VLOOKUP('Données projet'!$B$15,Paramètres!$A$1:$I$89,5,0)</f>
        <v>-1.0286385077051818E-13</v>
      </c>
      <c r="EL178" s="13" t="e">
        <f t="shared" si="179"/>
        <v>#NUM!</v>
      </c>
      <c r="EM178" s="20" t="e">
        <f t="shared" si="180"/>
        <v>#NUM!</v>
      </c>
      <c r="EN178" s="59" t="e">
        <f t="shared" si="128"/>
        <v>#NUM!</v>
      </c>
      <c r="EO178" s="59">
        <f ca="1">AVERAGE(OFFSET($EN$3,0,0,'Données projet'!$E$15+1,1))-AVERAGE(OFFSET($H$3,0,0,'Données projet'!$E$15+1,1))</f>
        <v>398.27843768730202</v>
      </c>
      <c r="EP178" s="59">
        <f t="shared" si="154"/>
        <v>252.3617347568813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0</v>
      </c>
      <c r="EW178" s="21">
        <f>EXP(-LN(2)/25)*EW177+(1-EXP(-LN(2)/25))/(LN(2)/25)*Calculateur!ER178*Calculateur!ET178*VLOOKUP('Données projet'!$B$15,Paramètres!$A$1:$I$89,3,0)*0.475*44/12</f>
        <v>5.5746657335338512E-2</v>
      </c>
      <c r="EX178" s="21">
        <f>EXP(-LN(2)/2)*EX177+(1-EXP(-LN(2)/2))/(LN(2)/2)*ER178*EU178*VLOOKUP('Données projet'!$B$15,Paramètres!$A$1:$I$89,3,0)*0.475*44/12</f>
        <v>9.267662420662572E-22</v>
      </c>
      <c r="EY178" s="22">
        <f t="shared" si="181"/>
        <v>5.5746657335338512E-2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69.672605643312281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-1.1368683772161603E-13</v>
      </c>
      <c r="FF178" s="17">
        <f>FE178*VLOOKUP('Données projet'!$B$16,Paramètres!$A$1:$I$89,3,0)*VLOOKUP('Données projet'!$B$16,Paramètres!$A$1:$I$89,5,0)</f>
        <v>-1.0995790944434703E-13</v>
      </c>
      <c r="FG178" s="13" t="e">
        <f t="shared" si="182"/>
        <v>#NUM!</v>
      </c>
      <c r="FH178" s="20" t="e">
        <f t="shared" si="183"/>
        <v>#NUM!</v>
      </c>
      <c r="FI178" s="59" t="e">
        <f t="shared" si="131"/>
        <v>#NUM!</v>
      </c>
      <c r="FJ178" s="59">
        <f ca="1">AVERAGE(OFFSET($FI$3,0,0,'Données projet'!$E$16+1,1))-AVERAGE(OFFSET($H$3,0,0,'Données projet'!$E$16+1,1))</f>
        <v>422.28024471365825</v>
      </c>
      <c r="FK178" s="59">
        <f t="shared" si="156"/>
        <v>266.49730479813206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0</v>
      </c>
      <c r="FR178" s="21">
        <f>EXP(-LN(2)/25)*FR177+(1-EXP(-LN(2)/25))/(LN(2)/25)*Calculateur!FM178*Calculateur!FO178*VLOOKUP('Données projet'!$B$16,Paramètres!$A$1:$I$89,3,0)*0.475*44/12</f>
        <v>5.959125439294799E-2</v>
      </c>
      <c r="FS178" s="21">
        <f>EXP(-LN(2)/2)*FS177+(1-EXP(-LN(2)/2))/(LN(2)/2)*FM178*FP178*VLOOKUP('Données projet'!$B$16,Paramètres!$A$1:$I$89,3,0)*0.475*44/12</f>
        <v>9.9068115531220578E-22</v>
      </c>
      <c r="FT178" s="22">
        <f t="shared" si="184"/>
        <v>5.959125439294799E-2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69.672605643312281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3.4106051316484809E-13</v>
      </c>
      <c r="GA178" s="17">
        <f>FZ178*VLOOKUP('Données projet'!$B$17,Paramètres!$A$1:$I$89,3,0)*VLOOKUP('Données projet'!$B$17,Paramètres!$A$1:$I$89,5,0)</f>
        <v>2.6602720026858149E-13</v>
      </c>
      <c r="GB178" s="13">
        <f t="shared" si="185"/>
        <v>3.5662905043956649E-12</v>
      </c>
      <c r="GC178" s="20">
        <f t="shared" si="186"/>
        <v>6.6746200022902298E-12</v>
      </c>
      <c r="GD178" s="59">
        <f t="shared" si="134"/>
        <v>292.13288735881838</v>
      </c>
      <c r="GE178" s="59">
        <f ca="1">AVERAGE(OFFSET($GD$3,0,0,'Données projet'!$E$17+1,1))-AVERAGE(OFFSET($H$3,0,0,'Données projet'!$E$17+1,1))</f>
        <v>300.95722646933314</v>
      </c>
      <c r="GF178" s="59">
        <f t="shared" si="158"/>
        <v>269.52365224623759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>
        <f>EXP(-LN(2)/35)*GL177+(1-EXP(-LN(2)/35))/(LN(2)/35)*GH178*GI178*VLOOKUP('Données projet'!$B$17,Paramètres!$A$1:$I$89,3,0)*0.475*44/12</f>
        <v>5.0372921855984035E-2</v>
      </c>
      <c r="GM178" s="21">
        <f>EXP(-LN(2)/25)*GM177+(1-EXP(-LN(2)/25))/(LN(2)/25)*Calculateur!GH178*Calculateur!GJ178*VLOOKUP('Données projet'!$B$17,Paramètres!$A$1:$I$89,3,0)*0.475*44/12</f>
        <v>0.11198286407107499</v>
      </c>
      <c r="GN178" s="21">
        <f>EXP(-LN(2)/2)*GN177+(1-EXP(-LN(2)/2))/(LN(2)/2)*GH178*GK178*VLOOKUP('Données projet'!$B$17,Paramètres!$A$1:$I$89,3,0)*0.475*44/12</f>
        <v>1.3265029880392707E-21</v>
      </c>
      <c r="GO178" s="21">
        <f t="shared" si="187"/>
        <v>0.16235578592705902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69.672605643312281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1.4000000000000001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5.1333333333333337</v>
      </c>
      <c r="H179" s="67">
        <f t="shared" si="110"/>
        <v>236.13333333333335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69.678285203456696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-3.4106051316484809E-13</v>
      </c>
      <c r="O179" s="13">
        <f>N179*VLOOKUP('Données projet'!$B$9,Paramètres!$A$1:$I$89,3,0)*VLOOKUP('Données projet'!$B$9,Paramètres!$A$1:$I$89,5,0)</f>
        <v>-3.0859155231155454E-13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479.46542424895119</v>
      </c>
      <c r="T179" s="59">
        <f t="shared" si="142"/>
        <v>337.96395820277337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0.13366911113754479</v>
      </c>
      <c r="AA179" s="21">
        <f>EXP(-LN(2)/25)*AA178+(1-EXP(-LN(2)/25))/(LN(2)/25)*Calculateur!V179*Calculateur!X179*VLOOKUP('Données projet'!$B$9,Paramètres!$A$1:$I$89,3,0)*0.475*44/12</f>
        <v>0.19697106062647088</v>
      </c>
      <c r="AB179" s="21">
        <f>EXP(-LN(2)/2)*AB178+(1-EXP(-LN(2)/2))/(LN(2)/2)*V179*Y179*VLOOKUP('Données projet'!$B$9,Paramètres!$A$1:$I$89,3,0)*0.475*44/12</f>
        <v>2.2820482963670097E-21</v>
      </c>
      <c r="AC179" s="22">
        <f t="shared" si="163"/>
        <v>0.33064017176401567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69.678285203456696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-3.4106051316484809E-13</v>
      </c>
      <c r="AJ179" s="13">
        <f>AI179*VLOOKUP('Données projet'!$B$10,Paramètres!$A$1:$I$89,3,0)*VLOOKUP('Données projet'!$B$10,Paramètres!$A$1:$I$89,5,0)</f>
        <v>-3.2987372833304104E-13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508.94560627895089</v>
      </c>
      <c r="AO179" s="59">
        <f t="shared" si="144"/>
        <v>357.86868650263034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0.14288767052634108</v>
      </c>
      <c r="AV179" s="21">
        <f>EXP(-LN(2)/25)*AV178+(1-EXP(-LN(2)/25))/(LN(2)/25)*Calculateur!AQ179*Calculateur!AS179*VLOOKUP('Données projet'!$B$10,Paramètres!$A$1:$I$89,3,0)*0.475*44/12</f>
        <v>0.21055527170415844</v>
      </c>
      <c r="AW179" s="21">
        <f>EXP(-LN(2)/2)*AW178+(1-EXP(-LN(2)/2))/(LN(2)/2)*AQ179*AT179*VLOOKUP('Données projet'!$B$10,Paramètres!$A$1:$I$89,3,0)*0.475*44/12</f>
        <v>2.4394309374957578E-21</v>
      </c>
      <c r="AX179" s="21">
        <f t="shared" si="166"/>
        <v>0.35344294223049955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69.678285203456696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1.7053025658242404E-13</v>
      </c>
      <c r="BE179" s="13">
        <f>BD179*VLOOKUP('Données projet'!$B$11,Paramètres!$A$1:$I$89,3,0)*VLOOKUP('Données projet'!$B$11,Paramètres!$A$1:$I$89,5,0)</f>
        <v>1.3301360013429075E-13</v>
      </c>
      <c r="BF179" s="13">
        <f t="shared" si="167"/>
        <v>1.9329766731057041E-12</v>
      </c>
      <c r="BG179" s="20">
        <f t="shared" si="168"/>
        <v>3.5982663925596575E-12</v>
      </c>
      <c r="BH179" s="59">
        <f t="shared" si="116"/>
        <v>292.15371241267815</v>
      </c>
      <c r="BI179" s="59">
        <f ca="1">AVERAGE(OFFSET($BH$3,0,0,'Données projet'!$E$11+1,1))-AVERAGE(OFFSET($H$3,0,0,'Données projet'!$E$11+1,1))</f>
        <v>383.03154033422328</v>
      </c>
      <c r="BJ179" s="59">
        <f t="shared" si="146"/>
        <v>373.27897156169877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8.0250851822109739E-2</v>
      </c>
      <c r="BQ179" s="21">
        <f>EXP(-LN(2)/25)*BQ178+(1-EXP(-LN(2)/25))/(LN(2)/25)*Calculateur!BL179*Calculateur!BN179*VLOOKUP('Données projet'!$B$11,Paramètres!$A$1:$I$89,3,0)*0.475*44/12</f>
        <v>0.1461328221868817</v>
      </c>
      <c r="BR179" s="21">
        <f>EXP(-LN(2)/2)*BR178+(1-EXP(-LN(2)/2))/(LN(2)/2)*BL179*BO179*VLOOKUP('Données projet'!$B$11,Paramètres!$A$1:$I$89,3,0)*0.475*44/12</f>
        <v>1.3839649722355791E-21</v>
      </c>
      <c r="BS179" s="22">
        <f t="shared" si="169"/>
        <v>0.22638367400899145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69.678285203456696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-3.4106051316484809E-13</v>
      </c>
      <c r="BZ179" s="13">
        <f>BY179*VLOOKUP('Données projet'!$B$12,Paramètres!$A$1:$I$89,3,0)*VLOOKUP('Données projet'!$B$12,Paramètres!$A$1:$I$89,5,0)</f>
        <v>-2.8730937629006804E-13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449.94334483948603</v>
      </c>
      <c r="CE179" s="59">
        <f t="shared" si="148"/>
        <v>318.02929110264176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0.12445055174874876</v>
      </c>
      <c r="CL179" s="21">
        <f>EXP(-LN(2)/25)*CL178+(1-EXP(-LN(2)/25))/(LN(2)/25)*Calculateur!CG179*Calculateur!CI179*VLOOKUP('Données projet'!$B$12,Paramètres!$A$1:$I$89,3,0)*0.475*44/12</f>
        <v>0.18338684954878323</v>
      </c>
      <c r="CM179" s="21">
        <f>EXP(-LN(2)/2)*CM178+(1-EXP(-LN(2)/2))/(LN(2)/2)*CG179*CJ179*VLOOKUP('Données projet'!$B$12,Paramètres!$A$1:$I$89,3,0)*0.475*44/12</f>
        <v>2.1246656552382428E-21</v>
      </c>
      <c r="CN179" s="22">
        <f t="shared" si="172"/>
        <v>0.30783740129753201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69.678285203456696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1.1368683772161603E-13</v>
      </c>
      <c r="CU179" s="17">
        <f>CT179*VLOOKUP('Données projet'!$B$13,Paramètres!$A$1:$I$89,3,0)*VLOOKUP('Données projet'!$B$13,Paramètres!$A$1:$I$89,5,0)</f>
        <v>9.7543306765146564E-14</v>
      </c>
      <c r="CV179" s="13">
        <f t="shared" si="173"/>
        <v>1.4696264278629426E-12</v>
      </c>
      <c r="CW179" s="20">
        <f t="shared" si="174"/>
        <v>2.7294872878105889E-12</v>
      </c>
      <c r="CX179" s="59">
        <f t="shared" si="122"/>
        <v>292.15371241267729</v>
      </c>
      <c r="CY179" s="59">
        <f ca="1">AVERAGE(OFFSET($CX$3,0,0,'Données projet'!$E$13+1,1))-AVERAGE(OFFSET($H$3,0,0,'Données projet'!$E$13+1,1))</f>
        <v>565.32667500225568</v>
      </c>
      <c r="CZ179" s="59">
        <f t="shared" si="150"/>
        <v>275.06957234480944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0</v>
      </c>
      <c r="DG179" s="21">
        <f>EXP(-LN(2)/25)*DG178+(1-EXP(-LN(2)/25))/(LN(2)/25)*Calculateur!DB179*Calculateur!DD179*VLOOKUP('Données projet'!$B$13,Paramètres!$A$1:$I$89,3,0)*0.475*44/12</f>
        <v>7.6487380562463347E-2</v>
      </c>
      <c r="DH179" s="21">
        <f>EXP(-LN(2)/2)*DH178+(1-EXP(-LN(2)/2))/(LN(2)/2)*DB179*DE179*VLOOKUP('Données projet'!$B$13,Paramètres!$A$1:$I$89,3,0)*0.475*44/12</f>
        <v>7.4999773282054765E-22</v>
      </c>
      <c r="DI179" s="22">
        <f t="shared" si="175"/>
        <v>7.6487380562463347E-2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69.678285203456696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-1.2505552149377763E-12</v>
      </c>
      <c r="DP179" s="17">
        <f>DO179*VLOOKUP('Données projet'!$B$14,Paramètres!$A$1:$I$89,3,0)*VLOOKUP('Données projet'!$B$14,Paramètres!$A$1:$I$89,5,0)</f>
        <v>-6.9906036515021697E-13</v>
      </c>
      <c r="DQ179" s="13" t="e">
        <f t="shared" si="176"/>
        <v>#NUM!</v>
      </c>
      <c r="DR179" s="20" t="e">
        <f t="shared" si="177"/>
        <v>#NUM!</v>
      </c>
      <c r="DS179" s="59" t="e">
        <f t="shared" si="125"/>
        <v>#NUM!</v>
      </c>
      <c r="DT179" s="59">
        <f ca="1">AVERAGE(OFFSET($DS$3,0,0,'Données projet'!$E$14+1,1))-AVERAGE(OFFSET($H$3,0,0,'Données projet'!$E$14+1,1))</f>
        <v>532.64469322244281</v>
      </c>
      <c r="DU179" s="59">
        <f t="shared" si="152"/>
        <v>525.88014011096413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0.63377595797974018</v>
      </c>
      <c r="EB179" s="21">
        <f>EXP(-LN(2)/25)*EB178+(1-EXP(-LN(2)/25))/(LN(2)/25)*Calculateur!DW179*Calculateur!DY179*VLOOKUP('Données projet'!$B$14,Paramètres!$A$1:$I$89,3,0)*0.475*44/12</f>
        <v>0.67664672483866062</v>
      </c>
      <c r="EC179" s="21">
        <f>EXP(-LN(2)/2)*EC178+(1-EXP(-LN(2)/2))/(LN(2)/2)*DW179*DZ179*VLOOKUP('Données projet'!$B$14,Paramètres!$A$1:$I$89,3,0)*0.475*44/12</f>
        <v>3.861611703299146E-21</v>
      </c>
      <c r="ED179" s="22">
        <f t="shared" si="178"/>
        <v>1.3104226828184009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69.678285203456696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-1.1368683772161603E-13</v>
      </c>
      <c r="EK179" s="17">
        <f>EJ179*VLOOKUP('Données projet'!$B$15,Paramètres!$A$1:$I$89,3,0)*VLOOKUP('Données projet'!$B$15,Paramètres!$A$1:$I$89,5,0)</f>
        <v>-1.0286385077051818E-13</v>
      </c>
      <c r="EL179" s="13" t="e">
        <f t="shared" si="179"/>
        <v>#NUM!</v>
      </c>
      <c r="EM179" s="20" t="e">
        <f t="shared" si="180"/>
        <v>#NUM!</v>
      </c>
      <c r="EN179" s="59" t="e">
        <f t="shared" si="128"/>
        <v>#NUM!</v>
      </c>
      <c r="EO179" s="59">
        <f ca="1">AVERAGE(OFFSET($EN$3,0,0,'Données projet'!$E$15+1,1))-AVERAGE(OFFSET($H$3,0,0,'Données projet'!$E$15+1,1))</f>
        <v>398.27843768730202</v>
      </c>
      <c r="EP179" s="59">
        <f t="shared" si="154"/>
        <v>252.3617347568813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0</v>
      </c>
      <c r="EW179" s="21">
        <f>EXP(-LN(2)/25)*EW178+(1-EXP(-LN(2)/25))/(LN(2)/25)*Calculateur!ER179*Calculateur!ET179*VLOOKUP('Données projet'!$B$15,Paramètres!$A$1:$I$89,3,0)*0.475*44/12</f>
        <v>5.4222262058914381E-2</v>
      </c>
      <c r="EX179" s="21">
        <f>EXP(-LN(2)/2)*EX178+(1-EXP(-LN(2)/2))/(LN(2)/2)*ER179*EU179*VLOOKUP('Données projet'!$B$15,Paramètres!$A$1:$I$89,3,0)*0.475*44/12</f>
        <v>6.5532269433982388E-22</v>
      </c>
      <c r="EY179" s="22">
        <f t="shared" si="181"/>
        <v>5.4222262058914381E-2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69.678285203456696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-1.1368683772161603E-13</v>
      </c>
      <c r="FF179" s="17">
        <f>FE179*VLOOKUP('Données projet'!$B$16,Paramètres!$A$1:$I$89,3,0)*VLOOKUP('Données projet'!$B$16,Paramètres!$A$1:$I$89,5,0)</f>
        <v>-1.0995790944434703E-13</v>
      </c>
      <c r="FG179" s="13" t="e">
        <f t="shared" si="182"/>
        <v>#NUM!</v>
      </c>
      <c r="FH179" s="20" t="e">
        <f t="shared" si="183"/>
        <v>#NUM!</v>
      </c>
      <c r="FI179" s="59" t="e">
        <f t="shared" si="131"/>
        <v>#NUM!</v>
      </c>
      <c r="FJ179" s="59">
        <f ca="1">AVERAGE(OFFSET($FI$3,0,0,'Données projet'!$E$16+1,1))-AVERAGE(OFFSET($H$3,0,0,'Données projet'!$E$16+1,1))</f>
        <v>422.28024471365825</v>
      </c>
      <c r="FK179" s="59">
        <f t="shared" si="156"/>
        <v>266.49730479813206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0</v>
      </c>
      <c r="FR179" s="21">
        <f>EXP(-LN(2)/25)*FR178+(1-EXP(-LN(2)/25))/(LN(2)/25)*Calculateur!FM179*Calculateur!FO179*VLOOKUP('Données projet'!$B$16,Paramètres!$A$1:$I$89,3,0)*0.475*44/12</f>
        <v>5.7961728407804954E-2</v>
      </c>
      <c r="FS179" s="21">
        <f>EXP(-LN(2)/2)*FS178+(1-EXP(-LN(2)/2))/(LN(2)/2)*FM179*FP179*VLOOKUP('Données projet'!$B$16,Paramètres!$A$1:$I$89,3,0)*0.475*44/12</f>
        <v>7.0051736291498401E-22</v>
      </c>
      <c r="FT179" s="22">
        <f t="shared" si="184"/>
        <v>5.7961728407804954E-2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69.678285203456696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3.4106051316484809E-13</v>
      </c>
      <c r="GA179" s="17">
        <f>FZ179*VLOOKUP('Données projet'!$B$17,Paramètres!$A$1:$I$89,3,0)*VLOOKUP('Données projet'!$B$17,Paramètres!$A$1:$I$89,5,0)</f>
        <v>2.6602720026858149E-13</v>
      </c>
      <c r="GB179" s="13">
        <f t="shared" si="185"/>
        <v>3.5662905043956649E-12</v>
      </c>
      <c r="GC179" s="20">
        <f t="shared" si="186"/>
        <v>6.6746200022902298E-12</v>
      </c>
      <c r="GD179" s="59">
        <f t="shared" si="134"/>
        <v>292.15371241268122</v>
      </c>
      <c r="GE179" s="59">
        <f ca="1">AVERAGE(OFFSET($GD$3,0,0,'Données projet'!$E$17+1,1))-AVERAGE(OFFSET($H$3,0,0,'Données projet'!$E$17+1,1))</f>
        <v>300.95722646933314</v>
      </c>
      <c r="GF179" s="59">
        <f t="shared" si="158"/>
        <v>269.52365224623759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>
        <f>EXP(-LN(2)/35)*GL178+(1-EXP(-LN(2)/35))/(LN(2)/35)*GH179*GI179*VLOOKUP('Données projet'!$B$17,Paramètres!$A$1:$I$89,3,0)*0.475*44/12</f>
        <v>4.9385139582836732E-2</v>
      </c>
      <c r="GM179" s="21">
        <f>EXP(-LN(2)/25)*GM178+(1-EXP(-LN(2)/25))/(LN(2)/25)*Calculateur!GH179*Calculateur!GJ179*VLOOKUP('Données projet'!$B$17,Paramètres!$A$1:$I$89,3,0)*0.475*44/12</f>
        <v>0.10892068676412857</v>
      </c>
      <c r="GN179" s="21">
        <f>EXP(-LN(2)/2)*GN178+(1-EXP(-LN(2)/2))/(LN(2)/2)*GH179*GK179*VLOOKUP('Données projet'!$B$17,Paramètres!$A$1:$I$89,3,0)*0.475*44/12</f>
        <v>9.3797925810678603E-22</v>
      </c>
      <c r="GO179" s="21">
        <f t="shared" si="187"/>
        <v>0.1583058263469653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69.678285203456696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1.4000000000000001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5.1333333333333337</v>
      </c>
      <c r="H180" s="67">
        <f t="shared" si="110"/>
        <v>236.13333333333335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69.683866235930182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-3.4106051316484809E-13</v>
      </c>
      <c r="O180" s="13">
        <f>N180*VLOOKUP('Données projet'!$B$9,Paramètres!$A$1:$I$89,3,0)*VLOOKUP('Données projet'!$B$9,Paramètres!$A$1:$I$89,5,0)</f>
        <v>-3.0859155231155454E-13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479.46542424895119</v>
      </c>
      <c r="T180" s="59">
        <f t="shared" si="142"/>
        <v>337.96395820277337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0.13104794139824491</v>
      </c>
      <c r="AA180" s="21">
        <f>EXP(-LN(2)/25)*AA179+(1-EXP(-LN(2)/25))/(LN(2)/25)*Calculateur!V180*Calculateur!X180*VLOOKUP('Données projet'!$B$9,Paramètres!$A$1:$I$89,3,0)*0.475*44/12</f>
        <v>0.19158487661538215</v>
      </c>
      <c r="AB180" s="21">
        <f>EXP(-LN(2)/2)*AB179+(1-EXP(-LN(2)/2))/(LN(2)/2)*V180*Y180*VLOOKUP('Données projet'!$B$9,Paramètres!$A$1:$I$89,3,0)*0.475*44/12</f>
        <v>1.6136518253563207E-21</v>
      </c>
      <c r="AC180" s="22">
        <f t="shared" si="163"/>
        <v>0.32263281801362709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69.683866235930182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-3.4106051316484809E-13</v>
      </c>
      <c r="AJ180" s="13">
        <f>AI180*VLOOKUP('Données projet'!$B$10,Paramètres!$A$1:$I$89,3,0)*VLOOKUP('Données projet'!$B$10,Paramètres!$A$1:$I$89,5,0)</f>
        <v>-3.2987372833304104E-13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508.94560627895089</v>
      </c>
      <c r="AO180" s="59">
        <f t="shared" si="144"/>
        <v>357.86868650263034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0.14008573046019293</v>
      </c>
      <c r="AV180" s="21">
        <f>EXP(-LN(2)/25)*AV179+(1-EXP(-LN(2)/25))/(LN(2)/25)*Calculateur!AQ180*Calculateur!AS180*VLOOKUP('Données projet'!$B$10,Paramètres!$A$1:$I$89,3,0)*0.475*44/12</f>
        <v>0.20479762672678772</v>
      </c>
      <c r="AW180" s="21">
        <f>EXP(-LN(2)/2)*AW179+(1-EXP(-LN(2)/2))/(LN(2)/2)*AQ180*AT180*VLOOKUP('Données projet'!$B$10,Paramètres!$A$1:$I$89,3,0)*0.475*44/12</f>
        <v>1.7249381581395073E-21</v>
      </c>
      <c r="AX180" s="21">
        <f t="shared" si="166"/>
        <v>0.34488335718698065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69.683866235930182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1.7053025658242404E-13</v>
      </c>
      <c r="BE180" s="13">
        <f>BD180*VLOOKUP('Données projet'!$B$11,Paramètres!$A$1:$I$89,3,0)*VLOOKUP('Données projet'!$B$11,Paramètres!$A$1:$I$89,5,0)</f>
        <v>1.3301360013429075E-13</v>
      </c>
      <c r="BF180" s="13">
        <f t="shared" si="167"/>
        <v>1.9329766731057041E-12</v>
      </c>
      <c r="BG180" s="20">
        <f t="shared" si="168"/>
        <v>3.5982663925596575E-12</v>
      </c>
      <c r="BH180" s="59">
        <f t="shared" si="116"/>
        <v>292.17417619841422</v>
      </c>
      <c r="BI180" s="59">
        <f ca="1">AVERAGE(OFFSET($BH$3,0,0,'Données projet'!$E$11+1,1))-AVERAGE(OFFSET($H$3,0,0,'Données projet'!$E$11+1,1))</f>
        <v>383.03154033422328</v>
      </c>
      <c r="BJ180" s="59">
        <f t="shared" si="146"/>
        <v>373.27897156169877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7.8677181566064541E-2</v>
      </c>
      <c r="BQ180" s="21">
        <f>EXP(-LN(2)/25)*BQ179+(1-EXP(-LN(2)/25))/(LN(2)/25)*Calculateur!BL180*Calculateur!BN180*VLOOKUP('Données projet'!$B$11,Paramètres!$A$1:$I$89,3,0)*0.475*44/12</f>
        <v>0.14213681247939028</v>
      </c>
      <c r="BR180" s="21">
        <f>EXP(-LN(2)/2)*BR179+(1-EXP(-LN(2)/2))/(LN(2)/2)*BL180*BO180*VLOOKUP('Données projet'!$B$11,Paramètres!$A$1:$I$89,3,0)*0.475*44/12</f>
        <v>9.786110167924299E-22</v>
      </c>
      <c r="BS180" s="22">
        <f t="shared" si="169"/>
        <v>0.22081399404545482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69.683866235930182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-3.4106051316484809E-13</v>
      </c>
      <c r="BZ180" s="13">
        <f>BY180*VLOOKUP('Données projet'!$B$12,Paramètres!$A$1:$I$89,3,0)*VLOOKUP('Données projet'!$B$12,Paramètres!$A$1:$I$89,5,0)</f>
        <v>-2.8730937629006804E-13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449.94334483948603</v>
      </c>
      <c r="CE180" s="59">
        <f t="shared" si="148"/>
        <v>318.02929110264176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0.12201015233629714</v>
      </c>
      <c r="CL180" s="21">
        <f>EXP(-LN(2)/25)*CL179+(1-EXP(-LN(2)/25))/(LN(2)/25)*Calculateur!CG180*Calculateur!CI180*VLOOKUP('Données projet'!$B$12,Paramètres!$A$1:$I$89,3,0)*0.475*44/12</f>
        <v>0.17837212650397646</v>
      </c>
      <c r="CM180" s="21">
        <f>EXP(-LN(2)/2)*CM179+(1-EXP(-LN(2)/2))/(LN(2)/2)*CG180*CJ180*VLOOKUP('Données projet'!$B$12,Paramètres!$A$1:$I$89,3,0)*0.475*44/12</f>
        <v>1.5023654925731208E-21</v>
      </c>
      <c r="CN180" s="22">
        <f t="shared" si="172"/>
        <v>0.30038227884027358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69.683866235930182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1.1368683772161603E-13</v>
      </c>
      <c r="CU180" s="17">
        <f>CT180*VLOOKUP('Données projet'!$B$13,Paramètres!$A$1:$I$89,3,0)*VLOOKUP('Données projet'!$B$13,Paramètres!$A$1:$I$89,5,0)</f>
        <v>9.7543306765146564E-14</v>
      </c>
      <c r="CV180" s="13">
        <f t="shared" si="173"/>
        <v>1.4696264278629426E-12</v>
      </c>
      <c r="CW180" s="20">
        <f t="shared" si="174"/>
        <v>2.7294872878105889E-12</v>
      </c>
      <c r="CX180" s="59">
        <f t="shared" si="122"/>
        <v>292.17417619841336</v>
      </c>
      <c r="CY180" s="59">
        <f ca="1">AVERAGE(OFFSET($CX$3,0,0,'Données projet'!$E$13+1,1))-AVERAGE(OFFSET($H$3,0,0,'Données projet'!$E$13+1,1))</f>
        <v>565.32667500225568</v>
      </c>
      <c r="CZ180" s="59">
        <f t="shared" si="150"/>
        <v>275.06957234480944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0</v>
      </c>
      <c r="DG180" s="21">
        <f>EXP(-LN(2)/25)*DG179+(1-EXP(-LN(2)/25))/(LN(2)/25)*Calculateur!DB180*Calculateur!DD180*VLOOKUP('Données projet'!$B$13,Paramètres!$A$1:$I$89,3,0)*0.475*44/12</f>
        <v>7.4395829118686252E-2</v>
      </c>
      <c r="DH180" s="21">
        <f>EXP(-LN(2)/2)*DH179+(1-EXP(-LN(2)/2))/(LN(2)/2)*DB180*DE180*VLOOKUP('Données projet'!$B$13,Paramètres!$A$1:$I$89,3,0)*0.475*44/12</f>
        <v>5.3032848275194571E-22</v>
      </c>
      <c r="DI180" s="22">
        <f t="shared" si="175"/>
        <v>7.4395829118686252E-2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69.683866235930182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-1.2505552149377763E-12</v>
      </c>
      <c r="DP180" s="17">
        <f>DO180*VLOOKUP('Données projet'!$B$14,Paramètres!$A$1:$I$89,3,0)*VLOOKUP('Données projet'!$B$14,Paramètres!$A$1:$I$89,5,0)</f>
        <v>-6.9906036515021697E-13</v>
      </c>
      <c r="DQ180" s="13" t="e">
        <f t="shared" si="176"/>
        <v>#NUM!</v>
      </c>
      <c r="DR180" s="20" t="e">
        <f t="shared" si="177"/>
        <v>#NUM!</v>
      </c>
      <c r="DS180" s="59" t="e">
        <f t="shared" si="125"/>
        <v>#NUM!</v>
      </c>
      <c r="DT180" s="59">
        <f ca="1">AVERAGE(OFFSET($DS$3,0,0,'Données projet'!$E$14+1,1))-AVERAGE(OFFSET($H$3,0,0,'Données projet'!$E$14+1,1))</f>
        <v>532.64469322244281</v>
      </c>
      <c r="DU180" s="59">
        <f t="shared" si="152"/>
        <v>525.88014011096413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0.62134799800892171</v>
      </c>
      <c r="EB180" s="21">
        <f>EXP(-LN(2)/25)*EB179+(1-EXP(-LN(2)/25))/(LN(2)/25)*Calculateur!DW180*Calculateur!DY180*VLOOKUP('Données projet'!$B$14,Paramètres!$A$1:$I$89,3,0)*0.475*44/12</f>
        <v>0.65814378456464273</v>
      </c>
      <c r="EC180" s="21">
        <f>EXP(-LN(2)/2)*EC179+(1-EXP(-LN(2)/2))/(LN(2)/2)*DW180*DZ180*VLOOKUP('Données projet'!$B$14,Paramètres!$A$1:$I$89,3,0)*0.475*44/12</f>
        <v>2.7305718217121603E-21</v>
      </c>
      <c r="ED180" s="22">
        <f t="shared" si="178"/>
        <v>1.2794917825735643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69.683866235930182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-1.1368683772161603E-13</v>
      </c>
      <c r="EK180" s="17">
        <f>EJ180*VLOOKUP('Données projet'!$B$15,Paramètres!$A$1:$I$89,3,0)*VLOOKUP('Données projet'!$B$15,Paramètres!$A$1:$I$89,5,0)</f>
        <v>-1.0286385077051818E-13</v>
      </c>
      <c r="EL180" s="13" t="e">
        <f t="shared" si="179"/>
        <v>#NUM!</v>
      </c>
      <c r="EM180" s="20" t="e">
        <f t="shared" si="180"/>
        <v>#NUM!</v>
      </c>
      <c r="EN180" s="59" t="e">
        <f t="shared" si="128"/>
        <v>#NUM!</v>
      </c>
      <c r="EO180" s="59">
        <f ca="1">AVERAGE(OFFSET($EN$3,0,0,'Données projet'!$E$15+1,1))-AVERAGE(OFFSET($H$3,0,0,'Données projet'!$E$15+1,1))</f>
        <v>398.27843768730202</v>
      </c>
      <c r="EP180" s="59">
        <f t="shared" si="154"/>
        <v>252.3617347568813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0</v>
      </c>
      <c r="EW180" s="21">
        <f>EXP(-LN(2)/25)*EW179+(1-EXP(-LN(2)/25))/(LN(2)/25)*Calculateur!ER180*Calculateur!ET180*VLOOKUP('Données projet'!$B$15,Paramètres!$A$1:$I$89,3,0)*0.475*44/12</f>
        <v>5.273955145148853E-2</v>
      </c>
      <c r="EX180" s="21">
        <f>EXP(-LN(2)/2)*EX179+(1-EXP(-LN(2)/2))/(LN(2)/2)*ER180*EU180*VLOOKUP('Données projet'!$B$15,Paramètres!$A$1:$I$89,3,0)*0.475*44/12</f>
        <v>4.633831210331286E-22</v>
      </c>
      <c r="EY180" s="22">
        <f t="shared" si="181"/>
        <v>5.273955145148853E-2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69.683866235930182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-1.1368683772161603E-13</v>
      </c>
      <c r="FF180" s="17">
        <f>FE180*VLOOKUP('Données projet'!$B$16,Paramètres!$A$1:$I$89,3,0)*VLOOKUP('Données projet'!$B$16,Paramètres!$A$1:$I$89,5,0)</f>
        <v>-1.0995790944434703E-13</v>
      </c>
      <c r="FG180" s="13" t="e">
        <f t="shared" si="182"/>
        <v>#NUM!</v>
      </c>
      <c r="FH180" s="20" t="e">
        <f t="shared" si="183"/>
        <v>#NUM!</v>
      </c>
      <c r="FI180" s="59" t="e">
        <f t="shared" si="131"/>
        <v>#NUM!</v>
      </c>
      <c r="FJ180" s="59">
        <f ca="1">AVERAGE(OFFSET($FI$3,0,0,'Données projet'!$E$16+1,1))-AVERAGE(OFFSET($H$3,0,0,'Données projet'!$E$16+1,1))</f>
        <v>422.28024471365825</v>
      </c>
      <c r="FK180" s="59">
        <f t="shared" si="156"/>
        <v>266.49730479813206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0</v>
      </c>
      <c r="FR180" s="21">
        <f>EXP(-LN(2)/25)*FR179+(1-EXP(-LN(2)/25))/(LN(2)/25)*Calculateur!FM180*Calculateur!FO180*VLOOKUP('Données projet'!$B$16,Paramètres!$A$1:$I$89,3,0)*0.475*44/12</f>
        <v>5.6376761896418701E-2</v>
      </c>
      <c r="FS180" s="21">
        <f>EXP(-LN(2)/2)*FS179+(1-EXP(-LN(2)/2))/(LN(2)/2)*FM180*FP180*VLOOKUP('Données projet'!$B$16,Paramètres!$A$1:$I$89,3,0)*0.475*44/12</f>
        <v>4.9534057765610289E-22</v>
      </c>
      <c r="FT180" s="22">
        <f t="shared" si="184"/>
        <v>5.6376761896418701E-2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69.683866235930182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3.4106051316484809E-13</v>
      </c>
      <c r="GA180" s="17">
        <f>FZ180*VLOOKUP('Données projet'!$B$17,Paramètres!$A$1:$I$89,3,0)*VLOOKUP('Données projet'!$B$17,Paramètres!$A$1:$I$89,5,0)</f>
        <v>2.6602720026858149E-13</v>
      </c>
      <c r="GB180" s="13">
        <f t="shared" si="185"/>
        <v>3.5662905043956649E-12</v>
      </c>
      <c r="GC180" s="20">
        <f t="shared" si="186"/>
        <v>6.6746200022902298E-12</v>
      </c>
      <c r="GD180" s="59">
        <f t="shared" si="134"/>
        <v>292.17417619841729</v>
      </c>
      <c r="GE180" s="59">
        <f ca="1">AVERAGE(OFFSET($GD$3,0,0,'Données projet'!$E$17+1,1))-AVERAGE(OFFSET($H$3,0,0,'Données projet'!$E$17+1,1))</f>
        <v>300.95722646933314</v>
      </c>
      <c r="GF180" s="59">
        <f t="shared" si="158"/>
        <v>269.52365224623759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>
        <f>EXP(-LN(2)/35)*GL179+(1-EXP(-LN(2)/35))/(LN(2)/35)*GH180*GI180*VLOOKUP('Données projet'!$B$17,Paramètres!$A$1:$I$89,3,0)*0.475*44/12</f>
        <v>4.8416727117578155E-2</v>
      </c>
      <c r="GM180" s="21">
        <f>EXP(-LN(2)/25)*GM179+(1-EXP(-LN(2)/25))/(LN(2)/25)*Calculateur!GH180*Calculateur!GJ180*VLOOKUP('Données projet'!$B$17,Paramètres!$A$1:$I$89,3,0)*0.475*44/12</f>
        <v>0.1059422448566735</v>
      </c>
      <c r="GN180" s="21">
        <f>EXP(-LN(2)/2)*GN179+(1-EXP(-LN(2)/2))/(LN(2)/2)*GH180*GK180*VLOOKUP('Données projet'!$B$17,Paramètres!$A$1:$I$89,3,0)*0.475*44/12</f>
        <v>6.6325149401963534E-22</v>
      </c>
      <c r="GO180" s="21">
        <f t="shared" si="187"/>
        <v>0.15435897197425166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69.683866235930182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1.4000000000000001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5.1333333333333337</v>
      </c>
      <c r="H181" s="67">
        <f t="shared" si="110"/>
        <v>236.13333333333335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69.689350449967577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-3.4106051316484809E-13</v>
      </c>
      <c r="O181" s="13">
        <f>N181*VLOOKUP('Données projet'!$B$9,Paramètres!$A$1:$I$89,3,0)*VLOOKUP('Données projet'!$B$9,Paramètres!$A$1:$I$89,5,0)</f>
        <v>-3.0859155231155454E-13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479.46542424895119</v>
      </c>
      <c r="T181" s="59">
        <f t="shared" si="142"/>
        <v>337.96395820277337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0.12847817119877702</v>
      </c>
      <c r="AA181" s="21">
        <f>EXP(-LN(2)/25)*AA180+(1-EXP(-LN(2)/25))/(LN(2)/25)*Calculateur!V181*Calculateur!X181*VLOOKUP('Données projet'!$B$9,Paramètres!$A$1:$I$89,3,0)*0.475*44/12</f>
        <v>0.18634597808932374</v>
      </c>
      <c r="AB181" s="21">
        <f>EXP(-LN(2)/2)*AB180+(1-EXP(-LN(2)/2))/(LN(2)/2)*V181*Y181*VLOOKUP('Données projet'!$B$9,Paramètres!$A$1:$I$89,3,0)*0.475*44/12</f>
        <v>1.1410241481835048E-21</v>
      </c>
      <c r="AC181" s="22">
        <f t="shared" si="163"/>
        <v>0.31482414928810076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69.689350449967577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-3.4106051316484809E-13</v>
      </c>
      <c r="AJ181" s="13">
        <f>AI181*VLOOKUP('Données projet'!$B$10,Paramètres!$A$1:$I$89,3,0)*VLOOKUP('Données projet'!$B$10,Paramètres!$A$1:$I$89,5,0)</f>
        <v>-3.2987372833304104E-13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508.94560627895089</v>
      </c>
      <c r="AO181" s="59">
        <f t="shared" si="144"/>
        <v>357.86868650263034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0.13733873472972724</v>
      </c>
      <c r="AV181" s="21">
        <f>EXP(-LN(2)/25)*AV180+(1-EXP(-LN(2)/25))/(LN(2)/25)*Calculateur!AQ181*Calculateur!AS181*VLOOKUP('Données projet'!$B$10,Paramètres!$A$1:$I$89,3,0)*0.475*44/12</f>
        <v>0.1991974248541046</v>
      </c>
      <c r="AW181" s="21">
        <f>EXP(-LN(2)/2)*AW180+(1-EXP(-LN(2)/2))/(LN(2)/2)*AQ181*AT181*VLOOKUP('Données projet'!$B$10,Paramètres!$A$1:$I$89,3,0)*0.475*44/12</f>
        <v>1.2197154687478789E-21</v>
      </c>
      <c r="AX181" s="21">
        <f t="shared" si="166"/>
        <v>0.33653615958383187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69.689350449967577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1.7053025658242404E-13</v>
      </c>
      <c r="BE181" s="13">
        <f>BD181*VLOOKUP('Données projet'!$B$11,Paramètres!$A$1:$I$89,3,0)*VLOOKUP('Données projet'!$B$11,Paramètres!$A$1:$I$89,5,0)</f>
        <v>1.3301360013429075E-13</v>
      </c>
      <c r="BF181" s="13">
        <f t="shared" si="167"/>
        <v>1.9329766731057041E-12</v>
      </c>
      <c r="BG181" s="20">
        <f t="shared" si="168"/>
        <v>3.5982663925596575E-12</v>
      </c>
      <c r="BH181" s="59">
        <f t="shared" si="116"/>
        <v>292.19428498321804</v>
      </c>
      <c r="BI181" s="59">
        <f ca="1">AVERAGE(OFFSET($BH$3,0,0,'Données projet'!$E$11+1,1))-AVERAGE(OFFSET($H$3,0,0,'Données projet'!$E$11+1,1))</f>
        <v>383.03154033422328</v>
      </c>
      <c r="BJ181" s="59">
        <f t="shared" si="146"/>
        <v>373.27897156169877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7.7134370023896309E-2</v>
      </c>
      <c r="BQ181" s="21">
        <f>EXP(-LN(2)/25)*BQ180+(1-EXP(-LN(2)/25))/(LN(2)/25)*Calculateur!BL181*Calculateur!BN181*VLOOKUP('Données projet'!$B$11,Paramètres!$A$1:$I$89,3,0)*0.475*44/12</f>
        <v>0.13825007386749125</v>
      </c>
      <c r="BR181" s="21">
        <f>EXP(-LN(2)/2)*BR180+(1-EXP(-LN(2)/2))/(LN(2)/2)*BL181*BO181*VLOOKUP('Données projet'!$B$11,Paramètres!$A$1:$I$89,3,0)*0.475*44/12</f>
        <v>6.9198248611778953E-22</v>
      </c>
      <c r="BS181" s="22">
        <f t="shared" si="169"/>
        <v>0.21538444389138756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69.689350449967577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-3.4106051316484809E-13</v>
      </c>
      <c r="BZ181" s="13">
        <f>BY181*VLOOKUP('Données projet'!$B$12,Paramètres!$A$1:$I$89,3,0)*VLOOKUP('Données projet'!$B$12,Paramètres!$A$1:$I$89,5,0)</f>
        <v>-2.8730937629006804E-13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449.94334483948603</v>
      </c>
      <c r="CE181" s="59">
        <f t="shared" si="148"/>
        <v>318.02929110264176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0.11961760766782703</v>
      </c>
      <c r="CL181" s="21">
        <f>EXP(-LN(2)/25)*CL180+(1-EXP(-LN(2)/25))/(LN(2)/25)*Calculateur!CG181*Calculateur!CI181*VLOOKUP('Données projet'!$B$12,Paramètres!$A$1:$I$89,3,0)*0.475*44/12</f>
        <v>0.17349453132454276</v>
      </c>
      <c r="CM181" s="21">
        <f>EXP(-LN(2)/2)*CM180+(1-EXP(-LN(2)/2))/(LN(2)/2)*CG181*CJ181*VLOOKUP('Données projet'!$B$12,Paramètres!$A$1:$I$89,3,0)*0.475*44/12</f>
        <v>1.0623328276191214E-21</v>
      </c>
      <c r="CN181" s="22">
        <f t="shared" si="172"/>
        <v>0.29311213899236976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69.689350449967577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1.1368683772161603E-13</v>
      </c>
      <c r="CU181" s="17">
        <f>CT181*VLOOKUP('Données projet'!$B$13,Paramètres!$A$1:$I$89,3,0)*VLOOKUP('Données projet'!$B$13,Paramètres!$A$1:$I$89,5,0)</f>
        <v>9.7543306765146564E-14</v>
      </c>
      <c r="CV181" s="13">
        <f t="shared" si="173"/>
        <v>1.4696264278629426E-12</v>
      </c>
      <c r="CW181" s="20">
        <f t="shared" si="174"/>
        <v>2.7294872878105889E-12</v>
      </c>
      <c r="CX181" s="59">
        <f t="shared" si="122"/>
        <v>292.19428498321719</v>
      </c>
      <c r="CY181" s="59">
        <f ca="1">AVERAGE(OFFSET($CX$3,0,0,'Données projet'!$E$13+1,1))-AVERAGE(OFFSET($H$3,0,0,'Données projet'!$E$13+1,1))</f>
        <v>565.32667500225568</v>
      </c>
      <c r="CZ181" s="59">
        <f t="shared" si="150"/>
        <v>275.06957234480944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0</v>
      </c>
      <c r="DG181" s="21">
        <f>EXP(-LN(2)/25)*DG180+(1-EXP(-LN(2)/25))/(LN(2)/25)*Calculateur!DB181*Calculateur!DD181*VLOOKUP('Données projet'!$B$13,Paramètres!$A$1:$I$89,3,0)*0.475*44/12</f>
        <v>7.2361471259129159E-2</v>
      </c>
      <c r="DH181" s="21">
        <f>EXP(-LN(2)/2)*DH180+(1-EXP(-LN(2)/2))/(LN(2)/2)*DB181*DE181*VLOOKUP('Données projet'!$B$13,Paramètres!$A$1:$I$89,3,0)*0.475*44/12</f>
        <v>3.7499886641027383E-22</v>
      </c>
      <c r="DI181" s="22">
        <f t="shared" si="175"/>
        <v>7.2361471259129159E-2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69.689350449967577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-1.2505552149377763E-12</v>
      </c>
      <c r="DP181" s="17">
        <f>DO181*VLOOKUP('Données projet'!$B$14,Paramètres!$A$1:$I$89,3,0)*VLOOKUP('Données projet'!$B$14,Paramètres!$A$1:$I$89,5,0)</f>
        <v>-6.9906036515021697E-13</v>
      </c>
      <c r="DQ181" s="13" t="e">
        <f t="shared" si="176"/>
        <v>#NUM!</v>
      </c>
      <c r="DR181" s="20" t="e">
        <f t="shared" si="177"/>
        <v>#NUM!</v>
      </c>
      <c r="DS181" s="59" t="e">
        <f t="shared" si="125"/>
        <v>#NUM!</v>
      </c>
      <c r="DT181" s="59">
        <f ca="1">AVERAGE(OFFSET($DS$3,0,0,'Données projet'!$E$14+1,1))-AVERAGE(OFFSET($H$3,0,0,'Données projet'!$E$14+1,1))</f>
        <v>532.64469322244281</v>
      </c>
      <c r="DU181" s="59">
        <f t="shared" si="152"/>
        <v>525.88014011096413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0.60916374275282392</v>
      </c>
      <c r="EB181" s="21">
        <f>EXP(-LN(2)/25)*EB180+(1-EXP(-LN(2)/25))/(LN(2)/25)*Calculateur!DW181*Calculateur!DY181*VLOOKUP('Données projet'!$B$14,Paramètres!$A$1:$I$89,3,0)*0.475*44/12</f>
        <v>0.64014680816544511</v>
      </c>
      <c r="EC181" s="21">
        <f>EXP(-LN(2)/2)*EC180+(1-EXP(-LN(2)/2))/(LN(2)/2)*DW181*DZ181*VLOOKUP('Données projet'!$B$14,Paramètres!$A$1:$I$89,3,0)*0.475*44/12</f>
        <v>1.930805851649573E-21</v>
      </c>
      <c r="ED181" s="22">
        <f t="shared" si="178"/>
        <v>1.2493105509182691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69.689350449967577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-1.1368683772161603E-13</v>
      </c>
      <c r="EK181" s="17">
        <f>EJ181*VLOOKUP('Données projet'!$B$15,Paramètres!$A$1:$I$89,3,0)*VLOOKUP('Données projet'!$B$15,Paramètres!$A$1:$I$89,5,0)</f>
        <v>-1.0286385077051818E-13</v>
      </c>
      <c r="EL181" s="13" t="e">
        <f t="shared" si="179"/>
        <v>#NUM!</v>
      </c>
      <c r="EM181" s="20" t="e">
        <f t="shared" si="180"/>
        <v>#NUM!</v>
      </c>
      <c r="EN181" s="59" t="e">
        <f t="shared" si="128"/>
        <v>#NUM!</v>
      </c>
      <c r="EO181" s="59">
        <f ca="1">AVERAGE(OFFSET($EN$3,0,0,'Données projet'!$E$15+1,1))-AVERAGE(OFFSET($H$3,0,0,'Données projet'!$E$15+1,1))</f>
        <v>398.27843768730202</v>
      </c>
      <c r="EP181" s="59">
        <f t="shared" si="154"/>
        <v>252.3617347568813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0</v>
      </c>
      <c r="EW181" s="21">
        <f>EXP(-LN(2)/25)*EW180+(1-EXP(-LN(2)/25))/(LN(2)/25)*Calculateur!ER181*Calculateur!ET181*VLOOKUP('Données projet'!$B$15,Paramètres!$A$1:$I$89,3,0)*0.475*44/12</f>
        <v>5.1297385643595102E-2</v>
      </c>
      <c r="EX181" s="21">
        <f>EXP(-LN(2)/2)*EX180+(1-EXP(-LN(2)/2))/(LN(2)/2)*ER181*EU181*VLOOKUP('Données projet'!$B$15,Paramètres!$A$1:$I$89,3,0)*0.475*44/12</f>
        <v>3.2766134716991194E-22</v>
      </c>
      <c r="EY181" s="22">
        <f t="shared" si="181"/>
        <v>5.1297385643595102E-2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69.689350449967577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-1.1368683772161603E-13</v>
      </c>
      <c r="FF181" s="17">
        <f>FE181*VLOOKUP('Données projet'!$B$16,Paramètres!$A$1:$I$89,3,0)*VLOOKUP('Données projet'!$B$16,Paramètres!$A$1:$I$89,5,0)</f>
        <v>-1.0995790944434703E-13</v>
      </c>
      <c r="FG181" s="13" t="e">
        <f t="shared" si="182"/>
        <v>#NUM!</v>
      </c>
      <c r="FH181" s="20" t="e">
        <f t="shared" si="183"/>
        <v>#NUM!</v>
      </c>
      <c r="FI181" s="59" t="e">
        <f t="shared" si="131"/>
        <v>#NUM!</v>
      </c>
      <c r="FJ181" s="59">
        <f ca="1">AVERAGE(OFFSET($FI$3,0,0,'Données projet'!$E$16+1,1))-AVERAGE(OFFSET($H$3,0,0,'Données projet'!$E$16+1,1))</f>
        <v>422.28024471365825</v>
      </c>
      <c r="FK181" s="59">
        <f t="shared" si="156"/>
        <v>266.49730479813206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0</v>
      </c>
      <c r="FR181" s="21">
        <f>EXP(-LN(2)/25)*FR180+(1-EXP(-LN(2)/25))/(LN(2)/25)*Calculateur!FM181*Calculateur!FO181*VLOOKUP('Données projet'!$B$16,Paramètres!$A$1:$I$89,3,0)*0.475*44/12</f>
        <v>5.4835136377636075E-2</v>
      </c>
      <c r="FS181" s="21">
        <f>EXP(-LN(2)/2)*FS180+(1-EXP(-LN(2)/2))/(LN(2)/2)*FM181*FP181*VLOOKUP('Données projet'!$B$16,Paramètres!$A$1:$I$89,3,0)*0.475*44/12</f>
        <v>3.5025868145749201E-22</v>
      </c>
      <c r="FT181" s="22">
        <f t="shared" si="184"/>
        <v>5.4835136377636075E-2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69.689350449967577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3.4106051316484809E-13</v>
      </c>
      <c r="GA181" s="17">
        <f>FZ181*VLOOKUP('Données projet'!$B$17,Paramètres!$A$1:$I$89,3,0)*VLOOKUP('Données projet'!$B$17,Paramètres!$A$1:$I$89,5,0)</f>
        <v>2.6602720026858149E-13</v>
      </c>
      <c r="GB181" s="13">
        <f t="shared" si="185"/>
        <v>3.5662905043956649E-12</v>
      </c>
      <c r="GC181" s="20">
        <f t="shared" si="186"/>
        <v>6.6746200022902298E-12</v>
      </c>
      <c r="GD181" s="59">
        <f t="shared" si="134"/>
        <v>292.19428498322111</v>
      </c>
      <c r="GE181" s="59">
        <f ca="1">AVERAGE(OFFSET($GD$3,0,0,'Données projet'!$E$17+1,1))-AVERAGE(OFFSET($H$3,0,0,'Données projet'!$E$17+1,1))</f>
        <v>300.95722646933314</v>
      </c>
      <c r="GF181" s="59">
        <f t="shared" si="158"/>
        <v>269.52365224623759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>
        <f>EXP(-LN(2)/35)*GL180+(1-EXP(-LN(2)/35))/(LN(2)/35)*GH181*GI181*VLOOKUP('Données projet'!$B$17,Paramètres!$A$1:$I$89,3,0)*0.475*44/12</f>
        <v>4.7467304630090017E-2</v>
      </c>
      <c r="GM181" s="21">
        <f>EXP(-LN(2)/25)*GM180+(1-EXP(-LN(2)/25))/(LN(2)/25)*Calculateur!GH181*Calculateur!GJ181*VLOOKUP('Données projet'!$B$17,Paramètres!$A$1:$I$89,3,0)*0.475*44/12</f>
        <v>0.10304524859980724</v>
      </c>
      <c r="GN181" s="21">
        <f>EXP(-LN(2)/2)*GN180+(1-EXP(-LN(2)/2))/(LN(2)/2)*GH181*GK181*VLOOKUP('Données projet'!$B$17,Paramètres!$A$1:$I$89,3,0)*0.475*44/12</f>
        <v>4.6898962905339302E-22</v>
      </c>
      <c r="GO181" s="21">
        <f t="shared" si="187"/>
        <v>0.15051255322989726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69.689350449967577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1.4000000000000001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5.1333333333333337</v>
      </c>
      <c r="H182" s="67">
        <f t="shared" si="110"/>
        <v>236.13333333333335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69.694739525152301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-3.4106051316484809E-13</v>
      </c>
      <c r="O182" s="13">
        <f>N182*VLOOKUP('Données projet'!$B$9,Paramètres!$A$1:$I$89,3,0)*VLOOKUP('Données projet'!$B$9,Paramètres!$A$1:$I$89,5,0)</f>
        <v>-3.0859155231155454E-13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479.46542424895119</v>
      </c>
      <c r="T182" s="59">
        <f t="shared" si="142"/>
        <v>337.96395820277337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0.12595879262551565</v>
      </c>
      <c r="AA182" s="21">
        <f>EXP(-LN(2)/25)*AA181+(1-EXP(-LN(2)/25))/(LN(2)/25)*Calculateur!V182*Calculateur!X182*VLOOKUP('Données projet'!$B$9,Paramètres!$A$1:$I$89,3,0)*0.475*44/12</f>
        <v>0.18125033751896208</v>
      </c>
      <c r="AB182" s="21">
        <f>EXP(-LN(2)/2)*AB181+(1-EXP(-LN(2)/2))/(LN(2)/2)*V182*Y182*VLOOKUP('Données projet'!$B$9,Paramètres!$A$1:$I$89,3,0)*0.475*44/12</f>
        <v>8.0682591267816035E-22</v>
      </c>
      <c r="AC182" s="22">
        <f t="shared" si="163"/>
        <v>0.3072091301444777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69.694739525152301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-3.4106051316484809E-13</v>
      </c>
      <c r="AJ182" s="13">
        <f>AI182*VLOOKUP('Données projet'!$B$10,Paramètres!$A$1:$I$89,3,0)*VLOOKUP('Données projet'!$B$10,Paramètres!$A$1:$I$89,5,0)</f>
        <v>-3.2987372833304104E-13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508.94560627895089</v>
      </c>
      <c r="AO182" s="59">
        <f t="shared" si="144"/>
        <v>357.86868650263034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0.13464560591003405</v>
      </c>
      <c r="AV182" s="21">
        <f>EXP(-LN(2)/25)*AV181+(1-EXP(-LN(2)/25))/(LN(2)/25)*Calculateur!AQ182*Calculateur!AS182*VLOOKUP('Données projet'!$B$10,Paramètres!$A$1:$I$89,3,0)*0.475*44/12</f>
        <v>0.19375036079613181</v>
      </c>
      <c r="AW182" s="21">
        <f>EXP(-LN(2)/2)*AW181+(1-EXP(-LN(2)/2))/(LN(2)/2)*AQ182*AT182*VLOOKUP('Données projet'!$B$10,Paramètres!$A$1:$I$89,3,0)*0.475*44/12</f>
        <v>8.6246907906975363E-22</v>
      </c>
      <c r="AX182" s="21">
        <f t="shared" si="166"/>
        <v>0.32839596670616589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69.694739525152301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1.7053025658242404E-13</v>
      </c>
      <c r="BE182" s="13">
        <f>BD182*VLOOKUP('Données projet'!$B$11,Paramètres!$A$1:$I$89,3,0)*VLOOKUP('Données projet'!$B$11,Paramètres!$A$1:$I$89,5,0)</f>
        <v>1.3301360013429075E-13</v>
      </c>
      <c r="BF182" s="13">
        <f t="shared" si="167"/>
        <v>1.9329766731057041E-12</v>
      </c>
      <c r="BG182" s="20">
        <f t="shared" si="168"/>
        <v>3.5982663925596575E-12</v>
      </c>
      <c r="BH182" s="59">
        <f t="shared" si="116"/>
        <v>292.21404492556201</v>
      </c>
      <c r="BI182" s="59">
        <f ca="1">AVERAGE(OFFSET($BH$3,0,0,'Données projet'!$E$11+1,1))-AVERAGE(OFFSET($H$3,0,0,'Données projet'!$E$11+1,1))</f>
        <v>383.03154033422328</v>
      </c>
      <c r="BJ182" s="59">
        <f t="shared" si="146"/>
        <v>373.27897156169877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7.5621812075047881E-2</v>
      </c>
      <c r="BQ182" s="21">
        <f>EXP(-LN(2)/25)*BQ181+(1-EXP(-LN(2)/25))/(LN(2)/25)*Calculateur!BL182*Calculateur!BN182*VLOOKUP('Données projet'!$B$11,Paramètres!$A$1:$I$89,3,0)*0.475*44/12</f>
        <v>0.13446961832732929</v>
      </c>
      <c r="BR182" s="21">
        <f>EXP(-LN(2)/2)*BR181+(1-EXP(-LN(2)/2))/(LN(2)/2)*BL182*BO182*VLOOKUP('Données projet'!$B$11,Paramètres!$A$1:$I$89,3,0)*0.475*44/12</f>
        <v>4.8930550839621495E-22</v>
      </c>
      <c r="BS182" s="22">
        <f t="shared" si="169"/>
        <v>0.21009143040237716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69.694739525152301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-3.4106051316484809E-13</v>
      </c>
      <c r="BZ182" s="13">
        <f>BY182*VLOOKUP('Données projet'!$B$12,Paramètres!$A$1:$I$89,3,0)*VLOOKUP('Données projet'!$B$12,Paramètres!$A$1:$I$89,5,0)</f>
        <v>-2.8730937629006804E-13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449.94334483948603</v>
      </c>
      <c r="CE182" s="59">
        <f t="shared" si="148"/>
        <v>318.02929110264176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0.11727197934099746</v>
      </c>
      <c r="CL182" s="21">
        <f>EXP(-LN(2)/25)*CL181+(1-EXP(-LN(2)/25))/(LN(2)/25)*Calculateur!CG182*Calculateur!CI182*VLOOKUP('Données projet'!$B$12,Paramètres!$A$1:$I$89,3,0)*0.475*44/12</f>
        <v>0.16875031424179227</v>
      </c>
      <c r="CM182" s="21">
        <f>EXP(-LN(2)/2)*CM181+(1-EXP(-LN(2)/2))/(LN(2)/2)*CG182*CJ182*VLOOKUP('Données projet'!$B$12,Paramètres!$A$1:$I$89,3,0)*0.475*44/12</f>
        <v>7.5118274628656039E-22</v>
      </c>
      <c r="CN182" s="22">
        <f t="shared" si="172"/>
        <v>0.28602229358278974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69.694739525152301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1.1368683772161603E-13</v>
      </c>
      <c r="CU182" s="17">
        <f>CT182*VLOOKUP('Données projet'!$B$13,Paramètres!$A$1:$I$89,3,0)*VLOOKUP('Données projet'!$B$13,Paramètres!$A$1:$I$89,5,0)</f>
        <v>9.7543306765146564E-14</v>
      </c>
      <c r="CV182" s="13">
        <f t="shared" si="173"/>
        <v>1.4696264278629426E-12</v>
      </c>
      <c r="CW182" s="20">
        <f t="shared" si="174"/>
        <v>2.7294872878105889E-12</v>
      </c>
      <c r="CX182" s="59">
        <f t="shared" si="122"/>
        <v>292.21404492556115</v>
      </c>
      <c r="CY182" s="59">
        <f ca="1">AVERAGE(OFFSET($CX$3,0,0,'Données projet'!$E$13+1,1))-AVERAGE(OFFSET($H$3,0,0,'Données projet'!$E$13+1,1))</f>
        <v>565.32667500225568</v>
      </c>
      <c r="CZ182" s="59">
        <f t="shared" si="150"/>
        <v>275.06957234480944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0</v>
      </c>
      <c r="DG182" s="21">
        <f>EXP(-LN(2)/25)*DG181+(1-EXP(-LN(2)/25))/(LN(2)/25)*Calculateur!DB182*Calculateur!DD182*VLOOKUP('Données projet'!$B$13,Paramètres!$A$1:$I$89,3,0)*0.475*44/12</f>
        <v>7.0382743022223887E-2</v>
      </c>
      <c r="DH182" s="21">
        <f>EXP(-LN(2)/2)*DH181+(1-EXP(-LN(2)/2))/(LN(2)/2)*DB182*DE182*VLOOKUP('Données projet'!$B$13,Paramètres!$A$1:$I$89,3,0)*0.475*44/12</f>
        <v>2.6516424137597286E-22</v>
      </c>
      <c r="DI182" s="22">
        <f t="shared" si="175"/>
        <v>7.0382743022223887E-2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69.694739525152301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-1.2505552149377763E-12</v>
      </c>
      <c r="DP182" s="17">
        <f>DO182*VLOOKUP('Données projet'!$B$14,Paramètres!$A$1:$I$89,3,0)*VLOOKUP('Données projet'!$B$14,Paramètres!$A$1:$I$89,5,0)</f>
        <v>-6.9906036515021697E-13</v>
      </c>
      <c r="DQ182" s="13" t="e">
        <f t="shared" si="176"/>
        <v>#NUM!</v>
      </c>
      <c r="DR182" s="20" t="e">
        <f t="shared" si="177"/>
        <v>#NUM!</v>
      </c>
      <c r="DS182" s="59" t="e">
        <f t="shared" si="125"/>
        <v>#NUM!</v>
      </c>
      <c r="DT182" s="59">
        <f ca="1">AVERAGE(OFFSET($DS$3,0,0,'Données projet'!$E$14+1,1))-AVERAGE(OFFSET($H$3,0,0,'Données projet'!$E$14+1,1))</f>
        <v>532.64469322244281</v>
      </c>
      <c r="DU182" s="59">
        <f t="shared" si="152"/>
        <v>525.88014011096413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0.5972184133106363</v>
      </c>
      <c r="EB182" s="21">
        <f>EXP(-LN(2)/25)*EB181+(1-EXP(-LN(2)/25))/(LN(2)/25)*Calculateur!DW182*Calculateur!DY182*VLOOKUP('Données projet'!$B$14,Paramètres!$A$1:$I$89,3,0)*0.475*44/12</f>
        <v>0.62264196003230343</v>
      </c>
      <c r="EC182" s="21">
        <f>EXP(-LN(2)/2)*EC181+(1-EXP(-LN(2)/2))/(LN(2)/2)*DW182*DZ182*VLOOKUP('Données projet'!$B$14,Paramètres!$A$1:$I$89,3,0)*0.475*44/12</f>
        <v>1.3652859108560802E-21</v>
      </c>
      <c r="ED182" s="22">
        <f t="shared" si="178"/>
        <v>1.2198603733429398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69.694739525152301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-1.1368683772161603E-13</v>
      </c>
      <c r="EK182" s="17">
        <f>EJ182*VLOOKUP('Données projet'!$B$15,Paramètres!$A$1:$I$89,3,0)*VLOOKUP('Données projet'!$B$15,Paramètres!$A$1:$I$89,5,0)</f>
        <v>-1.0286385077051818E-13</v>
      </c>
      <c r="EL182" s="13" t="e">
        <f t="shared" si="179"/>
        <v>#NUM!</v>
      </c>
      <c r="EM182" s="20" t="e">
        <f t="shared" si="180"/>
        <v>#NUM!</v>
      </c>
      <c r="EN182" s="59" t="e">
        <f t="shared" si="128"/>
        <v>#NUM!</v>
      </c>
      <c r="EO182" s="59">
        <f ca="1">AVERAGE(OFFSET($EN$3,0,0,'Données projet'!$E$15+1,1))-AVERAGE(OFFSET($H$3,0,0,'Données projet'!$E$15+1,1))</f>
        <v>398.27843768730202</v>
      </c>
      <c r="EP182" s="59">
        <f t="shared" si="154"/>
        <v>252.3617347568813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0</v>
      </c>
      <c r="EW182" s="21">
        <f>EXP(-LN(2)/25)*EW181+(1-EXP(-LN(2)/25))/(LN(2)/25)*Calculateur!ER182*Calculateur!ET182*VLOOKUP('Données projet'!$B$15,Paramètres!$A$1:$I$89,3,0)*0.475*44/12</f>
        <v>4.9894655935558724E-2</v>
      </c>
      <c r="EX182" s="21">
        <f>EXP(-LN(2)/2)*EX181+(1-EXP(-LN(2)/2))/(LN(2)/2)*ER182*EU182*VLOOKUP('Données projet'!$B$15,Paramètres!$A$1:$I$89,3,0)*0.475*44/12</f>
        <v>2.316915605165643E-22</v>
      </c>
      <c r="EY182" s="22">
        <f t="shared" si="181"/>
        <v>4.9894655935558724E-2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69.694739525152301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-1.1368683772161603E-13</v>
      </c>
      <c r="FF182" s="17">
        <f>FE182*VLOOKUP('Données projet'!$B$16,Paramètres!$A$1:$I$89,3,0)*VLOOKUP('Données projet'!$B$16,Paramètres!$A$1:$I$89,5,0)</f>
        <v>-1.0995790944434703E-13</v>
      </c>
      <c r="FG182" s="13" t="e">
        <f t="shared" si="182"/>
        <v>#NUM!</v>
      </c>
      <c r="FH182" s="20" t="e">
        <f t="shared" si="183"/>
        <v>#NUM!</v>
      </c>
      <c r="FI182" s="59" t="e">
        <f t="shared" si="131"/>
        <v>#NUM!</v>
      </c>
      <c r="FJ182" s="59">
        <f ca="1">AVERAGE(OFFSET($FI$3,0,0,'Données projet'!$E$16+1,1))-AVERAGE(OFFSET($H$3,0,0,'Données projet'!$E$16+1,1))</f>
        <v>422.28024471365825</v>
      </c>
      <c r="FK182" s="59">
        <f t="shared" si="156"/>
        <v>266.49730479813206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0</v>
      </c>
      <c r="FR182" s="21">
        <f>EXP(-LN(2)/25)*FR181+(1-EXP(-LN(2)/25))/(LN(2)/25)*Calculateur!FM182*Calculateur!FO182*VLOOKUP('Données projet'!$B$16,Paramètres!$A$1:$I$89,3,0)*0.475*44/12</f>
        <v>5.333566668973512E-2</v>
      </c>
      <c r="FS182" s="21">
        <f>EXP(-LN(2)/2)*FS181+(1-EXP(-LN(2)/2))/(LN(2)/2)*FM182*FP182*VLOOKUP('Données projet'!$B$16,Paramètres!$A$1:$I$89,3,0)*0.475*44/12</f>
        <v>2.4767028882805144E-22</v>
      </c>
      <c r="FT182" s="22">
        <f t="shared" si="184"/>
        <v>5.333566668973512E-2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69.694739525152301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3.4106051316484809E-13</v>
      </c>
      <c r="GA182" s="17">
        <f>FZ182*VLOOKUP('Données projet'!$B$17,Paramètres!$A$1:$I$89,3,0)*VLOOKUP('Données projet'!$B$17,Paramètres!$A$1:$I$89,5,0)</f>
        <v>2.6602720026858149E-13</v>
      </c>
      <c r="GB182" s="13">
        <f t="shared" si="185"/>
        <v>3.5662905043956649E-12</v>
      </c>
      <c r="GC182" s="20">
        <f t="shared" si="186"/>
        <v>6.6746200022902298E-12</v>
      </c>
      <c r="GD182" s="59">
        <f t="shared" si="134"/>
        <v>292.21404492556508</v>
      </c>
      <c r="GE182" s="59">
        <f ca="1">AVERAGE(OFFSET($GD$3,0,0,'Données projet'!$E$17+1,1))-AVERAGE(OFFSET($H$3,0,0,'Données projet'!$E$17+1,1))</f>
        <v>300.95722646933314</v>
      </c>
      <c r="GF182" s="59">
        <f t="shared" si="158"/>
        <v>269.52365224623759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>
        <f>EXP(-LN(2)/35)*GL181+(1-EXP(-LN(2)/35))/(LN(2)/35)*GH182*GI182*VLOOKUP('Données projet'!$B$17,Paramètres!$A$1:$I$89,3,0)*0.475*44/12</f>
        <v>4.6536499738490986E-2</v>
      </c>
      <c r="GM182" s="21">
        <f>EXP(-LN(2)/25)*GM181+(1-EXP(-LN(2)/25))/(LN(2)/25)*Calculateur!GH182*Calculateur!GJ182*VLOOKUP('Données projet'!$B$17,Paramètres!$A$1:$I$89,3,0)*0.475*44/12</f>
        <v>0.10022747085793139</v>
      </c>
      <c r="GN182" s="21">
        <f>EXP(-LN(2)/2)*GN181+(1-EXP(-LN(2)/2))/(LN(2)/2)*GH182*GK182*VLOOKUP('Données projet'!$B$17,Paramètres!$A$1:$I$89,3,0)*0.475*44/12</f>
        <v>3.3162574700981767E-22</v>
      </c>
      <c r="GO182" s="21">
        <f t="shared" si="187"/>
        <v>0.14676397059642238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69.694739525152301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1.4000000000000001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5.1333333333333337</v>
      </c>
      <c r="H183" s="67">
        <f t="shared" si="110"/>
        <v>236.13333333333335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69.700035111930717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-3.4106051316484809E-13</v>
      </c>
      <c r="O183" s="13">
        <f>N183*VLOOKUP('Données projet'!$B$9,Paramètres!$A$1:$I$89,3,0)*VLOOKUP('Données projet'!$B$9,Paramètres!$A$1:$I$89,5,0)</f>
        <v>-3.0859155231155454E-13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479.46542424895119</v>
      </c>
      <c r="T183" s="59">
        <f t="shared" si="142"/>
        <v>337.96395820277337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0.12348881752940673</v>
      </c>
      <c r="AA183" s="21">
        <f>EXP(-LN(2)/25)*AA182+(1-EXP(-LN(2)/25))/(LN(2)/25)*Calculateur!V183*Calculateur!X183*VLOOKUP('Données projet'!$B$9,Paramètres!$A$1:$I$89,3,0)*0.475*44/12</f>
        <v>0.17629403750796507</v>
      </c>
      <c r="AB183" s="21">
        <f>EXP(-LN(2)/2)*AB182+(1-EXP(-LN(2)/2))/(LN(2)/2)*V183*Y183*VLOOKUP('Données projet'!$B$9,Paramètres!$A$1:$I$89,3,0)*0.475*44/12</f>
        <v>5.7051207409175242E-22</v>
      </c>
      <c r="AC183" s="22">
        <f t="shared" si="163"/>
        <v>0.29978285503737179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69.700035111930717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-3.4106051316484809E-13</v>
      </c>
      <c r="AJ183" s="13">
        <f>AI183*VLOOKUP('Données projet'!$B$10,Paramètres!$A$1:$I$89,3,0)*VLOOKUP('Données projet'!$B$10,Paramètres!$A$1:$I$89,5,0)</f>
        <v>-3.2987372833304104E-13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508.94560627895089</v>
      </c>
      <c r="AO183" s="59">
        <f t="shared" si="144"/>
        <v>357.86868650263034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0.13200528770384864</v>
      </c>
      <c r="AV183" s="21">
        <f>EXP(-LN(2)/25)*AV182+(1-EXP(-LN(2)/25))/(LN(2)/25)*Calculateur!AQ183*Calculateur!AS183*VLOOKUP('Données projet'!$B$10,Paramètres!$A$1:$I$89,3,0)*0.475*44/12</f>
        <v>0.18845224699127294</v>
      </c>
      <c r="AW183" s="21">
        <f>EXP(-LN(2)/2)*AW182+(1-EXP(-LN(2)/2))/(LN(2)/2)*AQ183*AT183*VLOOKUP('Données projet'!$B$10,Paramètres!$A$1:$I$89,3,0)*0.475*44/12</f>
        <v>6.0985773437393945E-22</v>
      </c>
      <c r="AX183" s="21">
        <f t="shared" si="166"/>
        <v>0.32045753469512162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69.700035111930717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1.7053025658242404E-13</v>
      </c>
      <c r="BE183" s="13">
        <f>BD183*VLOOKUP('Données projet'!$B$11,Paramètres!$A$1:$I$89,3,0)*VLOOKUP('Données projet'!$B$11,Paramètres!$A$1:$I$89,5,0)</f>
        <v>1.3301360013429075E-13</v>
      </c>
      <c r="BF183" s="13">
        <f t="shared" si="167"/>
        <v>1.9329766731057041E-12</v>
      </c>
      <c r="BG183" s="20">
        <f t="shared" si="168"/>
        <v>3.5982663925596575E-12</v>
      </c>
      <c r="BH183" s="59">
        <f t="shared" si="116"/>
        <v>292.23346207708289</v>
      </c>
      <c r="BI183" s="59">
        <f ca="1">AVERAGE(OFFSET($BH$3,0,0,'Données projet'!$E$11+1,1))-AVERAGE(OFFSET($H$3,0,0,'Données projet'!$E$11+1,1))</f>
        <v>383.03154033422328</v>
      </c>
      <c r="BJ183" s="59">
        <f t="shared" si="146"/>
        <v>373.27897156169877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7.4138914465007116E-2</v>
      </c>
      <c r="BQ183" s="21">
        <f>EXP(-LN(2)/25)*BQ182+(1-EXP(-LN(2)/25))/(LN(2)/25)*Calculateur!BL183*Calculateur!BN183*VLOOKUP('Données projet'!$B$11,Paramètres!$A$1:$I$89,3,0)*0.475*44/12</f>
        <v>0.13079253954271858</v>
      </c>
      <c r="BR183" s="21">
        <f>EXP(-LN(2)/2)*BR182+(1-EXP(-LN(2)/2))/(LN(2)/2)*BL183*BO183*VLOOKUP('Données projet'!$B$11,Paramètres!$A$1:$I$89,3,0)*0.475*44/12</f>
        <v>3.4599124305889477E-22</v>
      </c>
      <c r="BS183" s="22">
        <f t="shared" si="169"/>
        <v>0.20493145400772569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69.700035111930717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-3.4106051316484809E-13</v>
      </c>
      <c r="BZ183" s="13">
        <f>BY183*VLOOKUP('Données projet'!$B$12,Paramètres!$A$1:$I$89,3,0)*VLOOKUP('Données projet'!$B$12,Paramètres!$A$1:$I$89,5,0)</f>
        <v>-2.8730937629006804E-13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449.94334483948603</v>
      </c>
      <c r="CE183" s="59">
        <f t="shared" si="148"/>
        <v>318.02929110264176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0.11497234735496502</v>
      </c>
      <c r="CL183" s="21">
        <f>EXP(-LN(2)/25)*CL182+(1-EXP(-LN(2)/25))/(LN(2)/25)*Calculateur!CG183*Calculateur!CI183*VLOOKUP('Données projet'!$B$12,Paramètres!$A$1:$I$89,3,0)*0.475*44/12</f>
        <v>0.16413582802465712</v>
      </c>
      <c r="CM183" s="21">
        <f>EXP(-LN(2)/2)*CM182+(1-EXP(-LN(2)/2))/(LN(2)/2)*CG183*CJ183*VLOOKUP('Données projet'!$B$12,Paramètres!$A$1:$I$89,3,0)*0.475*44/12</f>
        <v>5.311664138095607E-22</v>
      </c>
      <c r="CN183" s="22">
        <f t="shared" si="172"/>
        <v>0.27910817537962213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69.700035111930717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1.1368683772161603E-13</v>
      </c>
      <c r="CU183" s="17">
        <f>CT183*VLOOKUP('Données projet'!$B$13,Paramètres!$A$1:$I$89,3,0)*VLOOKUP('Données projet'!$B$13,Paramètres!$A$1:$I$89,5,0)</f>
        <v>9.7543306765146564E-14</v>
      </c>
      <c r="CV183" s="13">
        <f t="shared" si="173"/>
        <v>1.4696264278629426E-12</v>
      </c>
      <c r="CW183" s="20">
        <f t="shared" si="174"/>
        <v>2.7294872878105889E-12</v>
      </c>
      <c r="CX183" s="59">
        <f t="shared" si="122"/>
        <v>292.23346207708204</v>
      </c>
      <c r="CY183" s="59">
        <f ca="1">AVERAGE(OFFSET($CX$3,0,0,'Données projet'!$E$13+1,1))-AVERAGE(OFFSET($H$3,0,0,'Données projet'!$E$13+1,1))</f>
        <v>565.32667500225568</v>
      </c>
      <c r="CZ183" s="59">
        <f t="shared" si="150"/>
        <v>275.06957234480944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0</v>
      </c>
      <c r="DG183" s="21">
        <f>EXP(-LN(2)/25)*DG182+(1-EXP(-LN(2)/25))/(LN(2)/25)*Calculateur!DB183*Calculateur!DD183*VLOOKUP('Données projet'!$B$13,Paramètres!$A$1:$I$89,3,0)*0.475*44/12</f>
        <v>6.8458123213013575E-2</v>
      </c>
      <c r="DH183" s="21">
        <f>EXP(-LN(2)/2)*DH182+(1-EXP(-LN(2)/2))/(LN(2)/2)*DB183*DE183*VLOOKUP('Données projet'!$B$13,Paramètres!$A$1:$I$89,3,0)*0.475*44/12</f>
        <v>1.8749943320513691E-22</v>
      </c>
      <c r="DI183" s="22">
        <f t="shared" si="175"/>
        <v>6.8458123213013575E-2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69.700035111930717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-1.2505552149377763E-12</v>
      </c>
      <c r="DP183" s="17">
        <f>DO183*VLOOKUP('Données projet'!$B$14,Paramètres!$A$1:$I$89,3,0)*VLOOKUP('Données projet'!$B$14,Paramètres!$A$1:$I$89,5,0)</f>
        <v>-6.9906036515021697E-13</v>
      </c>
      <c r="DQ183" s="13" t="e">
        <f t="shared" si="176"/>
        <v>#NUM!</v>
      </c>
      <c r="DR183" s="20" t="e">
        <f t="shared" si="177"/>
        <v>#NUM!</v>
      </c>
      <c r="DS183" s="59" t="e">
        <f t="shared" si="125"/>
        <v>#NUM!</v>
      </c>
      <c r="DT183" s="59">
        <f ca="1">AVERAGE(OFFSET($DS$3,0,0,'Données projet'!$E$14+1,1))-AVERAGE(OFFSET($H$3,0,0,'Données projet'!$E$14+1,1))</f>
        <v>532.64469322244281</v>
      </c>
      <c r="DU183" s="59">
        <f t="shared" si="152"/>
        <v>525.88014011096413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0.58550732449287846</v>
      </c>
      <c r="EB183" s="21">
        <f>EXP(-LN(2)/25)*EB182+(1-EXP(-LN(2)/25))/(LN(2)/25)*Calculateur!DW183*Calculateur!DY183*VLOOKUP('Données projet'!$B$14,Paramètres!$A$1:$I$89,3,0)*0.475*44/12</f>
        <v>0.60561578289190243</v>
      </c>
      <c r="EC183" s="21">
        <f>EXP(-LN(2)/2)*EC182+(1-EXP(-LN(2)/2))/(LN(2)/2)*DW183*DZ183*VLOOKUP('Données projet'!$B$14,Paramètres!$A$1:$I$89,3,0)*0.475*44/12</f>
        <v>9.6540292582478649E-22</v>
      </c>
      <c r="ED183" s="22">
        <f t="shared" si="178"/>
        <v>1.1911231073847808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69.700035111930717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-1.1368683772161603E-13</v>
      </c>
      <c r="EK183" s="17">
        <f>EJ183*VLOOKUP('Données projet'!$B$15,Paramètres!$A$1:$I$89,3,0)*VLOOKUP('Données projet'!$B$15,Paramètres!$A$1:$I$89,5,0)</f>
        <v>-1.0286385077051818E-13</v>
      </c>
      <c r="EL183" s="13" t="e">
        <f t="shared" si="179"/>
        <v>#NUM!</v>
      </c>
      <c r="EM183" s="20" t="e">
        <f t="shared" si="180"/>
        <v>#NUM!</v>
      </c>
      <c r="EN183" s="59" t="e">
        <f t="shared" si="128"/>
        <v>#NUM!</v>
      </c>
      <c r="EO183" s="59">
        <f ca="1">AVERAGE(OFFSET($EN$3,0,0,'Données projet'!$E$15+1,1))-AVERAGE(OFFSET($H$3,0,0,'Données projet'!$E$15+1,1))</f>
        <v>398.27843768730202</v>
      </c>
      <c r="EP183" s="59">
        <f t="shared" si="154"/>
        <v>252.3617347568813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0</v>
      </c>
      <c r="EW183" s="21">
        <f>EXP(-LN(2)/25)*EW182+(1-EXP(-LN(2)/25))/(LN(2)/25)*Calculateur!ER183*Calculateur!ET183*VLOOKUP('Données projet'!$B$15,Paramètres!$A$1:$I$89,3,0)*0.475*44/12</f>
        <v>4.8530283945154948E-2</v>
      </c>
      <c r="EX183" s="21">
        <f>EXP(-LN(2)/2)*EX182+(1-EXP(-LN(2)/2))/(LN(2)/2)*ER183*EU183*VLOOKUP('Données projet'!$B$15,Paramètres!$A$1:$I$89,3,0)*0.475*44/12</f>
        <v>1.6383067358495597E-22</v>
      </c>
      <c r="EY183" s="22">
        <f t="shared" si="181"/>
        <v>4.8530283945154948E-2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69.700035111930717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-1.1368683772161603E-13</v>
      </c>
      <c r="FF183" s="17">
        <f>FE183*VLOOKUP('Données projet'!$B$16,Paramètres!$A$1:$I$89,3,0)*VLOOKUP('Données projet'!$B$16,Paramètres!$A$1:$I$89,5,0)</f>
        <v>-1.0995790944434703E-13</v>
      </c>
      <c r="FG183" s="13" t="e">
        <f t="shared" si="182"/>
        <v>#NUM!</v>
      </c>
      <c r="FH183" s="20" t="e">
        <f t="shared" si="183"/>
        <v>#NUM!</v>
      </c>
      <c r="FI183" s="59" t="e">
        <f t="shared" si="131"/>
        <v>#NUM!</v>
      </c>
      <c r="FJ183" s="59">
        <f ca="1">AVERAGE(OFFSET($FI$3,0,0,'Données projet'!$E$16+1,1))-AVERAGE(OFFSET($H$3,0,0,'Données projet'!$E$16+1,1))</f>
        <v>422.28024471365825</v>
      </c>
      <c r="FK183" s="59">
        <f t="shared" si="156"/>
        <v>266.49730479813206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0</v>
      </c>
      <c r="FR183" s="21">
        <f>EXP(-LN(2)/25)*FR182+(1-EXP(-LN(2)/25))/(LN(2)/25)*Calculateur!FM183*Calculateur!FO183*VLOOKUP('Données projet'!$B$16,Paramètres!$A$1:$I$89,3,0)*0.475*44/12</f>
        <v>5.18772000793035E-2</v>
      </c>
      <c r="FS183" s="21">
        <f>EXP(-LN(2)/2)*FS182+(1-EXP(-LN(2)/2))/(LN(2)/2)*FM183*FP183*VLOOKUP('Données projet'!$B$16,Paramètres!$A$1:$I$89,3,0)*0.475*44/12</f>
        <v>1.75129340728746E-22</v>
      </c>
      <c r="FT183" s="22">
        <f t="shared" si="184"/>
        <v>5.18772000793035E-2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69.700035111930717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3.4106051316484809E-13</v>
      </c>
      <c r="GA183" s="17">
        <f>FZ183*VLOOKUP('Données projet'!$B$17,Paramètres!$A$1:$I$89,3,0)*VLOOKUP('Données projet'!$B$17,Paramètres!$A$1:$I$89,5,0)</f>
        <v>2.6602720026858149E-13</v>
      </c>
      <c r="GB183" s="13">
        <f t="shared" si="185"/>
        <v>3.5662905043956649E-12</v>
      </c>
      <c r="GC183" s="20">
        <f t="shared" si="186"/>
        <v>6.6746200022902298E-12</v>
      </c>
      <c r="GD183" s="59">
        <f t="shared" si="134"/>
        <v>292.23346207708596</v>
      </c>
      <c r="GE183" s="59">
        <f ca="1">AVERAGE(OFFSET($GD$3,0,0,'Données projet'!$E$17+1,1))-AVERAGE(OFFSET($H$3,0,0,'Données projet'!$E$17+1,1))</f>
        <v>300.95722646933314</v>
      </c>
      <c r="GF183" s="59">
        <f t="shared" si="158"/>
        <v>269.52365224623759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>
        <f>EXP(-LN(2)/35)*GL182+(1-EXP(-LN(2)/35))/(LN(2)/35)*GH183*GI183*VLOOKUP('Données projet'!$B$17,Paramètres!$A$1:$I$89,3,0)*0.475*44/12</f>
        <v>4.5623947363081285E-2</v>
      </c>
      <c r="GM183" s="21">
        <f>EXP(-LN(2)/25)*GM182+(1-EXP(-LN(2)/25))/(LN(2)/25)*Calculateur!GH183*Calculateur!GJ183*VLOOKUP('Données projet'!$B$17,Paramètres!$A$1:$I$89,3,0)*0.475*44/12</f>
        <v>9.7486745396587637E-2</v>
      </c>
      <c r="GN183" s="21">
        <f>EXP(-LN(2)/2)*GN182+(1-EXP(-LN(2)/2))/(LN(2)/2)*GH183*GK183*VLOOKUP('Données projet'!$B$17,Paramètres!$A$1:$I$89,3,0)*0.475*44/12</f>
        <v>2.3449481452669651E-22</v>
      </c>
      <c r="GO183" s="21">
        <f t="shared" si="187"/>
        <v>0.14311069275966892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69.700035111930717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1.4000000000000001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5.1333333333333337</v>
      </c>
      <c r="H184" s="67">
        <f t="shared" si="110"/>
        <v>236.13333333333335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69.705238832117701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-3.4106051316484809E-13</v>
      </c>
      <c r="O184" s="13">
        <f>N184*VLOOKUP('Données projet'!$B$9,Paramètres!$A$1:$I$89,3,0)*VLOOKUP('Données projet'!$B$9,Paramètres!$A$1:$I$89,5,0)</f>
        <v>-3.0859155231155454E-13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479.46542424895119</v>
      </c>
      <c r="T184" s="59">
        <f t="shared" si="142"/>
        <v>337.96395820277337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0.12106727713839645</v>
      </c>
      <c r="AA184" s="21">
        <f>EXP(-LN(2)/25)*AA183+(1-EXP(-LN(2)/25))/(LN(2)/25)*Calculateur!V184*Calculateur!X184*VLOOKUP('Données projet'!$B$9,Paramètres!$A$1:$I$89,3,0)*0.475*44/12</f>
        <v>0.17147326778140926</v>
      </c>
      <c r="AB184" s="21">
        <f>EXP(-LN(2)/2)*AB183+(1-EXP(-LN(2)/2))/(LN(2)/2)*V184*Y184*VLOOKUP('Données projet'!$B$9,Paramètres!$A$1:$I$89,3,0)*0.475*44/12</f>
        <v>4.0341295633908017E-22</v>
      </c>
      <c r="AC184" s="22">
        <f t="shared" si="163"/>
        <v>0.29254054491980569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69.705238832117701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-3.4106051316484809E-13</v>
      </c>
      <c r="AJ184" s="13">
        <f>AI184*VLOOKUP('Données projet'!$B$10,Paramètres!$A$1:$I$89,3,0)*VLOOKUP('Données projet'!$B$10,Paramètres!$A$1:$I$89,5,0)</f>
        <v>-3.2987372833304104E-13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508.94560627895089</v>
      </c>
      <c r="AO184" s="59">
        <f t="shared" si="144"/>
        <v>357.86868650263034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0.12941674452725144</v>
      </c>
      <c r="AV184" s="21">
        <f>EXP(-LN(2)/25)*AV183+(1-EXP(-LN(2)/25))/(LN(2)/25)*Calculateur!AQ184*Calculateur!AS184*VLOOKUP('Données projet'!$B$10,Paramètres!$A$1:$I$89,3,0)*0.475*44/12</f>
        <v>0.18329901038702362</v>
      </c>
      <c r="AW184" s="21">
        <f>EXP(-LN(2)/2)*AW183+(1-EXP(-LN(2)/2))/(LN(2)/2)*AQ184*AT184*VLOOKUP('Données projet'!$B$10,Paramètres!$A$1:$I$89,3,0)*0.475*44/12</f>
        <v>4.3123453953487681E-22</v>
      </c>
      <c r="AX184" s="21">
        <f t="shared" si="166"/>
        <v>0.31271575491427506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69.705238832117701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1.7053025658242404E-13</v>
      </c>
      <c r="BE184" s="13">
        <f>BD184*VLOOKUP('Données projet'!$B$11,Paramètres!$A$1:$I$89,3,0)*VLOOKUP('Données projet'!$B$11,Paramètres!$A$1:$I$89,5,0)</f>
        <v>1.3301360013429075E-13</v>
      </c>
      <c r="BF184" s="13">
        <f t="shared" si="167"/>
        <v>1.9329766731057041E-12</v>
      </c>
      <c r="BG184" s="20">
        <f t="shared" si="168"/>
        <v>3.5982663925596575E-12</v>
      </c>
      <c r="BH184" s="59">
        <f t="shared" si="116"/>
        <v>292.25254238443517</v>
      </c>
      <c r="BI184" s="59">
        <f ca="1">AVERAGE(OFFSET($BH$3,0,0,'Données projet'!$E$11+1,1))-AVERAGE(OFFSET($H$3,0,0,'Données projet'!$E$11+1,1))</f>
        <v>383.03154033422328</v>
      </c>
      <c r="BJ184" s="59">
        <f t="shared" si="146"/>
        <v>373.27897156169877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7.2685095572621025E-2</v>
      </c>
      <c r="BQ184" s="21">
        <f>EXP(-LN(2)/25)*BQ183+(1-EXP(-LN(2)/25))/(LN(2)/25)*Calculateur!BL184*Calculateur!BN184*VLOOKUP('Données projet'!$B$11,Paramètres!$A$1:$I$89,3,0)*0.475*44/12</f>
        <v>0.12721601067084221</v>
      </c>
      <c r="BR184" s="21">
        <f>EXP(-LN(2)/2)*BR183+(1-EXP(-LN(2)/2))/(LN(2)/2)*BL184*BO184*VLOOKUP('Données projet'!$B$11,Paramètres!$A$1:$I$89,3,0)*0.475*44/12</f>
        <v>2.4465275419810748E-22</v>
      </c>
      <c r="BS184" s="22">
        <f t="shared" si="169"/>
        <v>0.19990110624346324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69.705238832117701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-3.4106051316484809E-13</v>
      </c>
      <c r="BZ184" s="13">
        <f>BY184*VLOOKUP('Données projet'!$B$12,Paramètres!$A$1:$I$89,3,0)*VLOOKUP('Données projet'!$B$12,Paramètres!$A$1:$I$89,5,0)</f>
        <v>-2.8730937629006804E-13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449.94334483948603</v>
      </c>
      <c r="CE184" s="59">
        <f t="shared" si="148"/>
        <v>318.02929110264176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0.11271780974954165</v>
      </c>
      <c r="CL184" s="21">
        <f>EXP(-LN(2)/25)*CL183+(1-EXP(-LN(2)/25))/(LN(2)/25)*Calculateur!CG184*Calculateur!CI184*VLOOKUP('Données projet'!$B$12,Paramètres!$A$1:$I$89,3,0)*0.475*44/12</f>
        <v>0.15964752517579481</v>
      </c>
      <c r="CM184" s="21">
        <f>EXP(-LN(2)/2)*CM183+(1-EXP(-LN(2)/2))/(LN(2)/2)*CG184*CJ184*VLOOKUP('Données projet'!$B$12,Paramètres!$A$1:$I$89,3,0)*0.475*44/12</f>
        <v>3.755913731432802E-22</v>
      </c>
      <c r="CN184" s="22">
        <f t="shared" si="172"/>
        <v>0.27236533492533643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69.705238832117701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1.1368683772161603E-13</v>
      </c>
      <c r="CU184" s="17">
        <f>CT184*VLOOKUP('Données projet'!$B$13,Paramètres!$A$1:$I$89,3,0)*VLOOKUP('Données projet'!$B$13,Paramètres!$A$1:$I$89,5,0)</f>
        <v>9.7543306765146564E-14</v>
      </c>
      <c r="CV184" s="13">
        <f t="shared" si="173"/>
        <v>1.4696264278629426E-12</v>
      </c>
      <c r="CW184" s="20">
        <f t="shared" si="174"/>
        <v>2.7294872878105889E-12</v>
      </c>
      <c r="CX184" s="59">
        <f t="shared" si="122"/>
        <v>292.25254238443432</v>
      </c>
      <c r="CY184" s="59">
        <f ca="1">AVERAGE(OFFSET($CX$3,0,0,'Données projet'!$E$13+1,1))-AVERAGE(OFFSET($H$3,0,0,'Données projet'!$E$13+1,1))</f>
        <v>565.32667500225568</v>
      </c>
      <c r="CZ184" s="59">
        <f t="shared" si="150"/>
        <v>275.06957234480944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0</v>
      </c>
      <c r="DG184" s="21">
        <f>EXP(-LN(2)/25)*DG183+(1-EXP(-LN(2)/25))/(LN(2)/25)*Calculateur!DB184*Calculateur!DD184*VLOOKUP('Données projet'!$B$13,Paramètres!$A$1:$I$89,3,0)*0.475*44/12</f>
        <v>6.6586132233697484E-2</v>
      </c>
      <c r="DH184" s="21">
        <f>EXP(-LN(2)/2)*DH183+(1-EXP(-LN(2)/2))/(LN(2)/2)*DB184*DE184*VLOOKUP('Données projet'!$B$13,Paramètres!$A$1:$I$89,3,0)*0.475*44/12</f>
        <v>1.3258212068798643E-22</v>
      </c>
      <c r="DI184" s="22">
        <f t="shared" si="175"/>
        <v>6.6586132233697484E-2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69.705238832117701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-1.2505552149377763E-12</v>
      </c>
      <c r="DP184" s="17">
        <f>DO184*VLOOKUP('Données projet'!$B$14,Paramètres!$A$1:$I$89,3,0)*VLOOKUP('Données projet'!$B$14,Paramètres!$A$1:$I$89,5,0)</f>
        <v>-6.9906036515021697E-13</v>
      </c>
      <c r="DQ184" s="13" t="e">
        <f t="shared" si="176"/>
        <v>#NUM!</v>
      </c>
      <c r="DR184" s="20" t="e">
        <f t="shared" si="177"/>
        <v>#NUM!</v>
      </c>
      <c r="DS184" s="59" t="e">
        <f t="shared" si="125"/>
        <v>#NUM!</v>
      </c>
      <c r="DT184" s="59">
        <f ca="1">AVERAGE(OFFSET($DS$3,0,0,'Données projet'!$E$14+1,1))-AVERAGE(OFFSET($H$3,0,0,'Données projet'!$E$14+1,1))</f>
        <v>532.64469322244281</v>
      </c>
      <c r="DU184" s="59">
        <f t="shared" si="152"/>
        <v>525.88014011096413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0.57402588298377799</v>
      </c>
      <c r="EB184" s="21">
        <f>EXP(-LN(2)/25)*EB183+(1-EXP(-LN(2)/25))/(LN(2)/25)*Calculateur!DW184*Calculateur!DY184*VLOOKUP('Données projet'!$B$14,Paramètres!$A$1:$I$89,3,0)*0.475*44/12</f>
        <v>0.58905518746077346</v>
      </c>
      <c r="EC184" s="21">
        <f>EXP(-LN(2)/2)*EC183+(1-EXP(-LN(2)/2))/(LN(2)/2)*DW184*DZ184*VLOOKUP('Données projet'!$B$14,Paramètres!$A$1:$I$89,3,0)*0.475*44/12</f>
        <v>6.8264295542804008E-22</v>
      </c>
      <c r="ED184" s="22">
        <f t="shared" si="178"/>
        <v>1.1630810704445516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69.705238832117701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-1.1368683772161603E-13</v>
      </c>
      <c r="EK184" s="17">
        <f>EJ184*VLOOKUP('Données projet'!$B$15,Paramètres!$A$1:$I$89,3,0)*VLOOKUP('Données projet'!$B$15,Paramètres!$A$1:$I$89,5,0)</f>
        <v>-1.0286385077051818E-13</v>
      </c>
      <c r="EL184" s="13" t="e">
        <f t="shared" si="179"/>
        <v>#NUM!</v>
      </c>
      <c r="EM184" s="20" t="e">
        <f t="shared" si="180"/>
        <v>#NUM!</v>
      </c>
      <c r="EN184" s="59" t="e">
        <f t="shared" si="128"/>
        <v>#NUM!</v>
      </c>
      <c r="EO184" s="59">
        <f ca="1">AVERAGE(OFFSET($EN$3,0,0,'Données projet'!$E$15+1,1))-AVERAGE(OFFSET($H$3,0,0,'Données projet'!$E$15+1,1))</f>
        <v>398.27843768730202</v>
      </c>
      <c r="EP184" s="59">
        <f t="shared" si="154"/>
        <v>252.3617347568813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0</v>
      </c>
      <c r="EW184" s="21">
        <f>EXP(-LN(2)/25)*EW183+(1-EXP(-LN(2)/25))/(LN(2)/25)*Calculateur!ER184*Calculateur!ET184*VLOOKUP('Données projet'!$B$15,Paramètres!$A$1:$I$89,3,0)*0.475*44/12</f>
        <v>4.720322077857797E-2</v>
      </c>
      <c r="EX184" s="21">
        <f>EXP(-LN(2)/2)*EX183+(1-EXP(-LN(2)/2))/(LN(2)/2)*ER184*EU184*VLOOKUP('Données projet'!$B$15,Paramètres!$A$1:$I$89,3,0)*0.475*44/12</f>
        <v>1.1584578025828215E-22</v>
      </c>
      <c r="EY184" s="22">
        <f t="shared" si="181"/>
        <v>4.720322077857797E-2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69.705238832117701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-1.1368683772161603E-13</v>
      </c>
      <c r="FF184" s="17">
        <f>FE184*VLOOKUP('Données projet'!$B$16,Paramètres!$A$1:$I$89,3,0)*VLOOKUP('Données projet'!$B$16,Paramètres!$A$1:$I$89,5,0)</f>
        <v>-1.0995790944434703E-13</v>
      </c>
      <c r="FG184" s="13" t="e">
        <f t="shared" si="182"/>
        <v>#NUM!</v>
      </c>
      <c r="FH184" s="20" t="e">
        <f t="shared" si="183"/>
        <v>#NUM!</v>
      </c>
      <c r="FI184" s="59" t="e">
        <f t="shared" si="131"/>
        <v>#NUM!</v>
      </c>
      <c r="FJ184" s="59">
        <f ca="1">AVERAGE(OFFSET($FI$3,0,0,'Données projet'!$E$16+1,1))-AVERAGE(OFFSET($H$3,0,0,'Données projet'!$E$16+1,1))</f>
        <v>422.28024471365825</v>
      </c>
      <c r="FK184" s="59">
        <f t="shared" si="156"/>
        <v>266.49730479813206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0</v>
      </c>
      <c r="FR184" s="21">
        <f>EXP(-LN(2)/25)*FR183+(1-EXP(-LN(2)/25))/(LN(2)/25)*Calculateur!FM184*Calculateur!FO184*VLOOKUP('Données projet'!$B$16,Paramètres!$A$1:$I$89,3,0)*0.475*44/12</f>
        <v>5.0458615315031562E-2</v>
      </c>
      <c r="FS184" s="21">
        <f>EXP(-LN(2)/2)*FS183+(1-EXP(-LN(2)/2))/(LN(2)/2)*FM184*FP184*VLOOKUP('Données projet'!$B$16,Paramètres!$A$1:$I$89,3,0)*0.475*44/12</f>
        <v>1.2383514441402572E-22</v>
      </c>
      <c r="FT184" s="22">
        <f t="shared" si="184"/>
        <v>5.0458615315031562E-2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69.705238832117701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3.4106051316484809E-13</v>
      </c>
      <c r="GA184" s="17">
        <f>FZ184*VLOOKUP('Données projet'!$B$17,Paramètres!$A$1:$I$89,3,0)*VLOOKUP('Données projet'!$B$17,Paramètres!$A$1:$I$89,5,0)</f>
        <v>2.6602720026858149E-13</v>
      </c>
      <c r="GB184" s="13">
        <f t="shared" si="185"/>
        <v>3.5662905043956649E-12</v>
      </c>
      <c r="GC184" s="20">
        <f t="shared" si="186"/>
        <v>6.6746200022902298E-12</v>
      </c>
      <c r="GD184" s="59">
        <f t="shared" si="134"/>
        <v>292.25254238443824</v>
      </c>
      <c r="GE184" s="59">
        <f ca="1">AVERAGE(OFFSET($GD$3,0,0,'Données projet'!$E$17+1,1))-AVERAGE(OFFSET($H$3,0,0,'Données projet'!$E$17+1,1))</f>
        <v>300.95722646933314</v>
      </c>
      <c r="GF184" s="59">
        <f t="shared" si="158"/>
        <v>269.52365224623759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>
        <f>EXP(-LN(2)/35)*GL183+(1-EXP(-LN(2)/35))/(LN(2)/35)*GH184*GI184*VLOOKUP('Données projet'!$B$17,Paramètres!$A$1:$I$89,3,0)*0.475*44/12</f>
        <v>4.472928958315138E-2</v>
      </c>
      <c r="GM184" s="21">
        <f>EXP(-LN(2)/25)*GM183+(1-EXP(-LN(2)/25))/(LN(2)/25)*Calculateur!GH184*Calculateur!GJ184*VLOOKUP('Données projet'!$B$17,Paramètres!$A$1:$I$89,3,0)*0.475*44/12</f>
        <v>9.4820965217112821E-2</v>
      </c>
      <c r="GN184" s="21">
        <f>EXP(-LN(2)/2)*GN183+(1-EXP(-LN(2)/2))/(LN(2)/2)*GH184*GK184*VLOOKUP('Données projet'!$B$17,Paramètres!$A$1:$I$89,3,0)*0.475*44/12</f>
        <v>1.6581287350490884E-22</v>
      </c>
      <c r="GO184" s="21">
        <f t="shared" si="187"/>
        <v>0.1395502548002642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69.705238832117701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1.4000000000000001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5.1333333333333337</v>
      </c>
      <c r="H185" s="67">
        <f t="shared" si="110"/>
        <v>236.13333333333335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69.710352279393206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-3.4106051316484809E-13</v>
      </c>
      <c r="O185" s="13">
        <f>N185*VLOOKUP('Données projet'!$B$9,Paramètres!$A$1:$I$89,3,0)*VLOOKUP('Données projet'!$B$9,Paramètres!$A$1:$I$89,5,0)</f>
        <v>-3.0859155231155454E-13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479.46542424895119</v>
      </c>
      <c r="T185" s="59">
        <f t="shared" si="142"/>
        <v>337.96395820277337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0.11869322167746009</v>
      </c>
      <c r="AA185" s="21">
        <f>EXP(-LN(2)/25)*AA184+(1-EXP(-LN(2)/25))/(LN(2)/25)*Calculateur!V185*Calculateur!X185*VLOOKUP('Données projet'!$B$9,Paramètres!$A$1:$I$89,3,0)*0.475*44/12</f>
        <v>0.16678432225653939</v>
      </c>
      <c r="AB185" s="21">
        <f>EXP(-LN(2)/2)*AB184+(1-EXP(-LN(2)/2))/(LN(2)/2)*V185*Y185*VLOOKUP('Données projet'!$B$9,Paramètres!$A$1:$I$89,3,0)*0.475*44/12</f>
        <v>2.8525603704587621E-22</v>
      </c>
      <c r="AC185" s="22">
        <f t="shared" si="163"/>
        <v>0.28547754393399949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69.710352279393206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-3.4106051316484809E-13</v>
      </c>
      <c r="AJ185" s="13">
        <f>AI185*VLOOKUP('Données projet'!$B$10,Paramètres!$A$1:$I$89,3,0)*VLOOKUP('Données projet'!$B$10,Paramètres!$A$1:$I$89,5,0)</f>
        <v>-3.2987372833304104E-13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508.94560627895089</v>
      </c>
      <c r="AO185" s="59">
        <f t="shared" si="144"/>
        <v>357.86868650263034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0.12687896110349187</v>
      </c>
      <c r="AV185" s="21">
        <f>EXP(-LN(2)/25)*AV184+(1-EXP(-LN(2)/25))/(LN(2)/25)*Calculateur!AQ185*Calculateur!AS185*VLOOKUP('Données projet'!$B$10,Paramètres!$A$1:$I$89,3,0)*0.475*44/12</f>
        <v>0.17828668930871444</v>
      </c>
      <c r="AW185" s="21">
        <f>EXP(-LN(2)/2)*AW184+(1-EXP(-LN(2)/2))/(LN(2)/2)*AQ185*AT185*VLOOKUP('Données projet'!$B$10,Paramètres!$A$1:$I$89,3,0)*0.475*44/12</f>
        <v>3.0492886718696972E-22</v>
      </c>
      <c r="AX185" s="21">
        <f t="shared" si="166"/>
        <v>0.30516565041220634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69.710352279393206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1.7053025658242404E-13</v>
      </c>
      <c r="BE185" s="13">
        <f>BD185*VLOOKUP('Données projet'!$B$11,Paramètres!$A$1:$I$89,3,0)*VLOOKUP('Données projet'!$B$11,Paramètres!$A$1:$I$89,5,0)</f>
        <v>1.3301360013429075E-13</v>
      </c>
      <c r="BF185" s="13">
        <f t="shared" si="167"/>
        <v>1.9329766731057041E-12</v>
      </c>
      <c r="BG185" s="20">
        <f t="shared" si="168"/>
        <v>3.5982663925596575E-12</v>
      </c>
      <c r="BH185" s="59">
        <f t="shared" si="116"/>
        <v>292.27129169111197</v>
      </c>
      <c r="BI185" s="59">
        <f ca="1">AVERAGE(OFFSET($BH$3,0,0,'Données projet'!$E$11+1,1))-AVERAGE(OFFSET($H$3,0,0,'Données projet'!$E$11+1,1))</f>
        <v>383.03154033422328</v>
      </c>
      <c r="BJ185" s="59">
        <f t="shared" si="146"/>
        <v>373.27897156169877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7.1259785181972651E-2</v>
      </c>
      <c r="BQ185" s="21">
        <f>EXP(-LN(2)/25)*BQ184+(1-EXP(-LN(2)/25))/(LN(2)/25)*Calculateur!BL185*Calculateur!BN185*VLOOKUP('Données projet'!$B$11,Paramètres!$A$1:$I$89,3,0)*0.475*44/12</f>
        <v>0.12373728216904878</v>
      </c>
      <c r="BR185" s="21">
        <f>EXP(-LN(2)/2)*BR184+(1-EXP(-LN(2)/2))/(LN(2)/2)*BL185*BO185*VLOOKUP('Données projet'!$B$11,Paramètres!$A$1:$I$89,3,0)*0.475*44/12</f>
        <v>1.7299562152944738E-22</v>
      </c>
      <c r="BS185" s="22">
        <f t="shared" si="169"/>
        <v>0.19499706735102143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69.710352279393206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-3.4106051316484809E-13</v>
      </c>
      <c r="BZ185" s="13">
        <f>BY185*VLOOKUP('Données projet'!$B$12,Paramètres!$A$1:$I$89,3,0)*VLOOKUP('Données projet'!$B$12,Paramètres!$A$1:$I$89,5,0)</f>
        <v>-2.8730937629006804E-13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449.94334483948603</v>
      </c>
      <c r="CE185" s="59">
        <f t="shared" si="148"/>
        <v>318.02929110264176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0.11050748225142848</v>
      </c>
      <c r="CL185" s="21">
        <f>EXP(-LN(2)/25)*CL184+(1-EXP(-LN(2)/25))/(LN(2)/25)*Calculateur!CG185*Calculateur!CI185*VLOOKUP('Données projet'!$B$12,Paramètres!$A$1:$I$89,3,0)*0.475*44/12</f>
        <v>0.15528195520436422</v>
      </c>
      <c r="CM185" s="21">
        <f>EXP(-LN(2)/2)*CM184+(1-EXP(-LN(2)/2))/(LN(2)/2)*CG185*CJ185*VLOOKUP('Données projet'!$B$12,Paramètres!$A$1:$I$89,3,0)*0.475*44/12</f>
        <v>2.6558320690478035E-22</v>
      </c>
      <c r="CN185" s="22">
        <f t="shared" si="172"/>
        <v>0.2657894374557927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69.710352279393206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1.1368683772161603E-13</v>
      </c>
      <c r="CU185" s="17">
        <f>CT185*VLOOKUP('Données projet'!$B$13,Paramètres!$A$1:$I$89,3,0)*VLOOKUP('Données projet'!$B$13,Paramètres!$A$1:$I$89,5,0)</f>
        <v>9.7543306765146564E-14</v>
      </c>
      <c r="CV185" s="13">
        <f t="shared" si="173"/>
        <v>1.4696264278629426E-12</v>
      </c>
      <c r="CW185" s="20">
        <f t="shared" si="174"/>
        <v>2.7294872878105889E-12</v>
      </c>
      <c r="CX185" s="59">
        <f t="shared" si="122"/>
        <v>292.27129169111112</v>
      </c>
      <c r="CY185" s="59">
        <f ca="1">AVERAGE(OFFSET($CX$3,0,0,'Données projet'!$E$13+1,1))-AVERAGE(OFFSET($H$3,0,0,'Données projet'!$E$13+1,1))</f>
        <v>565.32667500225568</v>
      </c>
      <c r="CZ185" s="59">
        <f t="shared" si="150"/>
        <v>275.06957234480944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0</v>
      </c>
      <c r="DG185" s="21">
        <f>EXP(-LN(2)/25)*DG184+(1-EXP(-LN(2)/25))/(LN(2)/25)*Calculateur!DB185*Calculateur!DD185*VLOOKUP('Données projet'!$B$13,Paramètres!$A$1:$I$89,3,0)*0.475*44/12</f>
        <v>6.4765330946154512E-2</v>
      </c>
      <c r="DH185" s="21">
        <f>EXP(-LN(2)/2)*DH184+(1-EXP(-LN(2)/2))/(LN(2)/2)*DB185*DE185*VLOOKUP('Données projet'!$B$13,Paramètres!$A$1:$I$89,3,0)*0.475*44/12</f>
        <v>9.3749716602568456E-23</v>
      </c>
      <c r="DI185" s="22">
        <f t="shared" si="175"/>
        <v>6.4765330946154512E-2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69.710352279393206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-1.2505552149377763E-12</v>
      </c>
      <c r="DP185" s="17">
        <f>DO185*VLOOKUP('Données projet'!$B$14,Paramètres!$A$1:$I$89,3,0)*VLOOKUP('Données projet'!$B$14,Paramètres!$A$1:$I$89,5,0)</f>
        <v>-6.9906036515021697E-13</v>
      </c>
      <c r="DQ185" s="13" t="e">
        <f t="shared" si="176"/>
        <v>#NUM!</v>
      </c>
      <c r="DR185" s="20" t="e">
        <f t="shared" si="177"/>
        <v>#NUM!</v>
      </c>
      <c r="DS185" s="59" t="e">
        <f t="shared" si="125"/>
        <v>#NUM!</v>
      </c>
      <c r="DT185" s="59">
        <f ca="1">AVERAGE(OFFSET($DS$3,0,0,'Données projet'!$E$14+1,1))-AVERAGE(OFFSET($H$3,0,0,'Données projet'!$E$14+1,1))</f>
        <v>532.64469322244281</v>
      </c>
      <c r="DU185" s="59">
        <f t="shared" si="152"/>
        <v>525.88014011096413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0.56276958553968315</v>
      </c>
      <c r="EB185" s="21">
        <f>EXP(-LN(2)/25)*EB184+(1-EXP(-LN(2)/25))/(LN(2)/25)*Calculateur!DW185*Calculateur!DY185*VLOOKUP('Données projet'!$B$14,Paramètres!$A$1:$I$89,3,0)*0.475*44/12</f>
        <v>0.57294744238259265</v>
      </c>
      <c r="EC185" s="21">
        <f>EXP(-LN(2)/2)*EC184+(1-EXP(-LN(2)/2))/(LN(2)/2)*DW185*DZ185*VLOOKUP('Données projet'!$B$14,Paramètres!$A$1:$I$89,3,0)*0.475*44/12</f>
        <v>4.8270146291239325E-22</v>
      </c>
      <c r="ED185" s="22">
        <f t="shared" si="178"/>
        <v>1.1357170279222757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69.710352279393206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-1.1368683772161603E-13</v>
      </c>
      <c r="EK185" s="17">
        <f>EJ185*VLOOKUP('Données projet'!$B$15,Paramètres!$A$1:$I$89,3,0)*VLOOKUP('Données projet'!$B$15,Paramètres!$A$1:$I$89,5,0)</f>
        <v>-1.0286385077051818E-13</v>
      </c>
      <c r="EL185" s="13" t="e">
        <f t="shared" si="179"/>
        <v>#NUM!</v>
      </c>
      <c r="EM185" s="20" t="e">
        <f t="shared" si="180"/>
        <v>#NUM!</v>
      </c>
      <c r="EN185" s="59" t="e">
        <f t="shared" si="128"/>
        <v>#NUM!</v>
      </c>
      <c r="EO185" s="59">
        <f ca="1">AVERAGE(OFFSET($EN$3,0,0,'Données projet'!$E$15+1,1))-AVERAGE(OFFSET($H$3,0,0,'Données projet'!$E$15+1,1))</f>
        <v>398.27843768730202</v>
      </c>
      <c r="EP185" s="59">
        <f t="shared" si="154"/>
        <v>252.3617347568813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0</v>
      </c>
      <c r="EW185" s="21">
        <f>EXP(-LN(2)/25)*EW184+(1-EXP(-LN(2)/25))/(LN(2)/25)*Calculateur!ER185*Calculateur!ET185*VLOOKUP('Données projet'!$B$15,Paramètres!$A$1:$I$89,3,0)*0.475*44/12</f>
        <v>4.5912446224078259E-2</v>
      </c>
      <c r="EX185" s="21">
        <f>EXP(-LN(2)/2)*EX184+(1-EXP(-LN(2)/2))/(LN(2)/2)*ER185*EU185*VLOOKUP('Données projet'!$B$15,Paramètres!$A$1:$I$89,3,0)*0.475*44/12</f>
        <v>8.1915336792477985E-23</v>
      </c>
      <c r="EY185" s="22">
        <f t="shared" si="181"/>
        <v>4.5912446224078259E-2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69.710352279393206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-1.1368683772161603E-13</v>
      </c>
      <c r="FF185" s="17">
        <f>FE185*VLOOKUP('Données projet'!$B$16,Paramètres!$A$1:$I$89,3,0)*VLOOKUP('Données projet'!$B$16,Paramètres!$A$1:$I$89,5,0)</f>
        <v>-1.0995790944434703E-13</v>
      </c>
      <c r="FG185" s="13" t="e">
        <f t="shared" si="182"/>
        <v>#NUM!</v>
      </c>
      <c r="FH185" s="20" t="e">
        <f t="shared" si="183"/>
        <v>#NUM!</v>
      </c>
      <c r="FI185" s="59" t="e">
        <f t="shared" si="131"/>
        <v>#NUM!</v>
      </c>
      <c r="FJ185" s="59">
        <f ca="1">AVERAGE(OFFSET($FI$3,0,0,'Données projet'!$E$16+1,1))-AVERAGE(OFFSET($H$3,0,0,'Données projet'!$E$16+1,1))</f>
        <v>422.28024471365825</v>
      </c>
      <c r="FK185" s="59">
        <f t="shared" si="156"/>
        <v>266.49730479813206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0</v>
      </c>
      <c r="FR185" s="21">
        <f>EXP(-LN(2)/25)*FR184+(1-EXP(-LN(2)/25))/(LN(2)/25)*Calculateur!FM185*Calculateur!FO185*VLOOKUP('Données projet'!$B$16,Paramètres!$A$1:$I$89,3,0)*0.475*44/12</f>
        <v>4.9078821825738771E-2</v>
      </c>
      <c r="FS185" s="21">
        <f>EXP(-LN(2)/2)*FS184+(1-EXP(-LN(2)/2))/(LN(2)/2)*FM185*FP185*VLOOKUP('Données projet'!$B$16,Paramètres!$A$1:$I$89,3,0)*0.475*44/12</f>
        <v>8.7564670364373001E-23</v>
      </c>
      <c r="FT185" s="22">
        <f t="shared" si="184"/>
        <v>4.9078821825738771E-2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69.710352279393206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3.4106051316484809E-13</v>
      </c>
      <c r="GA185" s="17">
        <f>FZ185*VLOOKUP('Données projet'!$B$17,Paramètres!$A$1:$I$89,3,0)*VLOOKUP('Données projet'!$B$17,Paramètres!$A$1:$I$89,5,0)</f>
        <v>2.6602720026858149E-13</v>
      </c>
      <c r="GB185" s="13">
        <f t="shared" si="185"/>
        <v>3.5662905043956649E-12</v>
      </c>
      <c r="GC185" s="20">
        <f t="shared" si="186"/>
        <v>6.6746200022902298E-12</v>
      </c>
      <c r="GD185" s="59">
        <f t="shared" si="134"/>
        <v>292.27129169111504</v>
      </c>
      <c r="GE185" s="59">
        <f ca="1">AVERAGE(OFFSET($GD$3,0,0,'Données projet'!$E$17+1,1))-AVERAGE(OFFSET($H$3,0,0,'Données projet'!$E$17+1,1))</f>
        <v>300.95722646933314</v>
      </c>
      <c r="GF185" s="59">
        <f t="shared" si="158"/>
        <v>269.52365224623759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>
        <f>EXP(-LN(2)/35)*GL184+(1-EXP(-LN(2)/35))/(LN(2)/35)*GH185*GI185*VLOOKUP('Données projet'!$B$17,Paramètres!$A$1:$I$89,3,0)*0.475*44/12</f>
        <v>4.3852175496598533E-2</v>
      </c>
      <c r="GM185" s="21">
        <f>EXP(-LN(2)/25)*GM184+(1-EXP(-LN(2)/25))/(LN(2)/25)*Calculateur!GH185*Calculateur!GJ185*VLOOKUP('Données projet'!$B$17,Paramètres!$A$1:$I$89,3,0)*0.475*44/12</f>
        <v>9.2228080936833032E-2</v>
      </c>
      <c r="GN185" s="21">
        <f>EXP(-LN(2)/2)*GN184+(1-EXP(-LN(2)/2))/(LN(2)/2)*GH185*GK185*VLOOKUP('Données projet'!$B$17,Paramètres!$A$1:$I$89,3,0)*0.475*44/12</f>
        <v>1.1724740726334825E-22</v>
      </c>
      <c r="GO185" s="21">
        <f t="shared" si="187"/>
        <v>0.13608025643343158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69.710352279393206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1.4000000000000001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5.1333333333333337</v>
      </c>
      <c r="H186" s="67">
        <f t="shared" si="110"/>
        <v>236.13333333333335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69.715377019790452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-3.4106051316484809E-13</v>
      </c>
      <c r="O186" s="13">
        <f>N186*VLOOKUP('Données projet'!$B$9,Paramètres!$A$1:$I$89,3,0)*VLOOKUP('Données projet'!$B$9,Paramètres!$A$1:$I$89,5,0)</f>
        <v>-3.0859155231155454E-13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479.46542424895119</v>
      </c>
      <c r="T186" s="59">
        <f t="shared" si="142"/>
        <v>337.96395820277337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0.11636571999608183</v>
      </c>
      <c r="AA186" s="21">
        <f>EXP(-LN(2)/25)*AA185+(1-EXP(-LN(2)/25))/(LN(2)/25)*Calculateur!V186*Calculateur!X186*VLOOKUP('Données projet'!$B$9,Paramètres!$A$1:$I$89,3,0)*0.475*44/12</f>
        <v>0.162223596193628</v>
      </c>
      <c r="AB186" s="21">
        <f>EXP(-LN(2)/2)*AB185+(1-EXP(-LN(2)/2))/(LN(2)/2)*V186*Y186*VLOOKUP('Données projet'!$B$9,Paramètres!$A$1:$I$89,3,0)*0.475*44/12</f>
        <v>2.0170647816954009E-22</v>
      </c>
      <c r="AC186" s="22">
        <f t="shared" si="163"/>
        <v>0.27858931618970983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69.715377019790452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-3.4106051316484809E-13</v>
      </c>
      <c r="AJ186" s="13">
        <f>AI186*VLOOKUP('Données projet'!$B$10,Paramètres!$A$1:$I$89,3,0)*VLOOKUP('Données projet'!$B$10,Paramètres!$A$1:$I$89,5,0)</f>
        <v>-3.2987372833304104E-13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508.94560627895089</v>
      </c>
      <c r="AO186" s="59">
        <f t="shared" si="144"/>
        <v>357.86868650263034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0.12439094206477719</v>
      </c>
      <c r="AV186" s="21">
        <f>EXP(-LN(2)/25)*AV185+(1-EXP(-LN(2)/25))/(LN(2)/25)*Calculateur!AQ186*Calculateur!AS186*VLOOKUP('Données projet'!$B$10,Paramètres!$A$1:$I$89,3,0)*0.475*44/12</f>
        <v>0.17341143041387813</v>
      </c>
      <c r="AW186" s="21">
        <f>EXP(-LN(2)/2)*AW185+(1-EXP(-LN(2)/2))/(LN(2)/2)*AQ186*AT186*VLOOKUP('Données projet'!$B$10,Paramètres!$A$1:$I$89,3,0)*0.475*44/12</f>
        <v>2.1561726976743841E-22</v>
      </c>
      <c r="AX186" s="21">
        <f t="shared" si="166"/>
        <v>0.29780237247865532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69.715377019790452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1.7053025658242404E-13</v>
      </c>
      <c r="BE186" s="13">
        <f>BD186*VLOOKUP('Données projet'!$B$11,Paramètres!$A$1:$I$89,3,0)*VLOOKUP('Données projet'!$B$11,Paramètres!$A$1:$I$89,5,0)</f>
        <v>1.3301360013429075E-13</v>
      </c>
      <c r="BF186" s="13">
        <f t="shared" si="167"/>
        <v>1.9329766731057041E-12</v>
      </c>
      <c r="BG186" s="20">
        <f t="shared" si="168"/>
        <v>3.5982663925596575E-12</v>
      </c>
      <c r="BH186" s="59">
        <f t="shared" si="116"/>
        <v>292.28971573923525</v>
      </c>
      <c r="BI186" s="59">
        <f ca="1">AVERAGE(OFFSET($BH$3,0,0,'Données projet'!$E$11+1,1))-AVERAGE(OFFSET($H$3,0,0,'Données projet'!$E$11+1,1))</f>
        <v>383.03154033422328</v>
      </c>
      <c r="BJ186" s="59">
        <f t="shared" si="146"/>
        <v>373.27897156169877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6.9862424258731404E-2</v>
      </c>
      <c r="BQ186" s="21">
        <f>EXP(-LN(2)/25)*BQ185+(1-EXP(-LN(2)/25))/(LN(2)/25)*Calculateur!BL186*Calculateur!BN186*VLOOKUP('Données projet'!$B$11,Paramètres!$A$1:$I$89,3,0)*0.475*44/12</f>
        <v>0.12035367968107527</v>
      </c>
      <c r="BR186" s="21">
        <f>EXP(-LN(2)/2)*BR185+(1-EXP(-LN(2)/2))/(LN(2)/2)*BL186*BO186*VLOOKUP('Données projet'!$B$11,Paramètres!$A$1:$I$89,3,0)*0.475*44/12</f>
        <v>1.2232637709905374E-22</v>
      </c>
      <c r="BS186" s="22">
        <f t="shared" si="169"/>
        <v>0.19021610393980667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69.715377019790452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-3.4106051316484809E-13</v>
      </c>
      <c r="BZ186" s="13">
        <f>BY186*VLOOKUP('Données projet'!$B$12,Paramètres!$A$1:$I$89,3,0)*VLOOKUP('Données projet'!$B$12,Paramètres!$A$1:$I$89,5,0)</f>
        <v>-2.8730937629006804E-13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449.94334483948603</v>
      </c>
      <c r="CE186" s="59">
        <f t="shared" si="148"/>
        <v>318.02929110264176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0.10834049792738666</v>
      </c>
      <c r="CL186" s="21">
        <f>EXP(-LN(2)/25)*CL185+(1-EXP(-LN(2)/25))/(LN(2)/25)*Calculateur!CG186*Calculateur!CI186*VLOOKUP('Données projet'!$B$12,Paramètres!$A$1:$I$89,3,0)*0.475*44/12</f>
        <v>0.15103576197337776</v>
      </c>
      <c r="CM186" s="21">
        <f>EXP(-LN(2)/2)*CM185+(1-EXP(-LN(2)/2))/(LN(2)/2)*CG186*CJ186*VLOOKUP('Données projet'!$B$12,Paramètres!$A$1:$I$89,3,0)*0.475*44/12</f>
        <v>1.877956865716401E-22</v>
      </c>
      <c r="CN186" s="22">
        <f t="shared" si="172"/>
        <v>0.25937625990076441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69.715377019790452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1.1368683772161603E-13</v>
      </c>
      <c r="CU186" s="17">
        <f>CT186*VLOOKUP('Données projet'!$B$13,Paramètres!$A$1:$I$89,3,0)*VLOOKUP('Données projet'!$B$13,Paramètres!$A$1:$I$89,5,0)</f>
        <v>9.7543306765146564E-14</v>
      </c>
      <c r="CV186" s="13">
        <f t="shared" si="173"/>
        <v>1.4696264278629426E-12</v>
      </c>
      <c r="CW186" s="20">
        <f t="shared" si="174"/>
        <v>2.7294872878105889E-12</v>
      </c>
      <c r="CX186" s="59">
        <f t="shared" si="122"/>
        <v>292.2897157392344</v>
      </c>
      <c r="CY186" s="59">
        <f ca="1">AVERAGE(OFFSET($CX$3,0,0,'Données projet'!$E$13+1,1))-AVERAGE(OFFSET($H$3,0,0,'Données projet'!$E$13+1,1))</f>
        <v>565.32667500225568</v>
      </c>
      <c r="CZ186" s="59">
        <f t="shared" si="150"/>
        <v>275.06957234480944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0</v>
      </c>
      <c r="DG186" s="21">
        <f>EXP(-LN(2)/25)*DG185+(1-EXP(-LN(2)/25))/(LN(2)/25)*Calculateur!DB186*Calculateur!DD186*VLOOKUP('Données projet'!$B$13,Paramètres!$A$1:$I$89,3,0)*0.475*44/12</f>
        <v>6.299431956557118E-2</v>
      </c>
      <c r="DH186" s="21">
        <f>EXP(-LN(2)/2)*DH185+(1-EXP(-LN(2)/2))/(LN(2)/2)*DB186*DE186*VLOOKUP('Données projet'!$B$13,Paramètres!$A$1:$I$89,3,0)*0.475*44/12</f>
        <v>6.6291060343993214E-23</v>
      </c>
      <c r="DI186" s="22">
        <f t="shared" si="175"/>
        <v>6.299431956557118E-2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69.715377019790452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-1.2505552149377763E-12</v>
      </c>
      <c r="DP186" s="17">
        <f>DO186*VLOOKUP('Données projet'!$B$14,Paramètres!$A$1:$I$89,3,0)*VLOOKUP('Données projet'!$B$14,Paramètres!$A$1:$I$89,5,0)</f>
        <v>-6.9906036515021697E-13</v>
      </c>
      <c r="DQ186" s="13" t="e">
        <f t="shared" si="176"/>
        <v>#NUM!</v>
      </c>
      <c r="DR186" s="20" t="e">
        <f t="shared" si="177"/>
        <v>#NUM!</v>
      </c>
      <c r="DS186" s="59" t="e">
        <f t="shared" si="125"/>
        <v>#NUM!</v>
      </c>
      <c r="DT186" s="59">
        <f ca="1">AVERAGE(OFFSET($DS$3,0,0,'Données projet'!$E$14+1,1))-AVERAGE(OFFSET($H$3,0,0,'Données projet'!$E$14+1,1))</f>
        <v>532.64469322244281</v>
      </c>
      <c r="DU186" s="59">
        <f t="shared" si="152"/>
        <v>525.88014011096413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0.55173401722280346</v>
      </c>
      <c r="EB186" s="21">
        <f>EXP(-LN(2)/25)*EB185+(1-EXP(-LN(2)/25))/(LN(2)/25)*Calculateur!DW186*Calculateur!DY186*VLOOKUP('Données projet'!$B$14,Paramètres!$A$1:$I$89,3,0)*0.475*44/12</f>
        <v>0.5572801644406441</v>
      </c>
      <c r="EC186" s="21">
        <f>EXP(-LN(2)/2)*EC185+(1-EXP(-LN(2)/2))/(LN(2)/2)*DW186*DZ186*VLOOKUP('Données projet'!$B$14,Paramètres!$A$1:$I$89,3,0)*0.475*44/12</f>
        <v>3.4132147771402004E-22</v>
      </c>
      <c r="ED186" s="22">
        <f t="shared" si="178"/>
        <v>1.1090141816634476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69.715377019790452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-1.1368683772161603E-13</v>
      </c>
      <c r="EK186" s="17">
        <f>EJ186*VLOOKUP('Données projet'!$B$15,Paramètres!$A$1:$I$89,3,0)*VLOOKUP('Données projet'!$B$15,Paramètres!$A$1:$I$89,5,0)</f>
        <v>-1.0286385077051818E-13</v>
      </c>
      <c r="EL186" s="13" t="e">
        <f t="shared" si="179"/>
        <v>#NUM!</v>
      </c>
      <c r="EM186" s="20" t="e">
        <f t="shared" si="180"/>
        <v>#NUM!</v>
      </c>
      <c r="EN186" s="59" t="e">
        <f t="shared" si="128"/>
        <v>#NUM!</v>
      </c>
      <c r="EO186" s="59">
        <f ca="1">AVERAGE(OFFSET($EN$3,0,0,'Données projet'!$E$15+1,1))-AVERAGE(OFFSET($H$3,0,0,'Données projet'!$E$15+1,1))</f>
        <v>398.27843768730202</v>
      </c>
      <c r="EP186" s="59">
        <f t="shared" si="154"/>
        <v>252.3617347568813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0</v>
      </c>
      <c r="EW186" s="21">
        <f>EXP(-LN(2)/25)*EW185+(1-EXP(-LN(2)/25))/(LN(2)/25)*Calculateur!ER186*Calculateur!ET186*VLOOKUP('Données projet'!$B$15,Paramètres!$A$1:$I$89,3,0)*0.475*44/12</f>
        <v>4.4656967967650223E-2</v>
      </c>
      <c r="EX186" s="21">
        <f>EXP(-LN(2)/2)*EX185+(1-EXP(-LN(2)/2))/(LN(2)/2)*ER186*EU186*VLOOKUP('Données projet'!$B$15,Paramètres!$A$1:$I$89,3,0)*0.475*44/12</f>
        <v>5.7922890129141075E-23</v>
      </c>
      <c r="EY186" s="22">
        <f t="shared" si="181"/>
        <v>4.4656967967650223E-2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69.715377019790452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-1.1368683772161603E-13</v>
      </c>
      <c r="FF186" s="17">
        <f>FE186*VLOOKUP('Données projet'!$B$16,Paramètres!$A$1:$I$89,3,0)*VLOOKUP('Données projet'!$B$16,Paramètres!$A$1:$I$89,5,0)</f>
        <v>-1.0995790944434703E-13</v>
      </c>
      <c r="FG186" s="13" t="e">
        <f t="shared" si="182"/>
        <v>#NUM!</v>
      </c>
      <c r="FH186" s="20" t="e">
        <f t="shared" si="183"/>
        <v>#NUM!</v>
      </c>
      <c r="FI186" s="59" t="e">
        <f t="shared" si="131"/>
        <v>#NUM!</v>
      </c>
      <c r="FJ186" s="59">
        <f ca="1">AVERAGE(OFFSET($FI$3,0,0,'Données projet'!$E$16+1,1))-AVERAGE(OFFSET($H$3,0,0,'Données projet'!$E$16+1,1))</f>
        <v>422.28024471365825</v>
      </c>
      <c r="FK186" s="59">
        <f t="shared" si="156"/>
        <v>266.49730479813206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0</v>
      </c>
      <c r="FR186" s="21">
        <f>EXP(-LN(2)/25)*FR185+(1-EXP(-LN(2)/25))/(LN(2)/25)*Calculateur!FM186*Calculateur!FO186*VLOOKUP('Données projet'!$B$16,Paramètres!$A$1:$I$89,3,0)*0.475*44/12</f>
        <v>4.7736758861970874E-2</v>
      </c>
      <c r="FS186" s="21">
        <f>EXP(-LN(2)/2)*FS185+(1-EXP(-LN(2)/2))/(LN(2)/2)*FM186*FP186*VLOOKUP('Données projet'!$B$16,Paramètres!$A$1:$I$89,3,0)*0.475*44/12</f>
        <v>6.1917572207012861E-23</v>
      </c>
      <c r="FT186" s="22">
        <f t="shared" si="184"/>
        <v>4.7736758861970874E-2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69.715377019790452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3.4106051316484809E-13</v>
      </c>
      <c r="GA186" s="17">
        <f>FZ186*VLOOKUP('Données projet'!$B$17,Paramètres!$A$1:$I$89,3,0)*VLOOKUP('Données projet'!$B$17,Paramètres!$A$1:$I$89,5,0)</f>
        <v>2.6602720026858149E-13</v>
      </c>
      <c r="GB186" s="13">
        <f t="shared" si="185"/>
        <v>3.5662905043956649E-12</v>
      </c>
      <c r="GC186" s="20">
        <f t="shared" si="186"/>
        <v>6.6746200022902298E-12</v>
      </c>
      <c r="GD186" s="59">
        <f t="shared" si="134"/>
        <v>292.28971573923832</v>
      </c>
      <c r="GE186" s="59">
        <f ca="1">AVERAGE(OFFSET($GD$3,0,0,'Données projet'!$E$17+1,1))-AVERAGE(OFFSET($H$3,0,0,'Données projet'!$E$17+1,1))</f>
        <v>300.95722646933314</v>
      </c>
      <c r="GF186" s="59">
        <f t="shared" si="158"/>
        <v>269.52365224623759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>
        <f>EXP(-LN(2)/35)*GL185+(1-EXP(-LN(2)/35))/(LN(2)/35)*GH186*GI186*VLOOKUP('Données projet'!$B$17,Paramètres!$A$1:$I$89,3,0)*0.475*44/12</f>
        <v>4.2992261082296222E-2</v>
      </c>
      <c r="GM186" s="21">
        <f>EXP(-LN(2)/25)*GM185+(1-EXP(-LN(2)/25))/(LN(2)/25)*Calculateur!GH186*Calculateur!GJ186*VLOOKUP('Données projet'!$B$17,Paramètres!$A$1:$I$89,3,0)*0.475*44/12</f>
        <v>8.9706099213551341E-2</v>
      </c>
      <c r="GN186" s="21">
        <f>EXP(-LN(2)/2)*GN185+(1-EXP(-LN(2)/2))/(LN(2)/2)*GH186*GK186*VLOOKUP('Données projet'!$B$17,Paramètres!$A$1:$I$89,3,0)*0.475*44/12</f>
        <v>8.2906436752454418E-23</v>
      </c>
      <c r="GO186" s="21">
        <f t="shared" si="187"/>
        <v>0.13269836029584756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69.715377019790452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1.4000000000000001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5.1333333333333337</v>
      </c>
      <c r="H187" s="67">
        <f t="shared" si="110"/>
        <v>236.13333333333335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69.720314592175427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-3.4106051316484809E-13</v>
      </c>
      <c r="O187" s="13">
        <f>N187*VLOOKUP('Données projet'!$B$9,Paramètres!$A$1:$I$89,3,0)*VLOOKUP('Données projet'!$B$9,Paramètres!$A$1:$I$89,5,0)</f>
        <v>-3.0859155231155454E-13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479.46542424895119</v>
      </c>
      <c r="T187" s="59">
        <f t="shared" si="142"/>
        <v>337.96395820277337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0.11408385920303957</v>
      </c>
      <c r="AA187" s="21">
        <f>EXP(-LN(2)/25)*AA186+(1-EXP(-LN(2)/25))/(LN(2)/25)*Calculateur!V187*Calculateur!X187*VLOOKUP('Données projet'!$B$9,Paramètres!$A$1:$I$89,3,0)*0.475*44/12</f>
        <v>0.15778758342474508</v>
      </c>
      <c r="AB187" s="21">
        <f>EXP(-LN(2)/2)*AB186+(1-EXP(-LN(2)/2))/(LN(2)/2)*V187*Y187*VLOOKUP('Données projet'!$B$9,Paramètres!$A$1:$I$89,3,0)*0.475*44/12</f>
        <v>1.4262801852293811E-22</v>
      </c>
      <c r="AC187" s="22">
        <f t="shared" si="163"/>
        <v>0.27187144262778462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69.720314592175427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-3.4106051316484809E-13</v>
      </c>
      <c r="AJ187" s="13">
        <f>AI187*VLOOKUP('Données projet'!$B$10,Paramètres!$A$1:$I$89,3,0)*VLOOKUP('Données projet'!$B$10,Paramètres!$A$1:$I$89,5,0)</f>
        <v>-3.2987372833304104E-13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508.94560627895089</v>
      </c>
      <c r="AO187" s="59">
        <f t="shared" si="144"/>
        <v>357.86868650263034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0.12195171156186993</v>
      </c>
      <c r="AV187" s="21">
        <f>EXP(-LN(2)/25)*AV186+(1-EXP(-LN(2)/25))/(LN(2)/25)*Calculateur!AQ187*Calculateur!AS187*VLOOKUP('Données projet'!$B$10,Paramètres!$A$1:$I$89,3,0)*0.475*44/12</f>
        <v>0.16866948572989984</v>
      </c>
      <c r="AW187" s="21">
        <f>EXP(-LN(2)/2)*AW186+(1-EXP(-LN(2)/2))/(LN(2)/2)*AQ187*AT187*VLOOKUP('Données projet'!$B$10,Paramètres!$A$1:$I$89,3,0)*0.475*44/12</f>
        <v>1.5246443359348486E-22</v>
      </c>
      <c r="AX187" s="21">
        <f t="shared" si="166"/>
        <v>0.29062119729176977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69.720314592175427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1.7053025658242404E-13</v>
      </c>
      <c r="BE187" s="13">
        <f>BD187*VLOOKUP('Données projet'!$B$11,Paramètres!$A$1:$I$89,3,0)*VLOOKUP('Données projet'!$B$11,Paramètres!$A$1:$I$89,5,0)</f>
        <v>1.3301360013429075E-13</v>
      </c>
      <c r="BF187" s="13">
        <f t="shared" si="167"/>
        <v>1.9329766731057041E-12</v>
      </c>
      <c r="BG187" s="20">
        <f t="shared" si="168"/>
        <v>3.5982663925596575E-12</v>
      </c>
      <c r="BH187" s="59">
        <f t="shared" si="116"/>
        <v>292.30782017131349</v>
      </c>
      <c r="BI187" s="59">
        <f ca="1">AVERAGE(OFFSET($BH$3,0,0,'Données projet'!$E$11+1,1))-AVERAGE(OFFSET($H$3,0,0,'Données projet'!$E$11+1,1))</f>
        <v>383.03154033422328</v>
      </c>
      <c r="BJ187" s="59">
        <f t="shared" si="146"/>
        <v>373.27897156169877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6.8492464730888908E-2</v>
      </c>
      <c r="BQ187" s="21">
        <f>EXP(-LN(2)/25)*BQ186+(1-EXP(-LN(2)/25))/(LN(2)/25)*Calculateur!BL187*Calculateur!BN187*VLOOKUP('Données projet'!$B$11,Paramètres!$A$1:$I$89,3,0)*0.475*44/12</f>
        <v>0.11706260198107132</v>
      </c>
      <c r="BR187" s="21">
        <f>EXP(-LN(2)/2)*BR186+(1-EXP(-LN(2)/2))/(LN(2)/2)*BL187*BO187*VLOOKUP('Données projet'!$B$11,Paramètres!$A$1:$I$89,3,0)*0.475*44/12</f>
        <v>8.6497810764723691E-23</v>
      </c>
      <c r="BS187" s="22">
        <f t="shared" si="169"/>
        <v>0.18555506671196023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69.720314592175427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-3.4106051316484809E-13</v>
      </c>
      <c r="BZ187" s="13">
        <f>BY187*VLOOKUP('Données projet'!$B$12,Paramètres!$A$1:$I$89,3,0)*VLOOKUP('Données projet'!$B$12,Paramètres!$A$1:$I$89,5,0)</f>
        <v>-2.8730937629006804E-13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449.94334483948603</v>
      </c>
      <c r="CE187" s="59">
        <f t="shared" si="148"/>
        <v>318.02929110264176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0.10621600684420937</v>
      </c>
      <c r="CL187" s="21">
        <f>EXP(-LN(2)/25)*CL186+(1-EXP(-LN(2)/25))/(LN(2)/25)*Calculateur!CG187*Calculateur!CI187*VLOOKUP('Données projet'!$B$12,Paramètres!$A$1:$I$89,3,0)*0.475*44/12</f>
        <v>0.14690568111959021</v>
      </c>
      <c r="CM187" s="21">
        <f>EXP(-LN(2)/2)*CM186+(1-EXP(-LN(2)/2))/(LN(2)/2)*CG187*CJ187*VLOOKUP('Données projet'!$B$12,Paramètres!$A$1:$I$89,3,0)*0.475*44/12</f>
        <v>1.3279160345239017E-22</v>
      </c>
      <c r="CN187" s="22">
        <f t="shared" si="172"/>
        <v>0.25312168796379958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69.720314592175427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1.1368683772161603E-13</v>
      </c>
      <c r="CU187" s="17">
        <f>CT187*VLOOKUP('Données projet'!$B$13,Paramètres!$A$1:$I$89,3,0)*VLOOKUP('Données projet'!$B$13,Paramètres!$A$1:$I$89,5,0)</f>
        <v>9.7543306765146564E-14</v>
      </c>
      <c r="CV187" s="13">
        <f t="shared" si="173"/>
        <v>1.4696264278629426E-12</v>
      </c>
      <c r="CW187" s="20">
        <f t="shared" si="174"/>
        <v>2.7294872878105889E-12</v>
      </c>
      <c r="CX187" s="59">
        <f t="shared" si="122"/>
        <v>292.30782017131264</v>
      </c>
      <c r="CY187" s="59">
        <f ca="1">AVERAGE(OFFSET($CX$3,0,0,'Données projet'!$E$13+1,1))-AVERAGE(OFFSET($H$3,0,0,'Données projet'!$E$13+1,1))</f>
        <v>565.32667500225568</v>
      </c>
      <c r="CZ187" s="59">
        <f t="shared" si="150"/>
        <v>275.06957234480944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0</v>
      </c>
      <c r="DG187" s="21">
        <f>EXP(-LN(2)/25)*DG186+(1-EXP(-LN(2)/25))/(LN(2)/25)*Calculateur!DB187*Calculateur!DD187*VLOOKUP('Données projet'!$B$13,Paramètres!$A$1:$I$89,3,0)*0.475*44/12</f>
        <v>6.1271736584323347E-2</v>
      </c>
      <c r="DH187" s="21">
        <f>EXP(-LN(2)/2)*DH186+(1-EXP(-LN(2)/2))/(LN(2)/2)*DB187*DE187*VLOOKUP('Données projet'!$B$13,Paramètres!$A$1:$I$89,3,0)*0.475*44/12</f>
        <v>4.6874858301284228E-23</v>
      </c>
      <c r="DI187" s="22">
        <f t="shared" si="175"/>
        <v>6.1271736584323347E-2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69.720314592175427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-1.2505552149377763E-12</v>
      </c>
      <c r="DP187" s="17">
        <f>DO187*VLOOKUP('Données projet'!$B$14,Paramètres!$A$1:$I$89,3,0)*VLOOKUP('Données projet'!$B$14,Paramètres!$A$1:$I$89,5,0)</f>
        <v>-6.9906036515021697E-13</v>
      </c>
      <c r="DQ187" s="13" t="e">
        <f t="shared" si="176"/>
        <v>#NUM!</v>
      </c>
      <c r="DR187" s="20" t="e">
        <f t="shared" si="177"/>
        <v>#NUM!</v>
      </c>
      <c r="DS187" s="59" t="e">
        <f t="shared" si="125"/>
        <v>#NUM!</v>
      </c>
      <c r="DT187" s="59">
        <f ca="1">AVERAGE(OFFSET($DS$3,0,0,'Données projet'!$E$14+1,1))-AVERAGE(OFFSET($H$3,0,0,'Données projet'!$E$14+1,1))</f>
        <v>532.64469322244281</v>
      </c>
      <c r="DU187" s="59">
        <f t="shared" si="152"/>
        <v>525.88014011096413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0.54091484966958581</v>
      </c>
      <c r="EB187" s="21">
        <f>EXP(-LN(2)/25)*EB186+(1-EXP(-LN(2)/25))/(LN(2)/25)*Calculateur!DW187*Calculateur!DY187*VLOOKUP('Données projet'!$B$14,Paramètres!$A$1:$I$89,3,0)*0.475*44/12</f>
        <v>0.54204130903792447</v>
      </c>
      <c r="EC187" s="21">
        <f>EXP(-LN(2)/2)*EC186+(1-EXP(-LN(2)/2))/(LN(2)/2)*DW187*DZ187*VLOOKUP('Données projet'!$B$14,Paramètres!$A$1:$I$89,3,0)*0.475*44/12</f>
        <v>2.4135073145619662E-22</v>
      </c>
      <c r="ED187" s="22">
        <f t="shared" si="178"/>
        <v>1.0829561587075103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69.720314592175427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-1.1368683772161603E-13</v>
      </c>
      <c r="EK187" s="17">
        <f>EJ187*VLOOKUP('Données projet'!$B$15,Paramètres!$A$1:$I$89,3,0)*VLOOKUP('Données projet'!$B$15,Paramètres!$A$1:$I$89,5,0)</f>
        <v>-1.0286385077051818E-13</v>
      </c>
      <c r="EL187" s="13" t="e">
        <f t="shared" si="179"/>
        <v>#NUM!</v>
      </c>
      <c r="EM187" s="20" t="e">
        <f t="shared" si="180"/>
        <v>#NUM!</v>
      </c>
      <c r="EN187" s="59" t="e">
        <f t="shared" si="128"/>
        <v>#NUM!</v>
      </c>
      <c r="EO187" s="59">
        <f ca="1">AVERAGE(OFFSET($EN$3,0,0,'Données projet'!$E$15+1,1))-AVERAGE(OFFSET($H$3,0,0,'Données projet'!$E$15+1,1))</f>
        <v>398.27843768730202</v>
      </c>
      <c r="EP187" s="59">
        <f t="shared" si="154"/>
        <v>252.3617347568813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0</v>
      </c>
      <c r="EW187" s="21">
        <f>EXP(-LN(2)/25)*EW186+(1-EXP(-LN(2)/25))/(LN(2)/25)*Calculateur!ER187*Calculateur!ET187*VLOOKUP('Données projet'!$B$15,Paramètres!$A$1:$I$89,3,0)*0.475*44/12</f>
        <v>4.3435820830166949E-2</v>
      </c>
      <c r="EX187" s="21">
        <f>EXP(-LN(2)/2)*EX186+(1-EXP(-LN(2)/2))/(LN(2)/2)*ER187*EU187*VLOOKUP('Données projet'!$B$15,Paramètres!$A$1:$I$89,3,0)*0.475*44/12</f>
        <v>4.0957668396238992E-23</v>
      </c>
      <c r="EY187" s="22">
        <f t="shared" si="181"/>
        <v>4.3435820830166949E-2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69.720314592175427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-1.1368683772161603E-13</v>
      </c>
      <c r="FF187" s="17">
        <f>FE187*VLOOKUP('Données projet'!$B$16,Paramètres!$A$1:$I$89,3,0)*VLOOKUP('Données projet'!$B$16,Paramètres!$A$1:$I$89,5,0)</f>
        <v>-1.0995790944434703E-13</v>
      </c>
      <c r="FG187" s="13" t="e">
        <f t="shared" si="182"/>
        <v>#NUM!</v>
      </c>
      <c r="FH187" s="20" t="e">
        <f t="shared" si="183"/>
        <v>#NUM!</v>
      </c>
      <c r="FI187" s="59" t="e">
        <f t="shared" si="131"/>
        <v>#NUM!</v>
      </c>
      <c r="FJ187" s="59">
        <f ca="1">AVERAGE(OFFSET($FI$3,0,0,'Données projet'!$E$16+1,1))-AVERAGE(OFFSET($H$3,0,0,'Données projet'!$E$16+1,1))</f>
        <v>422.28024471365825</v>
      </c>
      <c r="FK187" s="59">
        <f t="shared" si="156"/>
        <v>266.49730479813206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0</v>
      </c>
      <c r="FR187" s="21">
        <f>EXP(-LN(2)/25)*FR186+(1-EXP(-LN(2)/25))/(LN(2)/25)*Calculateur!FM187*Calculateur!FO187*VLOOKUP('Données projet'!$B$16,Paramètres!$A$1:$I$89,3,0)*0.475*44/12</f>
        <v>4.6431394680523236E-2</v>
      </c>
      <c r="FS187" s="21">
        <f>EXP(-LN(2)/2)*FS186+(1-EXP(-LN(2)/2))/(LN(2)/2)*FM187*FP187*VLOOKUP('Données projet'!$B$16,Paramètres!$A$1:$I$89,3,0)*0.475*44/12</f>
        <v>4.3782335182186501E-23</v>
      </c>
      <c r="FT187" s="22">
        <f t="shared" si="184"/>
        <v>4.6431394680523236E-2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69.720314592175427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3.4106051316484809E-13</v>
      </c>
      <c r="GA187" s="17">
        <f>FZ187*VLOOKUP('Données projet'!$B$17,Paramètres!$A$1:$I$89,3,0)*VLOOKUP('Données projet'!$B$17,Paramètres!$A$1:$I$89,5,0)</f>
        <v>2.6602720026858149E-13</v>
      </c>
      <c r="GB187" s="13">
        <f t="shared" si="185"/>
        <v>3.5662905043956649E-12</v>
      </c>
      <c r="GC187" s="20">
        <f t="shared" si="186"/>
        <v>6.6746200022902298E-12</v>
      </c>
      <c r="GD187" s="59">
        <f t="shared" si="134"/>
        <v>292.30782017131656</v>
      </c>
      <c r="GE187" s="59">
        <f ca="1">AVERAGE(OFFSET($GD$3,0,0,'Données projet'!$E$17+1,1))-AVERAGE(OFFSET($H$3,0,0,'Données projet'!$E$17+1,1))</f>
        <v>300.95722646933314</v>
      </c>
      <c r="GF187" s="59">
        <f t="shared" si="158"/>
        <v>269.52365224623759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>
        <f>EXP(-LN(2)/35)*GL186+(1-EXP(-LN(2)/35))/(LN(2)/35)*GH187*GI187*VLOOKUP('Données projet'!$B$17,Paramètres!$A$1:$I$89,3,0)*0.475*44/12</f>
        <v>4.2149209065162375E-2</v>
      </c>
      <c r="GM187" s="21">
        <f>EXP(-LN(2)/25)*GM186+(1-EXP(-LN(2)/25))/(LN(2)/25)*Calculateur!GH187*Calculateur!GJ187*VLOOKUP('Données projet'!$B$17,Paramètres!$A$1:$I$89,3,0)*0.475*44/12</f>
        <v>8.7253081213118047E-2</v>
      </c>
      <c r="GN187" s="21">
        <f>EXP(-LN(2)/2)*GN186+(1-EXP(-LN(2)/2))/(LN(2)/2)*GH187*GK187*VLOOKUP('Données projet'!$B$17,Paramètres!$A$1:$I$89,3,0)*0.475*44/12</f>
        <v>5.8623703631674127E-23</v>
      </c>
      <c r="GO187" s="21">
        <f t="shared" si="187"/>
        <v>0.12940229027828043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69.720314592175427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1.4000000000000001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5.1333333333333337</v>
      </c>
      <c r="H188" s="67">
        <f t="shared" si="110"/>
        <v>236.13333333333335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69.725166508718289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-3.4106051316484809E-13</v>
      </c>
      <c r="O188" s="13">
        <f>N188*VLOOKUP('Données projet'!$B$9,Paramètres!$A$1:$I$89,3,0)*VLOOKUP('Données projet'!$B$9,Paramètres!$A$1:$I$89,5,0)</f>
        <v>-3.0859155231155454E-13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479.46542424895119</v>
      </c>
      <c r="T188" s="59">
        <f t="shared" si="142"/>
        <v>337.96395820277337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0.1118467443083512</v>
      </c>
      <c r="AA188" s="21">
        <f>EXP(-LN(2)/25)*AA187+(1-EXP(-LN(2)/25))/(LN(2)/25)*Calculateur!V188*Calculateur!X188*VLOOKUP('Données projet'!$B$9,Paramètres!$A$1:$I$89,3,0)*0.475*44/12</f>
        <v>0.15347287365830703</v>
      </c>
      <c r="AB188" s="21">
        <f>EXP(-LN(2)/2)*AB187+(1-EXP(-LN(2)/2))/(LN(2)/2)*V188*Y188*VLOOKUP('Données projet'!$B$9,Paramètres!$A$1:$I$89,3,0)*0.475*44/12</f>
        <v>1.0085323908477004E-22</v>
      </c>
      <c r="AC188" s="22">
        <f t="shared" si="163"/>
        <v>0.26531961796665826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69.725166508718289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-3.4106051316484809E-13</v>
      </c>
      <c r="AJ188" s="13">
        <f>AI188*VLOOKUP('Données projet'!$B$10,Paramètres!$A$1:$I$89,3,0)*VLOOKUP('Données projet'!$B$10,Paramètres!$A$1:$I$89,5,0)</f>
        <v>-3.2987372833304104E-13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508.94560627895089</v>
      </c>
      <c r="AO188" s="59">
        <f t="shared" si="144"/>
        <v>357.86868650263034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0.11956031288134099</v>
      </c>
      <c r="AV188" s="21">
        <f>EXP(-LN(2)/25)*AV187+(1-EXP(-LN(2)/25))/(LN(2)/25)*Calculateur!AQ188*Calculateur!AS188*VLOOKUP('Données projet'!$B$10,Paramètres!$A$1:$I$89,3,0)*0.475*44/12</f>
        <v>0.16405720977267296</v>
      </c>
      <c r="AW188" s="21">
        <f>EXP(-LN(2)/2)*AW187+(1-EXP(-LN(2)/2))/(LN(2)/2)*AQ188*AT188*VLOOKUP('Données projet'!$B$10,Paramètres!$A$1:$I$89,3,0)*0.475*44/12</f>
        <v>1.078086348837192E-22</v>
      </c>
      <c r="AX188" s="21">
        <f t="shared" si="166"/>
        <v>0.28361752265401396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69.725166508718289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1.7053025658242404E-13</v>
      </c>
      <c r="BE188" s="13">
        <f>BD188*VLOOKUP('Données projet'!$B$11,Paramètres!$A$1:$I$89,3,0)*VLOOKUP('Données projet'!$B$11,Paramètres!$A$1:$I$89,5,0)</f>
        <v>1.3301360013429075E-13</v>
      </c>
      <c r="BF188" s="13">
        <f t="shared" si="167"/>
        <v>1.9329766731057041E-12</v>
      </c>
      <c r="BG188" s="20">
        <f t="shared" si="168"/>
        <v>3.5982663925596575E-12</v>
      </c>
      <c r="BH188" s="59">
        <f t="shared" si="116"/>
        <v>292.32561053197065</v>
      </c>
      <c r="BI188" s="59">
        <f ca="1">AVERAGE(OFFSET($BH$3,0,0,'Données projet'!$E$11+1,1))-AVERAGE(OFFSET($H$3,0,0,'Données projet'!$E$11+1,1))</f>
        <v>383.03154033422328</v>
      </c>
      <c r="BJ188" s="59">
        <f t="shared" si="146"/>
        <v>373.27897156169877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6.7149369273794599E-2</v>
      </c>
      <c r="BQ188" s="21">
        <f>EXP(-LN(2)/25)*BQ187+(1-EXP(-LN(2)/25))/(LN(2)/25)*Calculateur!BL188*Calculateur!BN188*VLOOKUP('Données projet'!$B$11,Paramètres!$A$1:$I$89,3,0)*0.475*44/12</f>
        <v>0.11386151897384424</v>
      </c>
      <c r="BR188" s="21">
        <f>EXP(-LN(2)/2)*BR187+(1-EXP(-LN(2)/2))/(LN(2)/2)*BL188*BO188*VLOOKUP('Données projet'!$B$11,Paramètres!$A$1:$I$89,3,0)*0.475*44/12</f>
        <v>6.1163188549526869E-23</v>
      </c>
      <c r="BS188" s="22">
        <f t="shared" si="169"/>
        <v>0.18101088824763883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69.725166508718289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-3.4106051316484809E-13</v>
      </c>
      <c r="BZ188" s="13">
        <f>BY188*VLOOKUP('Données projet'!$B$12,Paramètres!$A$1:$I$89,3,0)*VLOOKUP('Données projet'!$B$12,Paramètres!$A$1:$I$89,5,0)</f>
        <v>-2.8730937629006804E-13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449.94334483948603</v>
      </c>
      <c r="CE188" s="59">
        <f t="shared" si="148"/>
        <v>318.02929110264176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0.10413317573536157</v>
      </c>
      <c r="CL188" s="21">
        <f>EXP(-LN(2)/25)*CL187+(1-EXP(-LN(2)/25))/(LN(2)/25)*Calculateur!CG188*Calculateur!CI188*VLOOKUP('Données projet'!$B$12,Paramètres!$A$1:$I$89,3,0)*0.475*44/12</f>
        <v>0.14288853754394101</v>
      </c>
      <c r="CM188" s="21">
        <f>EXP(-LN(2)/2)*CM187+(1-EXP(-LN(2)/2))/(LN(2)/2)*CG188*CJ188*VLOOKUP('Données projet'!$B$12,Paramètres!$A$1:$I$89,3,0)*0.475*44/12</f>
        <v>9.3897843285820049E-23</v>
      </c>
      <c r="CN188" s="22">
        <f t="shared" si="172"/>
        <v>0.24702171327930258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69.725166508718289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1.1368683772161603E-13</v>
      </c>
      <c r="CU188" s="17">
        <f>CT188*VLOOKUP('Données projet'!$B$13,Paramètres!$A$1:$I$89,3,0)*VLOOKUP('Données projet'!$B$13,Paramètres!$A$1:$I$89,5,0)</f>
        <v>9.7543306765146564E-14</v>
      </c>
      <c r="CV188" s="13">
        <f t="shared" si="173"/>
        <v>1.4696264278629426E-12</v>
      </c>
      <c r="CW188" s="20">
        <f t="shared" si="174"/>
        <v>2.7294872878105889E-12</v>
      </c>
      <c r="CX188" s="59">
        <f t="shared" si="122"/>
        <v>292.3256105319698</v>
      </c>
      <c r="CY188" s="59">
        <f ca="1">AVERAGE(OFFSET($CX$3,0,0,'Données projet'!$E$13+1,1))-AVERAGE(OFFSET($H$3,0,0,'Données projet'!$E$13+1,1))</f>
        <v>565.32667500225568</v>
      </c>
      <c r="CZ188" s="59">
        <f t="shared" si="150"/>
        <v>275.06957234480944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0</v>
      </c>
      <c r="DG188" s="21">
        <f>EXP(-LN(2)/25)*DG187+(1-EXP(-LN(2)/25))/(LN(2)/25)*Calculateur!DB188*Calculateur!DD188*VLOOKUP('Données projet'!$B$13,Paramètres!$A$1:$I$89,3,0)*0.475*44/12</f>
        <v>5.9596257725284436E-2</v>
      </c>
      <c r="DH188" s="21">
        <f>EXP(-LN(2)/2)*DH187+(1-EXP(-LN(2)/2))/(LN(2)/2)*DB188*DE188*VLOOKUP('Données projet'!$B$13,Paramètres!$A$1:$I$89,3,0)*0.475*44/12</f>
        <v>3.3145530171996607E-23</v>
      </c>
      <c r="DI188" s="22">
        <f t="shared" si="175"/>
        <v>5.9596257725284436E-2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69.725166508718289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-1.2505552149377763E-12</v>
      </c>
      <c r="DP188" s="17">
        <f>DO188*VLOOKUP('Données projet'!$B$14,Paramètres!$A$1:$I$89,3,0)*VLOOKUP('Données projet'!$B$14,Paramètres!$A$1:$I$89,5,0)</f>
        <v>-6.9906036515021697E-13</v>
      </c>
      <c r="DQ188" s="13" t="e">
        <f t="shared" si="176"/>
        <v>#NUM!</v>
      </c>
      <c r="DR188" s="20" t="e">
        <f t="shared" si="177"/>
        <v>#NUM!</v>
      </c>
      <c r="DS188" s="59" t="e">
        <f t="shared" si="125"/>
        <v>#NUM!</v>
      </c>
      <c r="DT188" s="59">
        <f ca="1">AVERAGE(OFFSET($DS$3,0,0,'Données projet'!$E$14+1,1))-AVERAGE(OFFSET($H$3,0,0,'Données projet'!$E$14+1,1))</f>
        <v>532.64469322244281</v>
      </c>
      <c r="DU188" s="59">
        <f t="shared" si="152"/>
        <v>525.88014011096413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0.53030783939304604</v>
      </c>
      <c r="EB188" s="21">
        <f>EXP(-LN(2)/25)*EB187+(1-EXP(-LN(2)/25))/(LN(2)/25)*Calculateur!DW188*Calculateur!DY188*VLOOKUP('Données projet'!$B$14,Paramètres!$A$1:$I$89,3,0)*0.475*44/12</f>
        <v>0.52721916093756882</v>
      </c>
      <c r="EC188" s="21">
        <f>EXP(-LN(2)/2)*EC187+(1-EXP(-LN(2)/2))/(LN(2)/2)*DW188*DZ188*VLOOKUP('Données projet'!$B$14,Paramètres!$A$1:$I$89,3,0)*0.475*44/12</f>
        <v>1.7066073885701002E-22</v>
      </c>
      <c r="ED188" s="22">
        <f t="shared" si="178"/>
        <v>1.057527000330615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69.725166508718289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-1.1368683772161603E-13</v>
      </c>
      <c r="EK188" s="17">
        <f>EJ188*VLOOKUP('Données projet'!$B$15,Paramètres!$A$1:$I$89,3,0)*VLOOKUP('Données projet'!$B$15,Paramètres!$A$1:$I$89,5,0)</f>
        <v>-1.0286385077051818E-13</v>
      </c>
      <c r="EL188" s="13" t="e">
        <f t="shared" si="179"/>
        <v>#NUM!</v>
      </c>
      <c r="EM188" s="20" t="e">
        <f t="shared" si="180"/>
        <v>#NUM!</v>
      </c>
      <c r="EN188" s="59" t="e">
        <f t="shared" si="128"/>
        <v>#NUM!</v>
      </c>
      <c r="EO188" s="59">
        <f ca="1">AVERAGE(OFFSET($EN$3,0,0,'Données projet'!$E$15+1,1))-AVERAGE(OFFSET($H$3,0,0,'Données projet'!$E$15+1,1))</f>
        <v>398.27843768730202</v>
      </c>
      <c r="EP188" s="59">
        <f t="shared" si="154"/>
        <v>252.3617347568813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0</v>
      </c>
      <c r="EW188" s="21">
        <f>EXP(-LN(2)/25)*EW187+(1-EXP(-LN(2)/25))/(LN(2)/25)*Calculateur!ER188*Calculateur!ET188*VLOOKUP('Données projet'!$B$15,Paramètres!$A$1:$I$89,3,0)*0.475*44/12</f>
        <v>4.2248066025375487E-2</v>
      </c>
      <c r="EX188" s="21">
        <f>EXP(-LN(2)/2)*EX187+(1-EXP(-LN(2)/2))/(LN(2)/2)*ER188*EU188*VLOOKUP('Données projet'!$B$15,Paramètres!$A$1:$I$89,3,0)*0.475*44/12</f>
        <v>2.8961445064570538E-23</v>
      </c>
      <c r="EY188" s="22">
        <f t="shared" si="181"/>
        <v>4.2248066025375487E-2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69.725166508718289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-1.1368683772161603E-13</v>
      </c>
      <c r="FF188" s="17">
        <f>FE188*VLOOKUP('Données projet'!$B$16,Paramètres!$A$1:$I$89,3,0)*VLOOKUP('Données projet'!$B$16,Paramètres!$A$1:$I$89,5,0)</f>
        <v>-1.0995790944434703E-13</v>
      </c>
      <c r="FG188" s="13" t="e">
        <f t="shared" si="182"/>
        <v>#NUM!</v>
      </c>
      <c r="FH188" s="20" t="e">
        <f t="shared" si="183"/>
        <v>#NUM!</v>
      </c>
      <c r="FI188" s="59" t="e">
        <f t="shared" si="131"/>
        <v>#NUM!</v>
      </c>
      <c r="FJ188" s="59">
        <f ca="1">AVERAGE(OFFSET($FI$3,0,0,'Données projet'!$E$16+1,1))-AVERAGE(OFFSET($H$3,0,0,'Données projet'!$E$16+1,1))</f>
        <v>422.28024471365825</v>
      </c>
      <c r="FK188" s="59">
        <f t="shared" si="156"/>
        <v>266.49730479813206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0</v>
      </c>
      <c r="FR188" s="21">
        <f>EXP(-LN(2)/25)*FR187+(1-EXP(-LN(2)/25))/(LN(2)/25)*Calculateur!FM188*Calculateur!FO188*VLOOKUP('Données projet'!$B$16,Paramètres!$A$1:$I$89,3,0)*0.475*44/12</f>
        <v>4.5161725751263405E-2</v>
      </c>
      <c r="FS188" s="21">
        <f>EXP(-LN(2)/2)*FS187+(1-EXP(-LN(2)/2))/(LN(2)/2)*FM188*FP188*VLOOKUP('Données projet'!$B$16,Paramètres!$A$1:$I$89,3,0)*0.475*44/12</f>
        <v>3.0958786103506431E-23</v>
      </c>
      <c r="FT188" s="22">
        <f t="shared" si="184"/>
        <v>4.5161725751263405E-2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69.725166508718289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3.4106051316484809E-13</v>
      </c>
      <c r="GA188" s="17">
        <f>FZ188*VLOOKUP('Données projet'!$B$17,Paramètres!$A$1:$I$89,3,0)*VLOOKUP('Données projet'!$B$17,Paramètres!$A$1:$I$89,5,0)</f>
        <v>2.6602720026858149E-13</v>
      </c>
      <c r="GB188" s="13">
        <f t="shared" si="185"/>
        <v>3.5662905043956649E-12</v>
      </c>
      <c r="GC188" s="20">
        <f t="shared" si="186"/>
        <v>6.6746200022902298E-12</v>
      </c>
      <c r="GD188" s="59">
        <f t="shared" si="134"/>
        <v>292.32561053197372</v>
      </c>
      <c r="GE188" s="59">
        <f ca="1">AVERAGE(OFFSET($GD$3,0,0,'Données projet'!$E$17+1,1))-AVERAGE(OFFSET($H$3,0,0,'Données projet'!$E$17+1,1))</f>
        <v>300.95722646933314</v>
      </c>
      <c r="GF188" s="59">
        <f t="shared" si="158"/>
        <v>269.52365224623759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>
        <f>EXP(-LN(2)/35)*GL187+(1-EXP(-LN(2)/35))/(LN(2)/35)*GH188*GI188*VLOOKUP('Données projet'!$B$17,Paramètres!$A$1:$I$89,3,0)*0.475*44/12</f>
        <v>4.1322688783873567E-2</v>
      </c>
      <c r="GM188" s="21">
        <f>EXP(-LN(2)/25)*GM187+(1-EXP(-LN(2)/25))/(LN(2)/25)*Calculateur!GH188*Calculateur!GJ188*VLOOKUP('Données projet'!$B$17,Paramètres!$A$1:$I$89,3,0)*0.475*44/12</f>
        <v>8.4867141118905212E-2</v>
      </c>
      <c r="GN188" s="21">
        <f>EXP(-LN(2)/2)*GN187+(1-EXP(-LN(2)/2))/(LN(2)/2)*GH188*GK188*VLOOKUP('Données projet'!$B$17,Paramètres!$A$1:$I$89,3,0)*0.475*44/12</f>
        <v>4.1453218376227209E-23</v>
      </c>
      <c r="GO188" s="21">
        <f t="shared" si="187"/>
        <v>0.12618982990277877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69.725166508718289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1.4000000000000001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5.1333333333333337</v>
      </c>
      <c r="H189" s="67">
        <f t="shared" si="110"/>
        <v>236.13333333333335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69.729934255356383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-3.4106051316484809E-13</v>
      </c>
      <c r="O189" s="13">
        <f>N189*VLOOKUP('Données projet'!$B$9,Paramètres!$A$1:$I$89,3,0)*VLOOKUP('Données projet'!$B$9,Paramètres!$A$1:$I$89,5,0)</f>
        <v>-3.0859155231155454E-13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479.46542424895119</v>
      </c>
      <c r="T189" s="59">
        <f t="shared" si="142"/>
        <v>337.96395820277337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0.10965349787224232</v>
      </c>
      <c r="AA189" s="21">
        <f>EXP(-LN(2)/25)*AA188+(1-EXP(-LN(2)/25))/(LN(2)/25)*Calculateur!V189*Calculateur!X189*VLOOKUP('Données projet'!$B$9,Paramètres!$A$1:$I$89,3,0)*0.475*44/12</f>
        <v>0.14927614985733295</v>
      </c>
      <c r="AB189" s="21">
        <f>EXP(-LN(2)/2)*AB188+(1-EXP(-LN(2)/2))/(LN(2)/2)*V189*Y189*VLOOKUP('Données projet'!$B$9,Paramètres!$A$1:$I$89,3,0)*0.475*44/12</f>
        <v>7.1314009261469053E-23</v>
      </c>
      <c r="AC189" s="22">
        <f t="shared" si="163"/>
        <v>0.25892964772957527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69.729934255356383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-3.4106051316484809E-13</v>
      </c>
      <c r="AJ189" s="13">
        <f>AI189*VLOOKUP('Données projet'!$B$10,Paramètres!$A$1:$I$89,3,0)*VLOOKUP('Données projet'!$B$10,Paramètres!$A$1:$I$89,5,0)</f>
        <v>-3.2987372833304104E-13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508.94560627895089</v>
      </c>
      <c r="AO189" s="59">
        <f t="shared" si="144"/>
        <v>357.86868650263034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0.11721580807032804</v>
      </c>
      <c r="AV189" s="21">
        <f>EXP(-LN(2)/25)*AV188+(1-EXP(-LN(2)/25))/(LN(2)/25)*Calculateur!AQ189*Calculateur!AS189*VLOOKUP('Données projet'!$B$10,Paramètres!$A$1:$I$89,3,0)*0.475*44/12</f>
        <v>0.15957105674404551</v>
      </c>
      <c r="AW189" s="21">
        <f>EXP(-LN(2)/2)*AW188+(1-EXP(-LN(2)/2))/(LN(2)/2)*AQ189*AT189*VLOOKUP('Données projet'!$B$10,Paramètres!$A$1:$I$89,3,0)*0.475*44/12</f>
        <v>7.6232216796742431E-23</v>
      </c>
      <c r="AX189" s="21">
        <f t="shared" si="166"/>
        <v>0.27678686481437353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69.729934255356383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1.7053025658242404E-13</v>
      </c>
      <c r="BE189" s="13">
        <f>BD189*VLOOKUP('Données projet'!$B$11,Paramètres!$A$1:$I$89,3,0)*VLOOKUP('Données projet'!$B$11,Paramètres!$A$1:$I$89,5,0)</f>
        <v>1.3301360013429075E-13</v>
      </c>
      <c r="BF189" s="13">
        <f t="shared" si="167"/>
        <v>1.9329766731057041E-12</v>
      </c>
      <c r="BG189" s="20">
        <f t="shared" si="168"/>
        <v>3.5982663925596575E-12</v>
      </c>
      <c r="BH189" s="59">
        <f t="shared" si="116"/>
        <v>292.34309226964365</v>
      </c>
      <c r="BI189" s="59">
        <f ca="1">AVERAGE(OFFSET($BH$3,0,0,'Données projet'!$E$11+1,1))-AVERAGE(OFFSET($H$3,0,0,'Données projet'!$E$11+1,1))</f>
        <v>383.03154033422328</v>
      </c>
      <c r="BJ189" s="59">
        <f t="shared" si="146"/>
        <v>373.27897156169877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6.5832611099406566E-2</v>
      </c>
      <c r="BQ189" s="21">
        <f>EXP(-LN(2)/25)*BQ188+(1-EXP(-LN(2)/25))/(LN(2)/25)*Calculateur!BL189*Calculateur!BN189*VLOOKUP('Données projet'!$B$11,Paramètres!$A$1:$I$89,3,0)*0.475*44/12</f>
        <v>0.11074796974978741</v>
      </c>
      <c r="BR189" s="21">
        <f>EXP(-LN(2)/2)*BR188+(1-EXP(-LN(2)/2))/(LN(2)/2)*BL189*BO189*VLOOKUP('Données projet'!$B$11,Paramètres!$A$1:$I$89,3,0)*0.475*44/12</f>
        <v>4.3248905382361846E-23</v>
      </c>
      <c r="BS189" s="22">
        <f t="shared" si="169"/>
        <v>0.17658058084919398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69.729934255356383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-3.4106051316484809E-13</v>
      </c>
      <c r="BZ189" s="13">
        <f>BY189*VLOOKUP('Données projet'!$B$12,Paramètres!$A$1:$I$89,3,0)*VLOOKUP('Données projet'!$B$12,Paramètres!$A$1:$I$89,5,0)</f>
        <v>-2.8730937629006804E-13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449.94334483948603</v>
      </c>
      <c r="CE189" s="59">
        <f t="shared" si="148"/>
        <v>318.02929110264176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0.10209118767415674</v>
      </c>
      <c r="CL189" s="21">
        <f>EXP(-LN(2)/25)*CL188+(1-EXP(-LN(2)/25))/(LN(2)/25)*Calculateur!CG189*Calculateur!CI189*VLOOKUP('Données projet'!$B$12,Paramètres!$A$1:$I$89,3,0)*0.475*44/12</f>
        <v>0.13898124297062034</v>
      </c>
      <c r="CM189" s="21">
        <f>EXP(-LN(2)/2)*CM188+(1-EXP(-LN(2)/2))/(LN(2)/2)*CG189*CJ189*VLOOKUP('Données projet'!$B$12,Paramètres!$A$1:$I$89,3,0)*0.475*44/12</f>
        <v>6.6395801726195087E-23</v>
      </c>
      <c r="CN189" s="22">
        <f t="shared" si="172"/>
        <v>0.24107243064477707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69.729934255356383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1.1368683772161603E-13</v>
      </c>
      <c r="CU189" s="17">
        <f>CT189*VLOOKUP('Données projet'!$B$13,Paramètres!$A$1:$I$89,3,0)*VLOOKUP('Données projet'!$B$13,Paramètres!$A$1:$I$89,5,0)</f>
        <v>9.7543306765146564E-14</v>
      </c>
      <c r="CV189" s="13">
        <f t="shared" si="173"/>
        <v>1.4696264278629426E-12</v>
      </c>
      <c r="CW189" s="20">
        <f t="shared" si="174"/>
        <v>2.7294872878105889E-12</v>
      </c>
      <c r="CX189" s="59">
        <f t="shared" si="122"/>
        <v>292.3430922696428</v>
      </c>
      <c r="CY189" s="59">
        <f ca="1">AVERAGE(OFFSET($CX$3,0,0,'Données projet'!$E$13+1,1))-AVERAGE(OFFSET($H$3,0,0,'Données projet'!$E$13+1,1))</f>
        <v>565.32667500225568</v>
      </c>
      <c r="CZ189" s="59">
        <f t="shared" si="150"/>
        <v>275.06957234480944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0</v>
      </c>
      <c r="DG189" s="21">
        <f>EXP(-LN(2)/25)*DG188+(1-EXP(-LN(2)/25))/(LN(2)/25)*Calculateur!DB189*Calculateur!DD189*VLOOKUP('Données projet'!$B$13,Paramètres!$A$1:$I$89,3,0)*0.475*44/12</f>
        <v>5.7966594923755548E-2</v>
      </c>
      <c r="DH189" s="21">
        <f>EXP(-LN(2)/2)*DH188+(1-EXP(-LN(2)/2))/(LN(2)/2)*DB189*DE189*VLOOKUP('Données projet'!$B$13,Paramètres!$A$1:$I$89,3,0)*0.475*44/12</f>
        <v>2.3437429150642114E-23</v>
      </c>
      <c r="DI189" s="22">
        <f t="shared" si="175"/>
        <v>5.7966594923755548E-2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69.729934255356383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-1.2505552149377763E-12</v>
      </c>
      <c r="DP189" s="17">
        <f>DO189*VLOOKUP('Données projet'!$B$14,Paramètres!$A$1:$I$89,3,0)*VLOOKUP('Données projet'!$B$14,Paramètres!$A$1:$I$89,5,0)</f>
        <v>-6.9906036515021697E-13</v>
      </c>
      <c r="DQ189" s="13" t="e">
        <f t="shared" si="176"/>
        <v>#NUM!</v>
      </c>
      <c r="DR189" s="20" t="e">
        <f t="shared" si="177"/>
        <v>#NUM!</v>
      </c>
      <c r="DS189" s="59" t="e">
        <f t="shared" si="125"/>
        <v>#NUM!</v>
      </c>
      <c r="DT189" s="59">
        <f ca="1">AVERAGE(OFFSET($DS$3,0,0,'Données projet'!$E$14+1,1))-AVERAGE(OFFSET($H$3,0,0,'Données projet'!$E$14+1,1))</f>
        <v>532.64469322244281</v>
      </c>
      <c r="DU189" s="59">
        <f t="shared" si="152"/>
        <v>525.88014011096413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0.51990882611839184</v>
      </c>
      <c r="EB189" s="21">
        <f>EXP(-LN(2)/25)*EB188+(1-EXP(-LN(2)/25))/(LN(2)/25)*Calculateur!DW189*Calculateur!DY189*VLOOKUP('Données projet'!$B$14,Paramètres!$A$1:$I$89,3,0)*0.475*44/12</f>
        <v>0.51280232525648028</v>
      </c>
      <c r="EC189" s="21">
        <f>EXP(-LN(2)/2)*EC188+(1-EXP(-LN(2)/2))/(LN(2)/2)*DW189*DZ189*VLOOKUP('Données projet'!$B$14,Paramètres!$A$1:$I$89,3,0)*0.475*44/12</f>
        <v>1.2067536572809831E-22</v>
      </c>
      <c r="ED189" s="22">
        <f t="shared" si="178"/>
        <v>1.0327111513748721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69.729934255356383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-1.1368683772161603E-13</v>
      </c>
      <c r="EK189" s="17">
        <f>EJ189*VLOOKUP('Données projet'!$B$15,Paramètres!$A$1:$I$89,3,0)*VLOOKUP('Données projet'!$B$15,Paramètres!$A$1:$I$89,5,0)</f>
        <v>-1.0286385077051818E-13</v>
      </c>
      <c r="EL189" s="13" t="e">
        <f t="shared" si="179"/>
        <v>#NUM!</v>
      </c>
      <c r="EM189" s="20" t="e">
        <f t="shared" si="180"/>
        <v>#NUM!</v>
      </c>
      <c r="EN189" s="59" t="e">
        <f t="shared" si="128"/>
        <v>#NUM!</v>
      </c>
      <c r="EO189" s="59">
        <f ca="1">AVERAGE(OFFSET($EN$3,0,0,'Données projet'!$E$15+1,1))-AVERAGE(OFFSET($H$3,0,0,'Données projet'!$E$15+1,1))</f>
        <v>398.27843768730202</v>
      </c>
      <c r="EP189" s="59">
        <f t="shared" si="154"/>
        <v>252.3617347568813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0</v>
      </c>
      <c r="EW189" s="21">
        <f>EXP(-LN(2)/25)*EW188+(1-EXP(-LN(2)/25))/(LN(2)/25)*Calculateur!ER189*Calculateur!ET189*VLOOKUP('Données projet'!$B$15,Paramètres!$A$1:$I$89,3,0)*0.475*44/12</f>
        <v>4.1092790438182362E-2</v>
      </c>
      <c r="EX189" s="21">
        <f>EXP(-LN(2)/2)*EX188+(1-EXP(-LN(2)/2))/(LN(2)/2)*ER189*EU189*VLOOKUP('Données projet'!$B$15,Paramètres!$A$1:$I$89,3,0)*0.475*44/12</f>
        <v>2.0478834198119496E-23</v>
      </c>
      <c r="EY189" s="22">
        <f t="shared" si="181"/>
        <v>4.1092790438182362E-2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69.729934255356383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-1.1368683772161603E-13</v>
      </c>
      <c r="FF189" s="17">
        <f>FE189*VLOOKUP('Données projet'!$B$16,Paramètres!$A$1:$I$89,3,0)*VLOOKUP('Données projet'!$B$16,Paramètres!$A$1:$I$89,5,0)</f>
        <v>-1.0995790944434703E-13</v>
      </c>
      <c r="FG189" s="13" t="e">
        <f t="shared" si="182"/>
        <v>#NUM!</v>
      </c>
      <c r="FH189" s="20" t="e">
        <f t="shared" si="183"/>
        <v>#NUM!</v>
      </c>
      <c r="FI189" s="59" t="e">
        <f t="shared" si="131"/>
        <v>#NUM!</v>
      </c>
      <c r="FJ189" s="59">
        <f ca="1">AVERAGE(OFFSET($FI$3,0,0,'Données projet'!$E$16+1,1))-AVERAGE(OFFSET($H$3,0,0,'Données projet'!$E$16+1,1))</f>
        <v>422.28024471365825</v>
      </c>
      <c r="FK189" s="59">
        <f t="shared" si="156"/>
        <v>266.49730479813206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0</v>
      </c>
      <c r="FR189" s="21">
        <f>EXP(-LN(2)/25)*FR188+(1-EXP(-LN(2)/25))/(LN(2)/25)*Calculateur!FM189*Calculateur!FO189*VLOOKUP('Données projet'!$B$16,Paramètres!$A$1:$I$89,3,0)*0.475*44/12</f>
        <v>4.3926775985643166E-2</v>
      </c>
      <c r="FS189" s="21">
        <f>EXP(-LN(2)/2)*FS188+(1-EXP(-LN(2)/2))/(LN(2)/2)*FM189*FP189*VLOOKUP('Données projet'!$B$16,Paramètres!$A$1:$I$89,3,0)*0.475*44/12</f>
        <v>2.189116759109325E-23</v>
      </c>
      <c r="FT189" s="22">
        <f t="shared" si="184"/>
        <v>4.3926775985643166E-2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69.729934255356383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3.4106051316484809E-13</v>
      </c>
      <c r="GA189" s="17">
        <f>FZ189*VLOOKUP('Données projet'!$B$17,Paramètres!$A$1:$I$89,3,0)*VLOOKUP('Données projet'!$B$17,Paramètres!$A$1:$I$89,5,0)</f>
        <v>2.6602720026858149E-13</v>
      </c>
      <c r="GB189" s="13">
        <f t="shared" si="185"/>
        <v>3.5662905043956649E-12</v>
      </c>
      <c r="GC189" s="20">
        <f t="shared" si="186"/>
        <v>6.6746200022902298E-12</v>
      </c>
      <c r="GD189" s="59">
        <f t="shared" si="134"/>
        <v>292.34309226964672</v>
      </c>
      <c r="GE189" s="59">
        <f ca="1">AVERAGE(OFFSET($GD$3,0,0,'Données projet'!$E$17+1,1))-AVERAGE(OFFSET($H$3,0,0,'Données projet'!$E$17+1,1))</f>
        <v>300.95722646933314</v>
      </c>
      <c r="GF189" s="59">
        <f t="shared" si="158"/>
        <v>269.52365224623759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>
        <f>EXP(-LN(2)/35)*GL188+(1-EXP(-LN(2)/35))/(LN(2)/35)*GH189*GI189*VLOOKUP('Données projet'!$B$17,Paramètres!$A$1:$I$89,3,0)*0.475*44/12</f>
        <v>4.0512376061173243E-2</v>
      </c>
      <c r="GM189" s="21">
        <f>EXP(-LN(2)/25)*GM188+(1-EXP(-LN(2)/25))/(LN(2)/25)*Calculateur!GH189*Calculateur!GJ189*VLOOKUP('Données projet'!$B$17,Paramètres!$A$1:$I$89,3,0)*0.475*44/12</f>
        <v>8.2546444682039768E-2</v>
      </c>
      <c r="GN189" s="21">
        <f>EXP(-LN(2)/2)*GN188+(1-EXP(-LN(2)/2))/(LN(2)/2)*GH189*GK189*VLOOKUP('Données projet'!$B$17,Paramètres!$A$1:$I$89,3,0)*0.475*44/12</f>
        <v>2.9311851815837063E-23</v>
      </c>
      <c r="GO189" s="21">
        <f t="shared" si="187"/>
        <v>0.123058820743213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69.729934255356383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1.4000000000000001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5.1333333333333337</v>
      </c>
      <c r="H190" s="67">
        <f t="shared" si="110"/>
        <v>236.13333333333335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69.734619292249391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-3.4106051316484809E-13</v>
      </c>
      <c r="O190" s="13">
        <f>N190*VLOOKUP('Données projet'!$B$9,Paramètres!$A$1:$I$89,3,0)*VLOOKUP('Données projet'!$B$9,Paramètres!$A$1:$I$89,5,0)</f>
        <v>-3.0859155231155454E-13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479.46542424895119</v>
      </c>
      <c r="T190" s="59">
        <f t="shared" si="142"/>
        <v>337.96395820277337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0.1075032596609973</v>
      </c>
      <c r="AA190" s="21">
        <f>EXP(-LN(2)/25)*AA189+(1-EXP(-LN(2)/25))/(LN(2)/25)*Calculateur!V190*Calculateur!X190*VLOOKUP('Données projet'!$B$9,Paramètres!$A$1:$I$89,3,0)*0.475*44/12</f>
        <v>0.14519418568939263</v>
      </c>
      <c r="AB190" s="21">
        <f>EXP(-LN(2)/2)*AB189+(1-EXP(-LN(2)/2))/(LN(2)/2)*V190*Y190*VLOOKUP('Données projet'!$B$9,Paramètres!$A$1:$I$89,3,0)*0.475*44/12</f>
        <v>5.0426619542385022E-23</v>
      </c>
      <c r="AC190" s="22">
        <f t="shared" si="163"/>
        <v>0.25269744535038996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69.734619292249391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-3.4106051316484809E-13</v>
      </c>
      <c r="AJ190" s="13">
        <f>AI190*VLOOKUP('Données projet'!$B$10,Paramètres!$A$1:$I$89,3,0)*VLOOKUP('Données projet'!$B$10,Paramètres!$A$1:$I$89,5,0)</f>
        <v>-3.2987372833304104E-13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508.94560627895089</v>
      </c>
      <c r="AO190" s="59">
        <f t="shared" si="144"/>
        <v>357.86868650263034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0.11491727756865233</v>
      </c>
      <c r="AV190" s="21">
        <f>EXP(-LN(2)/25)*AV189+(1-EXP(-LN(2)/25))/(LN(2)/25)*Calculateur!AQ190*Calculateur!AS190*VLOOKUP('Données projet'!$B$10,Paramètres!$A$1:$I$89,3,0)*0.475*44/12</f>
        <v>0.15520757780590241</v>
      </c>
      <c r="AW190" s="21">
        <f>EXP(-LN(2)/2)*AW189+(1-EXP(-LN(2)/2))/(LN(2)/2)*AQ190*AT190*VLOOKUP('Données projet'!$B$10,Paramètres!$A$1:$I$89,3,0)*0.475*44/12</f>
        <v>5.3904317441859602E-23</v>
      </c>
      <c r="AX190" s="21">
        <f t="shared" si="166"/>
        <v>0.27012485537455477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69.734619292249391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1.7053025658242404E-13</v>
      </c>
      <c r="BE190" s="13">
        <f>BD190*VLOOKUP('Données projet'!$B$11,Paramètres!$A$1:$I$89,3,0)*VLOOKUP('Données projet'!$B$11,Paramètres!$A$1:$I$89,5,0)</f>
        <v>1.3301360013429075E-13</v>
      </c>
      <c r="BF190" s="13">
        <f t="shared" si="167"/>
        <v>1.9329766731057041E-12</v>
      </c>
      <c r="BG190" s="20">
        <f t="shared" si="168"/>
        <v>3.5982663925596575E-12</v>
      </c>
      <c r="BH190" s="59">
        <f t="shared" si="116"/>
        <v>292.36027073825136</v>
      </c>
      <c r="BI190" s="59">
        <f ca="1">AVERAGE(OFFSET($BH$3,0,0,'Données projet'!$E$11+1,1))-AVERAGE(OFFSET($H$3,0,0,'Données projet'!$E$11+1,1))</f>
        <v>383.03154033422328</v>
      </c>
      <c r="BJ190" s="59">
        <f t="shared" si="146"/>
        <v>373.27897156169877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6.4541673749675108E-2</v>
      </c>
      <c r="BQ190" s="21">
        <f>EXP(-LN(2)/25)*BQ189+(1-EXP(-LN(2)/25))/(LN(2)/25)*Calculateur!BL190*Calculateur!BN190*VLOOKUP('Données projet'!$B$11,Paramètres!$A$1:$I$89,3,0)*0.475*44/12</f>
        <v>0.10771956069299686</v>
      </c>
      <c r="BR190" s="21">
        <f>EXP(-LN(2)/2)*BR189+(1-EXP(-LN(2)/2))/(LN(2)/2)*BL190*BO190*VLOOKUP('Données projet'!$B$11,Paramètres!$A$1:$I$89,3,0)*0.475*44/12</f>
        <v>3.0581594274763434E-23</v>
      </c>
      <c r="BS190" s="22">
        <f t="shared" si="169"/>
        <v>0.17226123444267197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69.734619292249391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-3.4106051316484809E-13</v>
      </c>
      <c r="BZ190" s="13">
        <f>BY190*VLOOKUP('Données projet'!$B$12,Paramètres!$A$1:$I$89,3,0)*VLOOKUP('Données projet'!$B$12,Paramètres!$A$1:$I$89,5,0)</f>
        <v>-2.8730937629006804E-13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449.94334483948603</v>
      </c>
      <c r="CE190" s="59">
        <f t="shared" si="148"/>
        <v>318.02929110264176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0.10008924175334241</v>
      </c>
      <c r="CL190" s="21">
        <f>EXP(-LN(2)/25)*CL189+(1-EXP(-LN(2)/25))/(LN(2)/25)*Calculateur!CG190*Calculateur!CI190*VLOOKUP('Données projet'!$B$12,Paramètres!$A$1:$I$89,3,0)*0.475*44/12</f>
        <v>0.13518079357288279</v>
      </c>
      <c r="CM190" s="21">
        <f>EXP(-LN(2)/2)*CM189+(1-EXP(-LN(2)/2))/(LN(2)/2)*CG190*CJ190*VLOOKUP('Données projet'!$B$12,Paramètres!$A$1:$I$89,3,0)*0.475*44/12</f>
        <v>4.6948921642910024E-23</v>
      </c>
      <c r="CN190" s="22">
        <f t="shared" si="172"/>
        <v>0.2352700353262252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69.734619292249391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1.1368683772161603E-13</v>
      </c>
      <c r="CU190" s="17">
        <f>CT190*VLOOKUP('Données projet'!$B$13,Paramètres!$A$1:$I$89,3,0)*VLOOKUP('Données projet'!$B$13,Paramètres!$A$1:$I$89,5,0)</f>
        <v>9.7543306765146564E-14</v>
      </c>
      <c r="CV190" s="13">
        <f t="shared" si="173"/>
        <v>1.4696264278629426E-12</v>
      </c>
      <c r="CW190" s="20">
        <f t="shared" si="174"/>
        <v>2.7294872878105889E-12</v>
      </c>
      <c r="CX190" s="59">
        <f t="shared" si="122"/>
        <v>292.36027073825051</v>
      </c>
      <c r="CY190" s="59">
        <f ca="1">AVERAGE(OFFSET($CX$3,0,0,'Données projet'!$E$13+1,1))-AVERAGE(OFFSET($H$3,0,0,'Données projet'!$E$13+1,1))</f>
        <v>565.32667500225568</v>
      </c>
      <c r="CZ190" s="59">
        <f t="shared" si="150"/>
        <v>275.06957234480944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0</v>
      </c>
      <c r="DG190" s="21">
        <f>EXP(-LN(2)/25)*DG189+(1-EXP(-LN(2)/25))/(LN(2)/25)*Calculateur!DB190*Calculateur!DD190*VLOOKUP('Données projet'!$B$13,Paramètres!$A$1:$I$89,3,0)*0.475*44/12</f>
        <v>5.6381495337234709E-2</v>
      </c>
      <c r="DH190" s="21">
        <f>EXP(-LN(2)/2)*DH189+(1-EXP(-LN(2)/2))/(LN(2)/2)*DB190*DE190*VLOOKUP('Données projet'!$B$13,Paramètres!$A$1:$I$89,3,0)*0.475*44/12</f>
        <v>1.6572765085998303E-23</v>
      </c>
      <c r="DI190" s="22">
        <f t="shared" si="175"/>
        <v>5.6381495337234709E-2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69.734619292249391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-1.2505552149377763E-12</v>
      </c>
      <c r="DP190" s="17">
        <f>DO190*VLOOKUP('Données projet'!$B$14,Paramètres!$A$1:$I$89,3,0)*VLOOKUP('Données projet'!$B$14,Paramètres!$A$1:$I$89,5,0)</f>
        <v>-6.9906036515021697E-13</v>
      </c>
      <c r="DQ190" s="13" t="e">
        <f t="shared" si="176"/>
        <v>#NUM!</v>
      </c>
      <c r="DR190" s="20" t="e">
        <f t="shared" si="177"/>
        <v>#NUM!</v>
      </c>
      <c r="DS190" s="59" t="e">
        <f t="shared" si="125"/>
        <v>#NUM!</v>
      </c>
      <c r="DT190" s="59">
        <f ca="1">AVERAGE(OFFSET($DS$3,0,0,'Données projet'!$E$14+1,1))-AVERAGE(OFFSET($H$3,0,0,'Données projet'!$E$14+1,1))</f>
        <v>532.64469322244281</v>
      </c>
      <c r="DU190" s="59">
        <f t="shared" si="152"/>
        <v>525.88014011096413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0.50971373115128182</v>
      </c>
      <c r="EB190" s="21">
        <f>EXP(-LN(2)/25)*EB189+(1-EXP(-LN(2)/25))/(LN(2)/25)*Calculateur!DW190*Calculateur!DY190*VLOOKUP('Données projet'!$B$14,Paramètres!$A$1:$I$89,3,0)*0.475*44/12</f>
        <v>0.49877971870523957</v>
      </c>
      <c r="EC190" s="21">
        <f>EXP(-LN(2)/2)*EC189+(1-EXP(-LN(2)/2))/(LN(2)/2)*DW190*DZ190*VLOOKUP('Données projet'!$B$14,Paramètres!$A$1:$I$89,3,0)*0.475*44/12</f>
        <v>8.533036942850501E-23</v>
      </c>
      <c r="ED190" s="22">
        <f t="shared" si="178"/>
        <v>1.0084934498565215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69.734619292249391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-1.1368683772161603E-13</v>
      </c>
      <c r="EK190" s="17">
        <f>EJ190*VLOOKUP('Données projet'!$B$15,Paramètres!$A$1:$I$89,3,0)*VLOOKUP('Données projet'!$B$15,Paramètres!$A$1:$I$89,5,0)</f>
        <v>-1.0286385077051818E-13</v>
      </c>
      <c r="EL190" s="13" t="e">
        <f t="shared" si="179"/>
        <v>#NUM!</v>
      </c>
      <c r="EM190" s="20" t="e">
        <f t="shared" si="180"/>
        <v>#NUM!</v>
      </c>
      <c r="EN190" s="59" t="e">
        <f t="shared" si="128"/>
        <v>#NUM!</v>
      </c>
      <c r="EO190" s="59">
        <f ca="1">AVERAGE(OFFSET($EN$3,0,0,'Données projet'!$E$15+1,1))-AVERAGE(OFFSET($H$3,0,0,'Données projet'!$E$15+1,1))</f>
        <v>398.27843768730202</v>
      </c>
      <c r="EP190" s="59">
        <f t="shared" si="154"/>
        <v>252.3617347568813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0</v>
      </c>
      <c r="EW190" s="21">
        <f>EXP(-LN(2)/25)*EW189+(1-EXP(-LN(2)/25))/(LN(2)/25)*Calculateur!ER190*Calculateur!ET190*VLOOKUP('Données projet'!$B$15,Paramètres!$A$1:$I$89,3,0)*0.475*44/12</f>
        <v>3.9969105922674338E-2</v>
      </c>
      <c r="EX190" s="21">
        <f>EXP(-LN(2)/2)*EX189+(1-EXP(-LN(2)/2))/(LN(2)/2)*ER190*EU190*VLOOKUP('Données projet'!$B$15,Paramètres!$A$1:$I$89,3,0)*0.475*44/12</f>
        <v>1.4480722532285269E-23</v>
      </c>
      <c r="EY190" s="22">
        <f t="shared" si="181"/>
        <v>3.9969105922674338E-2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69.734619292249391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-1.1368683772161603E-13</v>
      </c>
      <c r="FF190" s="17">
        <f>FE190*VLOOKUP('Données projet'!$B$16,Paramètres!$A$1:$I$89,3,0)*VLOOKUP('Données projet'!$B$16,Paramètres!$A$1:$I$89,5,0)</f>
        <v>-1.0995790944434703E-13</v>
      </c>
      <c r="FG190" s="13" t="e">
        <f t="shared" si="182"/>
        <v>#NUM!</v>
      </c>
      <c r="FH190" s="20" t="e">
        <f t="shared" si="183"/>
        <v>#NUM!</v>
      </c>
      <c r="FI190" s="59" t="e">
        <f t="shared" si="131"/>
        <v>#NUM!</v>
      </c>
      <c r="FJ190" s="59">
        <f ca="1">AVERAGE(OFFSET($FI$3,0,0,'Données projet'!$E$16+1,1))-AVERAGE(OFFSET($H$3,0,0,'Données projet'!$E$16+1,1))</f>
        <v>422.28024471365825</v>
      </c>
      <c r="FK190" s="59">
        <f t="shared" si="156"/>
        <v>266.49730479813206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0</v>
      </c>
      <c r="FR190" s="21">
        <f>EXP(-LN(2)/25)*FR189+(1-EXP(-LN(2)/25))/(LN(2)/25)*Calculateur!FM190*Calculateur!FO190*VLOOKUP('Données projet'!$B$16,Paramètres!$A$1:$I$89,3,0)*0.475*44/12</f>
        <v>4.2725595986307E-2</v>
      </c>
      <c r="FS190" s="21">
        <f>EXP(-LN(2)/2)*FS189+(1-EXP(-LN(2)/2))/(LN(2)/2)*FM190*FP190*VLOOKUP('Données projet'!$B$16,Paramètres!$A$1:$I$89,3,0)*0.475*44/12</f>
        <v>1.5479393051753215E-23</v>
      </c>
      <c r="FT190" s="22">
        <f t="shared" si="184"/>
        <v>4.2725595986307E-2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69.734619292249391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3.4106051316484809E-13</v>
      </c>
      <c r="GA190" s="17">
        <f>FZ190*VLOOKUP('Données projet'!$B$17,Paramètres!$A$1:$I$89,3,0)*VLOOKUP('Données projet'!$B$17,Paramètres!$A$1:$I$89,5,0)</f>
        <v>2.6602720026858149E-13</v>
      </c>
      <c r="GB190" s="13">
        <f t="shared" si="185"/>
        <v>3.5662905043956649E-12</v>
      </c>
      <c r="GC190" s="20">
        <f t="shared" si="186"/>
        <v>6.6746200022902298E-12</v>
      </c>
      <c r="GD190" s="59">
        <f t="shared" si="134"/>
        <v>292.36027073825443</v>
      </c>
      <c r="GE190" s="59">
        <f ca="1">AVERAGE(OFFSET($GD$3,0,0,'Données projet'!$E$17+1,1))-AVERAGE(OFFSET($H$3,0,0,'Données projet'!$E$17+1,1))</f>
        <v>300.95722646933314</v>
      </c>
      <c r="GF190" s="59">
        <f t="shared" si="158"/>
        <v>269.52365224623759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>
        <f>EXP(-LN(2)/35)*GL189+(1-EXP(-LN(2)/35))/(LN(2)/35)*GH190*GI190*VLOOKUP('Données projet'!$B$17,Paramètres!$A$1:$I$89,3,0)*0.475*44/12</f>
        <v>3.9717953076723114E-2</v>
      </c>
      <c r="GM190" s="21">
        <f>EXP(-LN(2)/25)*GM189+(1-EXP(-LN(2)/25))/(LN(2)/25)*Calculateur!GH190*Calculateur!GJ190*VLOOKUP('Données projet'!$B$17,Paramètres!$A$1:$I$89,3,0)*0.475*44/12</f>
        <v>8.028920781128053E-2</v>
      </c>
      <c r="GN190" s="21">
        <f>EXP(-LN(2)/2)*GN189+(1-EXP(-LN(2)/2))/(LN(2)/2)*GH190*GK190*VLOOKUP('Données projet'!$B$17,Paramètres!$A$1:$I$89,3,0)*0.475*44/12</f>
        <v>2.0726609188113604E-23</v>
      </c>
      <c r="GO190" s="21">
        <f t="shared" si="187"/>
        <v>0.12000716088800364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69.734619292249391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1.4000000000000001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5.1333333333333337</v>
      </c>
      <c r="H191" s="67">
        <f t="shared" si="110"/>
        <v>236.13333333333335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69.7392230542265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-3.4106051316484809E-13</v>
      </c>
      <c r="O191" s="13">
        <f>N191*VLOOKUP('Données projet'!$B$9,Paramètres!$A$1:$I$89,3,0)*VLOOKUP('Données projet'!$B$9,Paramètres!$A$1:$I$89,5,0)</f>
        <v>-3.0859155231155454E-13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479.46542424895119</v>
      </c>
      <c r="T191" s="59">
        <f t="shared" si="142"/>
        <v>337.96395820277337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0.10539518630955899</v>
      </c>
      <c r="AA191" s="21">
        <f>EXP(-LN(2)/25)*AA190+(1-EXP(-LN(2)/25))/(LN(2)/25)*Calculateur!V191*Calculateur!X191*VLOOKUP('Données projet'!$B$9,Paramètres!$A$1:$I$89,3,0)*0.475*44/12</f>
        <v>0.1412238430462858</v>
      </c>
      <c r="AB191" s="21">
        <f>EXP(-LN(2)/2)*AB190+(1-EXP(-LN(2)/2))/(LN(2)/2)*V191*Y191*VLOOKUP('Données projet'!$B$9,Paramètres!$A$1:$I$89,3,0)*0.475*44/12</f>
        <v>3.5657004630734526E-23</v>
      </c>
      <c r="AC191" s="22">
        <f t="shared" si="163"/>
        <v>0.24661902935584479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69.7392230542265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-3.4106051316484809E-13</v>
      </c>
      <c r="AJ191" s="13">
        <f>AI191*VLOOKUP('Données projet'!$B$10,Paramètres!$A$1:$I$89,3,0)*VLOOKUP('Données projet'!$B$10,Paramètres!$A$1:$I$89,5,0)</f>
        <v>-3.2987372833304104E-13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508.94560627895089</v>
      </c>
      <c r="AO191" s="59">
        <f t="shared" si="144"/>
        <v>357.86868650263034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0.1126638198481493</v>
      </c>
      <c r="AV191" s="21">
        <f>EXP(-LN(2)/25)*AV190+(1-EXP(-LN(2)/25))/(LN(2)/25)*Calculateur!AQ191*Calculateur!AS191*VLOOKUP('Données projet'!$B$10,Paramètres!$A$1:$I$89,3,0)*0.475*44/12</f>
        <v>0.15096341842878822</v>
      </c>
      <c r="AW191" s="21">
        <f>EXP(-LN(2)/2)*AW190+(1-EXP(-LN(2)/2))/(LN(2)/2)*AQ191*AT191*VLOOKUP('Données projet'!$B$10,Paramètres!$A$1:$I$89,3,0)*0.475*44/12</f>
        <v>3.8116108398371215E-23</v>
      </c>
      <c r="AX191" s="21">
        <f t="shared" si="166"/>
        <v>0.26362723827693751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69.7392230542265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1.7053025658242404E-13</v>
      </c>
      <c r="BE191" s="13">
        <f>BD191*VLOOKUP('Données projet'!$B$11,Paramètres!$A$1:$I$89,3,0)*VLOOKUP('Données projet'!$B$11,Paramètres!$A$1:$I$89,5,0)</f>
        <v>1.3301360013429075E-13</v>
      </c>
      <c r="BF191" s="13">
        <f t="shared" si="167"/>
        <v>1.9329766731057041E-12</v>
      </c>
      <c r="BG191" s="20">
        <f t="shared" si="168"/>
        <v>3.5982663925596575E-12</v>
      </c>
      <c r="BH191" s="59">
        <f t="shared" si="116"/>
        <v>292.3771511988341</v>
      </c>
      <c r="BI191" s="59">
        <f ca="1">AVERAGE(OFFSET($BH$3,0,0,'Données projet'!$E$11+1,1))-AVERAGE(OFFSET($H$3,0,0,'Données projet'!$E$11+1,1))</f>
        <v>383.03154033422328</v>
      </c>
      <c r="BJ191" s="59">
        <f t="shared" si="146"/>
        <v>373.27897156169877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6.327605089397785E-2</v>
      </c>
      <c r="BQ191" s="21">
        <f>EXP(-LN(2)/25)*BQ190+(1-EXP(-LN(2)/25))/(LN(2)/25)*Calculateur!BL191*Calculateur!BN191*VLOOKUP('Données projet'!$B$11,Paramètres!$A$1:$I$89,3,0)*0.475*44/12</f>
        <v>0.10477396364112136</v>
      </c>
      <c r="BR191" s="21">
        <f>EXP(-LN(2)/2)*BR190+(1-EXP(-LN(2)/2))/(LN(2)/2)*BL191*BO191*VLOOKUP('Données projet'!$B$11,Paramètres!$A$1:$I$89,3,0)*0.475*44/12</f>
        <v>2.1624452691180923E-23</v>
      </c>
      <c r="BS191" s="22">
        <f t="shared" si="169"/>
        <v>0.16805001453509921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69.7392230542265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-3.4106051316484809E-13</v>
      </c>
      <c r="BZ191" s="13">
        <f>BY191*VLOOKUP('Données projet'!$B$12,Paramètres!$A$1:$I$89,3,0)*VLOOKUP('Données projet'!$B$12,Paramètres!$A$1:$I$89,5,0)</f>
        <v>-2.8730937629006804E-13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449.94334483948603</v>
      </c>
      <c r="CE191" s="59">
        <f t="shared" si="148"/>
        <v>318.02929110264176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9.8126552770968808E-2</v>
      </c>
      <c r="CL191" s="21">
        <f>EXP(-LN(2)/25)*CL190+(1-EXP(-LN(2)/25))/(LN(2)/25)*Calculateur!CG191*Calculateur!CI191*VLOOKUP('Données projet'!$B$12,Paramètres!$A$1:$I$89,3,0)*0.475*44/12</f>
        <v>0.13148426766378335</v>
      </c>
      <c r="CM191" s="21">
        <f>EXP(-LN(2)/2)*CM190+(1-EXP(-LN(2)/2))/(LN(2)/2)*CG191*CJ191*VLOOKUP('Données projet'!$B$12,Paramètres!$A$1:$I$89,3,0)*0.475*44/12</f>
        <v>3.3197900863097543E-23</v>
      </c>
      <c r="CN191" s="22">
        <f t="shared" si="172"/>
        <v>0.22961082043475217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69.7392230542265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1.1368683772161603E-13</v>
      </c>
      <c r="CU191" s="17">
        <f>CT191*VLOOKUP('Données projet'!$B$13,Paramètres!$A$1:$I$89,3,0)*VLOOKUP('Données projet'!$B$13,Paramètres!$A$1:$I$89,5,0)</f>
        <v>9.7543306765146564E-14</v>
      </c>
      <c r="CV191" s="13">
        <f t="shared" si="173"/>
        <v>1.4696264278629426E-12</v>
      </c>
      <c r="CW191" s="20">
        <f t="shared" si="174"/>
        <v>2.7294872878105889E-12</v>
      </c>
      <c r="CX191" s="59">
        <f t="shared" si="122"/>
        <v>292.37715119883325</v>
      </c>
      <c r="CY191" s="59">
        <f ca="1">AVERAGE(OFFSET($CX$3,0,0,'Données projet'!$E$13+1,1))-AVERAGE(OFFSET($H$3,0,0,'Données projet'!$E$13+1,1))</f>
        <v>565.32667500225568</v>
      </c>
      <c r="CZ191" s="59">
        <f t="shared" si="150"/>
        <v>275.06957234480944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0</v>
      </c>
      <c r="DG191" s="21">
        <f>EXP(-LN(2)/25)*DG190+(1-EXP(-LN(2)/25))/(LN(2)/25)*Calculateur!DB191*Calculateur!DD191*VLOOKUP('Données projet'!$B$13,Paramètres!$A$1:$I$89,3,0)*0.475*44/12</f>
        <v>5.4839740382264045E-2</v>
      </c>
      <c r="DH191" s="21">
        <f>EXP(-LN(2)/2)*DH190+(1-EXP(-LN(2)/2))/(LN(2)/2)*DB191*DE191*VLOOKUP('Données projet'!$B$13,Paramètres!$A$1:$I$89,3,0)*0.475*44/12</f>
        <v>1.1718714575321057E-23</v>
      </c>
      <c r="DI191" s="22">
        <f t="shared" si="175"/>
        <v>5.4839740382264045E-2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69.7392230542265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-1.2505552149377763E-12</v>
      </c>
      <c r="DP191" s="17">
        <f>DO191*VLOOKUP('Données projet'!$B$14,Paramètres!$A$1:$I$89,3,0)*VLOOKUP('Données projet'!$B$14,Paramètres!$A$1:$I$89,5,0)</f>
        <v>-6.9906036515021697E-13</v>
      </c>
      <c r="DQ191" s="13" t="e">
        <f t="shared" si="176"/>
        <v>#NUM!</v>
      </c>
      <c r="DR191" s="20" t="e">
        <f t="shared" si="177"/>
        <v>#NUM!</v>
      </c>
      <c r="DS191" s="59" t="e">
        <f t="shared" si="125"/>
        <v>#NUM!</v>
      </c>
      <c r="DT191" s="59">
        <f ca="1">AVERAGE(OFFSET($DS$3,0,0,'Données projet'!$E$14+1,1))-AVERAGE(OFFSET($H$3,0,0,'Données projet'!$E$14+1,1))</f>
        <v>532.64469322244281</v>
      </c>
      <c r="DU191" s="59">
        <f t="shared" si="152"/>
        <v>525.88014011096413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0.49971855577808288</v>
      </c>
      <c r="EB191" s="21">
        <f>EXP(-LN(2)/25)*EB190+(1-EXP(-LN(2)/25))/(LN(2)/25)*Calculateur!DW191*Calculateur!DY191*VLOOKUP('Données projet'!$B$14,Paramètres!$A$1:$I$89,3,0)*0.475*44/12</f>
        <v>0.48514056106755937</v>
      </c>
      <c r="EC191" s="21">
        <f>EXP(-LN(2)/2)*EC190+(1-EXP(-LN(2)/2))/(LN(2)/2)*DW191*DZ191*VLOOKUP('Données projet'!$B$14,Paramètres!$A$1:$I$89,3,0)*0.475*44/12</f>
        <v>6.0337682864049156E-23</v>
      </c>
      <c r="ED191" s="22">
        <f t="shared" si="178"/>
        <v>0.9848591168456422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69.7392230542265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-1.1368683772161603E-13</v>
      </c>
      <c r="EK191" s="17">
        <f>EJ191*VLOOKUP('Données projet'!$B$15,Paramètres!$A$1:$I$89,3,0)*VLOOKUP('Données projet'!$B$15,Paramètres!$A$1:$I$89,5,0)</f>
        <v>-1.0286385077051818E-13</v>
      </c>
      <c r="EL191" s="13" t="e">
        <f t="shared" si="179"/>
        <v>#NUM!</v>
      </c>
      <c r="EM191" s="20" t="e">
        <f t="shared" si="180"/>
        <v>#NUM!</v>
      </c>
      <c r="EN191" s="59" t="e">
        <f t="shared" si="128"/>
        <v>#NUM!</v>
      </c>
      <c r="EO191" s="59">
        <f ca="1">AVERAGE(OFFSET($EN$3,0,0,'Données projet'!$E$15+1,1))-AVERAGE(OFFSET($H$3,0,0,'Données projet'!$E$15+1,1))</f>
        <v>398.27843768730202</v>
      </c>
      <c r="EP191" s="59">
        <f t="shared" si="154"/>
        <v>252.3617347568813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0</v>
      </c>
      <c r="EW191" s="21">
        <f>EXP(-LN(2)/25)*EW190+(1-EXP(-LN(2)/25))/(LN(2)/25)*Calculateur!ER191*Calculateur!ET191*VLOOKUP('Données projet'!$B$15,Paramètres!$A$1:$I$89,3,0)*0.475*44/12</f>
        <v>3.8876148619334881E-2</v>
      </c>
      <c r="EX191" s="21">
        <f>EXP(-LN(2)/2)*EX190+(1-EXP(-LN(2)/2))/(LN(2)/2)*ER191*EU191*VLOOKUP('Données projet'!$B$15,Paramètres!$A$1:$I$89,3,0)*0.475*44/12</f>
        <v>1.0239417099059748E-23</v>
      </c>
      <c r="EY191" s="22">
        <f t="shared" si="181"/>
        <v>3.8876148619334881E-2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69.7392230542265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-1.1368683772161603E-13</v>
      </c>
      <c r="FF191" s="17">
        <f>FE191*VLOOKUP('Données projet'!$B$16,Paramètres!$A$1:$I$89,3,0)*VLOOKUP('Données projet'!$B$16,Paramètres!$A$1:$I$89,5,0)</f>
        <v>-1.0995790944434703E-13</v>
      </c>
      <c r="FG191" s="13" t="e">
        <f t="shared" si="182"/>
        <v>#NUM!</v>
      </c>
      <c r="FH191" s="20" t="e">
        <f t="shared" si="183"/>
        <v>#NUM!</v>
      </c>
      <c r="FI191" s="59" t="e">
        <f t="shared" si="131"/>
        <v>#NUM!</v>
      </c>
      <c r="FJ191" s="59">
        <f ca="1">AVERAGE(OFFSET($FI$3,0,0,'Données projet'!$E$16+1,1))-AVERAGE(OFFSET($H$3,0,0,'Données projet'!$E$16+1,1))</f>
        <v>422.28024471365825</v>
      </c>
      <c r="FK191" s="59">
        <f t="shared" si="156"/>
        <v>266.49730479813206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0</v>
      </c>
      <c r="FR191" s="21">
        <f>EXP(-LN(2)/25)*FR190+(1-EXP(-LN(2)/25))/(LN(2)/25)*Calculateur!FM191*Calculateur!FO191*VLOOKUP('Données projet'!$B$16,Paramètres!$A$1:$I$89,3,0)*0.475*44/12</f>
        <v>4.1557262317219991E-2</v>
      </c>
      <c r="FS191" s="21">
        <f>EXP(-LN(2)/2)*FS190+(1-EXP(-LN(2)/2))/(LN(2)/2)*FM191*FP191*VLOOKUP('Données projet'!$B$16,Paramètres!$A$1:$I$89,3,0)*0.475*44/12</f>
        <v>1.0945583795546625E-23</v>
      </c>
      <c r="FT191" s="22">
        <f t="shared" si="184"/>
        <v>4.1557262317219991E-2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69.7392230542265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3.4106051316484809E-13</v>
      </c>
      <c r="GA191" s="17">
        <f>FZ191*VLOOKUP('Données projet'!$B$17,Paramètres!$A$1:$I$89,3,0)*VLOOKUP('Données projet'!$B$17,Paramètres!$A$1:$I$89,5,0)</f>
        <v>2.6602720026858149E-13</v>
      </c>
      <c r="GB191" s="13">
        <f t="shared" si="185"/>
        <v>3.5662905043956649E-12</v>
      </c>
      <c r="GC191" s="20">
        <f t="shared" si="186"/>
        <v>6.6746200022902298E-12</v>
      </c>
      <c r="GD191" s="59">
        <f t="shared" si="134"/>
        <v>292.37715119883717</v>
      </c>
      <c r="GE191" s="59">
        <f ca="1">AVERAGE(OFFSET($GD$3,0,0,'Données projet'!$E$17+1,1))-AVERAGE(OFFSET($H$3,0,0,'Données projet'!$E$17+1,1))</f>
        <v>300.95722646933314</v>
      </c>
      <c r="GF191" s="59">
        <f t="shared" si="158"/>
        <v>269.52365224623759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>
        <f>EXP(-LN(2)/35)*GL190+(1-EXP(-LN(2)/35))/(LN(2)/35)*GH191*GI191*VLOOKUP('Données projet'!$B$17,Paramètres!$A$1:$I$89,3,0)*0.475*44/12</f>
        <v>3.8939108242447874E-2</v>
      </c>
      <c r="GM191" s="21">
        <f>EXP(-LN(2)/25)*GM190+(1-EXP(-LN(2)/25))/(LN(2)/25)*Calculateur!GH191*Calculateur!GJ191*VLOOKUP('Données projet'!$B$17,Paramètres!$A$1:$I$89,3,0)*0.475*44/12</f>
        <v>7.8093695201455135E-2</v>
      </c>
      <c r="GN191" s="21">
        <f>EXP(-LN(2)/2)*GN190+(1-EXP(-LN(2)/2))/(LN(2)/2)*GH191*GK191*VLOOKUP('Données projet'!$B$17,Paramètres!$A$1:$I$89,3,0)*0.475*44/12</f>
        <v>1.4655925907918532E-23</v>
      </c>
      <c r="GO191" s="21">
        <f t="shared" si="187"/>
        <v>0.11703280344390302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69.7392230542265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1.4000000000000001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5.1333333333333337</v>
      </c>
      <c r="H192" s="67">
        <f t="shared" si="110"/>
        <v>236.13333333333335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69.743746951225745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-3.4106051316484809E-13</v>
      </c>
      <c r="O192" s="13">
        <f>N192*VLOOKUP('Données projet'!$B$9,Paramètres!$A$1:$I$89,3,0)*VLOOKUP('Données projet'!$B$9,Paramètres!$A$1:$I$89,5,0)</f>
        <v>-3.0859155231155454E-13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479.46542424895119</v>
      </c>
      <c r="T192" s="59">
        <f t="shared" si="142"/>
        <v>337.96395820277337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0.1033284509907446</v>
      </c>
      <c r="AA192" s="21">
        <f>EXP(-LN(2)/25)*AA191+(1-EXP(-LN(2)/25))/(LN(2)/25)*Calculateur!V192*Calculateur!X192*VLOOKUP('Données projet'!$B$9,Paramètres!$A$1:$I$89,3,0)*0.475*44/12</f>
        <v>0.13736206963154599</v>
      </c>
      <c r="AB192" s="21">
        <f>EXP(-LN(2)/2)*AB191+(1-EXP(-LN(2)/2))/(LN(2)/2)*V192*Y192*VLOOKUP('Données projet'!$B$9,Paramètres!$A$1:$I$89,3,0)*0.475*44/12</f>
        <v>2.5213309771192511E-23</v>
      </c>
      <c r="AC192" s="22">
        <f t="shared" si="163"/>
        <v>0.24069052062229057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69.743746951225745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-3.4106051316484809E-13</v>
      </c>
      <c r="AJ192" s="13">
        <f>AI192*VLOOKUP('Données projet'!$B$10,Paramètres!$A$1:$I$89,3,0)*VLOOKUP('Données projet'!$B$10,Paramètres!$A$1:$I$89,5,0)</f>
        <v>-3.2987372833304104E-13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508.94560627895089</v>
      </c>
      <c r="AO192" s="59">
        <f t="shared" si="144"/>
        <v>357.86868650263034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0.11045455105907184</v>
      </c>
      <c r="AV192" s="21">
        <f>EXP(-LN(2)/25)*AV191+(1-EXP(-LN(2)/25))/(LN(2)/25)*Calculateur!AQ192*Calculateur!AS192*VLOOKUP('Données projet'!$B$10,Paramètres!$A$1:$I$89,3,0)*0.475*44/12</f>
        <v>0.14683531581303186</v>
      </c>
      <c r="AW192" s="21">
        <f>EXP(-LN(2)/2)*AW191+(1-EXP(-LN(2)/2))/(LN(2)/2)*AQ192*AT192*VLOOKUP('Données projet'!$B$10,Paramètres!$A$1:$I$89,3,0)*0.475*44/12</f>
        <v>2.6952158720929801E-23</v>
      </c>
      <c r="AX192" s="21">
        <f t="shared" si="166"/>
        <v>0.2572898668721037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69.743746951225745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1.7053025658242404E-13</v>
      </c>
      <c r="BE192" s="13">
        <f>BD192*VLOOKUP('Données projet'!$B$11,Paramètres!$A$1:$I$89,3,0)*VLOOKUP('Données projet'!$B$11,Paramètres!$A$1:$I$89,5,0)</f>
        <v>1.3301360013429075E-13</v>
      </c>
      <c r="BF192" s="13">
        <f t="shared" si="167"/>
        <v>1.9329766731057041E-12</v>
      </c>
      <c r="BG192" s="20">
        <f t="shared" si="168"/>
        <v>3.5982663925596575E-12</v>
      </c>
      <c r="BH192" s="59">
        <f t="shared" si="116"/>
        <v>292.39373882116467</v>
      </c>
      <c r="BI192" s="59">
        <f ca="1">AVERAGE(OFFSET($BH$3,0,0,'Données projet'!$E$11+1,1))-AVERAGE(OFFSET($H$3,0,0,'Données projet'!$E$11+1,1))</f>
        <v>383.03154033422328</v>
      </c>
      <c r="BJ192" s="59">
        <f t="shared" si="146"/>
        <v>373.27897156169877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6.2035246130527091E-2</v>
      </c>
      <c r="BQ192" s="21">
        <f>EXP(-LN(2)/25)*BQ191+(1-EXP(-LN(2)/25))/(LN(2)/25)*Calculateur!BL192*Calculateur!BN192*VLOOKUP('Données projet'!$B$11,Paramètres!$A$1:$I$89,3,0)*0.475*44/12</f>
        <v>0.10190891409553161</v>
      </c>
      <c r="BR192" s="21">
        <f>EXP(-LN(2)/2)*BR191+(1-EXP(-LN(2)/2))/(LN(2)/2)*BL192*BO192*VLOOKUP('Données projet'!$B$11,Paramètres!$A$1:$I$89,3,0)*0.475*44/12</f>
        <v>1.5290797137381717E-23</v>
      </c>
      <c r="BS192" s="22">
        <f t="shared" si="169"/>
        <v>0.1639441602260587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69.743746951225745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-3.4106051316484809E-13</v>
      </c>
      <c r="BZ192" s="13">
        <f>BY192*VLOOKUP('Données projet'!$B$12,Paramètres!$A$1:$I$89,3,0)*VLOOKUP('Données projet'!$B$12,Paramètres!$A$1:$I$89,5,0)</f>
        <v>-2.8730937629006804E-13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449.94334483948603</v>
      </c>
      <c r="CE192" s="59">
        <f t="shared" si="148"/>
        <v>318.02929110264176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9.6202350922417482E-2</v>
      </c>
      <c r="CL192" s="21">
        <f>EXP(-LN(2)/25)*CL191+(1-EXP(-LN(2)/25))/(LN(2)/25)*Calculateur!CG192*Calculateur!CI192*VLOOKUP('Données projet'!$B$12,Paramètres!$A$1:$I$89,3,0)*0.475*44/12</f>
        <v>0.12788882345006006</v>
      </c>
      <c r="CM192" s="21">
        <f>EXP(-LN(2)/2)*CM191+(1-EXP(-LN(2)/2))/(LN(2)/2)*CG192*CJ192*VLOOKUP('Données projet'!$B$12,Paramètres!$A$1:$I$89,3,0)*0.475*44/12</f>
        <v>2.3474460821455012E-23</v>
      </c>
      <c r="CN192" s="22">
        <f t="shared" si="172"/>
        <v>0.22409117437247755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69.743746951225745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1.1368683772161603E-13</v>
      </c>
      <c r="CU192" s="17">
        <f>CT192*VLOOKUP('Données projet'!$B$13,Paramètres!$A$1:$I$89,3,0)*VLOOKUP('Données projet'!$B$13,Paramètres!$A$1:$I$89,5,0)</f>
        <v>9.7543306765146564E-14</v>
      </c>
      <c r="CV192" s="13">
        <f t="shared" si="173"/>
        <v>1.4696264278629426E-12</v>
      </c>
      <c r="CW192" s="20">
        <f t="shared" si="174"/>
        <v>2.7294872878105889E-12</v>
      </c>
      <c r="CX192" s="59">
        <f t="shared" si="122"/>
        <v>292.39373882116382</v>
      </c>
      <c r="CY192" s="59">
        <f ca="1">AVERAGE(OFFSET($CX$3,0,0,'Données projet'!$E$13+1,1))-AVERAGE(OFFSET($H$3,0,0,'Données projet'!$E$13+1,1))</f>
        <v>565.32667500225568</v>
      </c>
      <c r="CZ192" s="59">
        <f t="shared" si="150"/>
        <v>275.06957234480944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0</v>
      </c>
      <c r="DG192" s="21">
        <f>EXP(-LN(2)/25)*DG191+(1-EXP(-LN(2)/25))/(LN(2)/25)*Calculateur!DB192*Calculateur!DD192*VLOOKUP('Données projet'!$B$13,Paramètres!$A$1:$I$89,3,0)*0.475*44/12</f>
        <v>5.3340144797614425E-2</v>
      </c>
      <c r="DH192" s="21">
        <f>EXP(-LN(2)/2)*DH191+(1-EXP(-LN(2)/2))/(LN(2)/2)*DB192*DE192*VLOOKUP('Données projet'!$B$13,Paramètres!$A$1:$I$89,3,0)*0.475*44/12</f>
        <v>8.2863825429991517E-24</v>
      </c>
      <c r="DI192" s="22">
        <f t="shared" si="175"/>
        <v>5.3340144797614425E-2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69.743746951225745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-1.2505552149377763E-12</v>
      </c>
      <c r="DP192" s="17">
        <f>DO192*VLOOKUP('Données projet'!$B$14,Paramètres!$A$1:$I$89,3,0)*VLOOKUP('Données projet'!$B$14,Paramètres!$A$1:$I$89,5,0)</f>
        <v>-6.9906036515021697E-13</v>
      </c>
      <c r="DQ192" s="13" t="e">
        <f t="shared" si="176"/>
        <v>#NUM!</v>
      </c>
      <c r="DR192" s="20" t="e">
        <f t="shared" si="177"/>
        <v>#NUM!</v>
      </c>
      <c r="DS192" s="59" t="e">
        <f t="shared" si="125"/>
        <v>#NUM!</v>
      </c>
      <c r="DT192" s="59">
        <f ca="1">AVERAGE(OFFSET($DS$3,0,0,'Données projet'!$E$14+1,1))-AVERAGE(OFFSET($H$3,0,0,'Données projet'!$E$14+1,1))</f>
        <v>532.64469322244281</v>
      </c>
      <c r="DU192" s="59">
        <f t="shared" si="152"/>
        <v>525.88014011096413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0.48991937969749738</v>
      </c>
      <c r="EB192" s="21">
        <f>EXP(-LN(2)/25)*EB191+(1-EXP(-LN(2)/25))/(LN(2)/25)*Calculateur!DW192*Calculateur!DY192*VLOOKUP('Données projet'!$B$14,Paramètres!$A$1:$I$89,3,0)*0.475*44/12</f>
        <v>0.47187436691273366</v>
      </c>
      <c r="EC192" s="21">
        <f>EXP(-LN(2)/2)*EC191+(1-EXP(-LN(2)/2))/(LN(2)/2)*DW192*DZ192*VLOOKUP('Données projet'!$B$14,Paramètres!$A$1:$I$89,3,0)*0.475*44/12</f>
        <v>4.2665184714252505E-23</v>
      </c>
      <c r="ED192" s="22">
        <f t="shared" si="178"/>
        <v>0.96179374661023109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69.743746951225745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-1.1368683772161603E-13</v>
      </c>
      <c r="EK192" s="17">
        <f>EJ192*VLOOKUP('Données projet'!$B$15,Paramètres!$A$1:$I$89,3,0)*VLOOKUP('Données projet'!$B$15,Paramètres!$A$1:$I$89,5,0)</f>
        <v>-1.0286385077051818E-13</v>
      </c>
      <c r="EL192" s="13" t="e">
        <f t="shared" si="179"/>
        <v>#NUM!</v>
      </c>
      <c r="EM192" s="20" t="e">
        <f t="shared" si="180"/>
        <v>#NUM!</v>
      </c>
      <c r="EN192" s="59" t="e">
        <f t="shared" si="128"/>
        <v>#NUM!</v>
      </c>
      <c r="EO192" s="59">
        <f ca="1">AVERAGE(OFFSET($EN$3,0,0,'Données projet'!$E$15+1,1))-AVERAGE(OFFSET($H$3,0,0,'Données projet'!$E$15+1,1))</f>
        <v>398.27843768730202</v>
      </c>
      <c r="EP192" s="59">
        <f t="shared" si="154"/>
        <v>252.3617347568813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0</v>
      </c>
      <c r="EW192" s="21">
        <f>EXP(-LN(2)/25)*EW191+(1-EXP(-LN(2)/25))/(LN(2)/25)*Calculateur!ER192*Calculateur!ET192*VLOOKUP('Données projet'!$B$15,Paramètres!$A$1:$I$89,3,0)*0.475*44/12</f>
        <v>3.7813078290931362E-2</v>
      </c>
      <c r="EX192" s="21">
        <f>EXP(-LN(2)/2)*EX191+(1-EXP(-LN(2)/2))/(LN(2)/2)*ER192*EU192*VLOOKUP('Données projet'!$B$15,Paramètres!$A$1:$I$89,3,0)*0.475*44/12</f>
        <v>7.2403612661426344E-24</v>
      </c>
      <c r="EY192" s="22">
        <f t="shared" si="181"/>
        <v>3.7813078290931362E-2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69.743746951225745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-1.1368683772161603E-13</v>
      </c>
      <c r="FF192" s="17">
        <f>FE192*VLOOKUP('Données projet'!$B$16,Paramètres!$A$1:$I$89,3,0)*VLOOKUP('Données projet'!$B$16,Paramètres!$A$1:$I$89,5,0)</f>
        <v>-1.0995790944434703E-13</v>
      </c>
      <c r="FG192" s="13" t="e">
        <f t="shared" si="182"/>
        <v>#NUM!</v>
      </c>
      <c r="FH192" s="20" t="e">
        <f t="shared" si="183"/>
        <v>#NUM!</v>
      </c>
      <c r="FI192" s="59" t="e">
        <f t="shared" si="131"/>
        <v>#NUM!</v>
      </c>
      <c r="FJ192" s="59">
        <f ca="1">AVERAGE(OFFSET($FI$3,0,0,'Données projet'!$E$16+1,1))-AVERAGE(OFFSET($H$3,0,0,'Données projet'!$E$16+1,1))</f>
        <v>422.28024471365825</v>
      </c>
      <c r="FK192" s="59">
        <f t="shared" si="156"/>
        <v>266.49730479813206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0</v>
      </c>
      <c r="FR192" s="21">
        <f>EXP(-LN(2)/25)*FR191+(1-EXP(-LN(2)/25))/(LN(2)/25)*Calculateur!FM192*Calculateur!FO192*VLOOKUP('Données projet'!$B$16,Paramètres!$A$1:$I$89,3,0)*0.475*44/12</f>
        <v>4.0420876793754168E-2</v>
      </c>
      <c r="FS192" s="21">
        <f>EXP(-LN(2)/2)*FS191+(1-EXP(-LN(2)/2))/(LN(2)/2)*FM192*FP192*VLOOKUP('Données projet'!$B$16,Paramètres!$A$1:$I$89,3,0)*0.475*44/12</f>
        <v>7.7396965258766076E-24</v>
      </c>
      <c r="FT192" s="22">
        <f t="shared" si="184"/>
        <v>4.0420876793754168E-2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69.743746951225745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3.4106051316484809E-13</v>
      </c>
      <c r="GA192" s="17">
        <f>FZ192*VLOOKUP('Données projet'!$B$17,Paramètres!$A$1:$I$89,3,0)*VLOOKUP('Données projet'!$B$17,Paramètres!$A$1:$I$89,5,0)</f>
        <v>2.6602720026858149E-13</v>
      </c>
      <c r="GB192" s="13">
        <f t="shared" si="185"/>
        <v>3.5662905043956649E-12</v>
      </c>
      <c r="GC192" s="20">
        <f t="shared" si="186"/>
        <v>6.6746200022902298E-12</v>
      </c>
      <c r="GD192" s="59">
        <f t="shared" si="134"/>
        <v>292.39373882116774</v>
      </c>
      <c r="GE192" s="59">
        <f ca="1">AVERAGE(OFFSET($GD$3,0,0,'Données projet'!$E$17+1,1))-AVERAGE(OFFSET($H$3,0,0,'Données projet'!$E$17+1,1))</f>
        <v>300.95722646933314</v>
      </c>
      <c r="GF192" s="59">
        <f t="shared" si="158"/>
        <v>269.52365224623759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>
        <f>EXP(-LN(2)/35)*GL191+(1-EXP(-LN(2)/35))/(LN(2)/35)*GH192*GI192*VLOOKUP('Données projet'!$B$17,Paramètres!$A$1:$I$89,3,0)*0.475*44/12</f>
        <v>3.8175536080324333E-2</v>
      </c>
      <c r="GM192" s="21">
        <f>EXP(-LN(2)/25)*GM191+(1-EXP(-LN(2)/25))/(LN(2)/25)*Calculateur!GH192*Calculateur!GJ192*VLOOKUP('Données projet'!$B$17,Paramètres!$A$1:$I$89,3,0)*0.475*44/12</f>
        <v>7.5958218999402402E-2</v>
      </c>
      <c r="GN192" s="21">
        <f>EXP(-LN(2)/2)*GN191+(1-EXP(-LN(2)/2))/(LN(2)/2)*GH192*GK192*VLOOKUP('Données projet'!$B$17,Paramètres!$A$1:$I$89,3,0)*0.475*44/12</f>
        <v>1.0363304594056802E-23</v>
      </c>
      <c r="GO192" s="21">
        <f t="shared" si="187"/>
        <v>0.11413375507972673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69.743746951225745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1.4000000000000001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5.1333333333333337</v>
      </c>
      <c r="H193" s="67">
        <f t="shared" si="110"/>
        <v>236.13333333333335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69.748192368725995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-3.4106051316484809E-13</v>
      </c>
      <c r="O193" s="13">
        <f>N193*VLOOKUP('Données projet'!$B$9,Paramètres!$A$1:$I$89,3,0)*VLOOKUP('Données projet'!$B$9,Paramètres!$A$1:$I$89,5,0)</f>
        <v>-3.0859155231155454E-13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479.46542424895119</v>
      </c>
      <c r="T193" s="59">
        <f t="shared" si="142"/>
        <v>337.96395820277337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0.10130224309094808</v>
      </c>
      <c r="AA193" s="21">
        <f>EXP(-LN(2)/25)*AA192+(1-EXP(-LN(2)/25))/(LN(2)/25)*Calculateur!V193*Calculateur!X193*VLOOKUP('Données projet'!$B$9,Paramètres!$A$1:$I$89,3,0)*0.475*44/12</f>
        <v>0.13360589661391406</v>
      </c>
      <c r="AB193" s="21">
        <f>EXP(-LN(2)/2)*AB192+(1-EXP(-LN(2)/2))/(LN(2)/2)*V193*Y193*VLOOKUP('Données projet'!$B$9,Paramètres!$A$1:$I$89,3,0)*0.475*44/12</f>
        <v>1.7828502315367263E-23</v>
      </c>
      <c r="AC193" s="22">
        <f t="shared" si="163"/>
        <v>0.23490813970486213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69.748192368725995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-3.4106051316484809E-13</v>
      </c>
      <c r="AJ193" s="13">
        <f>AI193*VLOOKUP('Données projet'!$B$10,Paramètres!$A$1:$I$89,3,0)*VLOOKUP('Données projet'!$B$10,Paramètres!$A$1:$I$89,5,0)</f>
        <v>-3.2987372833304104E-13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508.94560627895089</v>
      </c>
      <c r="AO193" s="59">
        <f t="shared" si="144"/>
        <v>357.86868650263034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0.1082886046834273</v>
      </c>
      <c r="AV193" s="21">
        <f>EXP(-LN(2)/25)*AV192+(1-EXP(-LN(2)/25))/(LN(2)/25)*Calculateur!AQ193*Calculateur!AS193*VLOOKUP('Données projet'!$B$10,Paramètres!$A$1:$I$89,3,0)*0.475*44/12</f>
        <v>0.14282009638039084</v>
      </c>
      <c r="AW193" s="21">
        <f>EXP(-LN(2)/2)*AW192+(1-EXP(-LN(2)/2))/(LN(2)/2)*AQ193*AT193*VLOOKUP('Données projet'!$B$10,Paramètres!$A$1:$I$89,3,0)*0.475*44/12</f>
        <v>1.9058054199185608E-23</v>
      </c>
      <c r="AX193" s="21">
        <f t="shared" si="166"/>
        <v>0.25110870106381811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69.748192368725995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1.7053025658242404E-13</v>
      </c>
      <c r="BE193" s="13">
        <f>BD193*VLOOKUP('Données projet'!$B$11,Paramètres!$A$1:$I$89,3,0)*VLOOKUP('Données projet'!$B$11,Paramètres!$A$1:$I$89,5,0)</f>
        <v>1.3301360013429075E-13</v>
      </c>
      <c r="BF193" s="13">
        <f t="shared" si="167"/>
        <v>1.9329766731057041E-12</v>
      </c>
      <c r="BG193" s="20">
        <f t="shared" si="168"/>
        <v>3.5982663925596575E-12</v>
      </c>
      <c r="BH193" s="59">
        <f t="shared" si="116"/>
        <v>292.41003868533221</v>
      </c>
      <c r="BI193" s="59">
        <f ca="1">AVERAGE(OFFSET($BH$3,0,0,'Données projet'!$E$11+1,1))-AVERAGE(OFFSET($H$3,0,0,'Données projet'!$E$11+1,1))</f>
        <v>383.03154033422328</v>
      </c>
      <c r="BJ193" s="59">
        <f t="shared" si="146"/>
        <v>373.27897156169877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6.0818772791671423E-2</v>
      </c>
      <c r="BQ193" s="21">
        <f>EXP(-LN(2)/25)*BQ192+(1-EXP(-LN(2)/25))/(LN(2)/25)*Calculateur!BL193*Calculateur!BN193*VLOOKUP('Données projet'!$B$11,Paramètres!$A$1:$I$89,3,0)*0.475*44/12</f>
        <v>9.9122209480432419E-2</v>
      </c>
      <c r="BR193" s="21">
        <f>EXP(-LN(2)/2)*BR192+(1-EXP(-LN(2)/2))/(LN(2)/2)*BL193*BO193*VLOOKUP('Données projet'!$B$11,Paramètres!$A$1:$I$89,3,0)*0.475*44/12</f>
        <v>1.0812226345590461E-23</v>
      </c>
      <c r="BS193" s="22">
        <f t="shared" si="169"/>
        <v>0.15994098227210385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69.748192368725995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-3.4106051316484809E-13</v>
      </c>
      <c r="BZ193" s="13">
        <f>BY193*VLOOKUP('Données projet'!$B$12,Paramètres!$A$1:$I$89,3,0)*VLOOKUP('Données projet'!$B$12,Paramètres!$A$1:$I$89,5,0)</f>
        <v>-2.8730937629006804E-13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449.94334483948603</v>
      </c>
      <c r="CE193" s="59">
        <f t="shared" si="148"/>
        <v>318.02929110264176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9.4315881498469006E-2</v>
      </c>
      <c r="CL193" s="21">
        <f>EXP(-LN(2)/25)*CL192+(1-EXP(-LN(2)/25))/(LN(2)/25)*Calculateur!CG193*Calculateur!CI193*VLOOKUP('Données projet'!$B$12,Paramètres!$A$1:$I$89,3,0)*0.475*44/12</f>
        <v>0.12439169684743723</v>
      </c>
      <c r="CM193" s="21">
        <f>EXP(-LN(2)/2)*CM192+(1-EXP(-LN(2)/2))/(LN(2)/2)*CG193*CJ193*VLOOKUP('Données projet'!$B$12,Paramètres!$A$1:$I$89,3,0)*0.475*44/12</f>
        <v>1.6598950431548772E-23</v>
      </c>
      <c r="CN193" s="22">
        <f t="shared" si="172"/>
        <v>0.21870757834590623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69.748192368725995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1.1368683772161603E-13</v>
      </c>
      <c r="CU193" s="17">
        <f>CT193*VLOOKUP('Données projet'!$B$13,Paramètres!$A$1:$I$89,3,0)*VLOOKUP('Données projet'!$B$13,Paramètres!$A$1:$I$89,5,0)</f>
        <v>9.7543306765146564E-14</v>
      </c>
      <c r="CV193" s="13">
        <f t="shared" si="173"/>
        <v>1.4696264278629426E-12</v>
      </c>
      <c r="CW193" s="20">
        <f t="shared" si="174"/>
        <v>2.7294872878105889E-12</v>
      </c>
      <c r="CX193" s="59">
        <f t="shared" si="122"/>
        <v>292.41003868533136</v>
      </c>
      <c r="CY193" s="59">
        <f ca="1">AVERAGE(OFFSET($CX$3,0,0,'Données projet'!$E$13+1,1))-AVERAGE(OFFSET($H$3,0,0,'Données projet'!$E$13+1,1))</f>
        <v>565.32667500225568</v>
      </c>
      <c r="CZ193" s="59">
        <f t="shared" si="150"/>
        <v>275.06957234480944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0</v>
      </c>
      <c r="DG193" s="21">
        <f>EXP(-LN(2)/25)*DG192+(1-EXP(-LN(2)/25))/(LN(2)/25)*Calculateur!DB193*Calculateur!DD193*VLOOKUP('Données projet'!$B$13,Paramètres!$A$1:$I$89,3,0)*0.475*44/12</f>
        <v>5.1881555733087358E-2</v>
      </c>
      <c r="DH193" s="21">
        <f>EXP(-LN(2)/2)*DH192+(1-EXP(-LN(2)/2))/(LN(2)/2)*DB193*DE193*VLOOKUP('Données projet'!$B$13,Paramètres!$A$1:$I$89,3,0)*0.475*44/12</f>
        <v>5.8593572876605285E-24</v>
      </c>
      <c r="DI193" s="22">
        <f t="shared" si="175"/>
        <v>5.1881555733087358E-2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69.748192368725995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-1.2505552149377763E-12</v>
      </c>
      <c r="DP193" s="17">
        <f>DO193*VLOOKUP('Données projet'!$B$14,Paramètres!$A$1:$I$89,3,0)*VLOOKUP('Données projet'!$B$14,Paramètres!$A$1:$I$89,5,0)</f>
        <v>-6.9906036515021697E-13</v>
      </c>
      <c r="DQ193" s="13" t="e">
        <f t="shared" si="176"/>
        <v>#NUM!</v>
      </c>
      <c r="DR193" s="20" t="e">
        <f t="shared" si="177"/>
        <v>#NUM!</v>
      </c>
      <c r="DS193" s="59" t="e">
        <f t="shared" si="125"/>
        <v>#NUM!</v>
      </c>
      <c r="DT193" s="59">
        <f ca="1">AVERAGE(OFFSET($DS$3,0,0,'Données projet'!$E$14+1,1))-AVERAGE(OFFSET($H$3,0,0,'Données projet'!$E$14+1,1))</f>
        <v>532.64469322244281</v>
      </c>
      <c r="DU193" s="59">
        <f t="shared" si="152"/>
        <v>525.88014011096413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0.48031235948294493</v>
      </c>
      <c r="EB193" s="21">
        <f>EXP(-LN(2)/25)*EB192+(1-EXP(-LN(2)/25))/(LN(2)/25)*Calculateur!DW193*Calculateur!DY193*VLOOKUP('Données projet'!$B$14,Paramètres!$A$1:$I$89,3,0)*0.475*44/12</f>
        <v>0.45897093753471047</v>
      </c>
      <c r="EC193" s="21">
        <f>EXP(-LN(2)/2)*EC192+(1-EXP(-LN(2)/2))/(LN(2)/2)*DW193*DZ193*VLOOKUP('Données projet'!$B$14,Paramètres!$A$1:$I$89,3,0)*0.475*44/12</f>
        <v>3.0168841432024578E-23</v>
      </c>
      <c r="ED193" s="22">
        <f t="shared" si="178"/>
        <v>0.93928329701765545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69.748192368725995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-1.1368683772161603E-13</v>
      </c>
      <c r="EK193" s="17">
        <f>EJ193*VLOOKUP('Données projet'!$B$15,Paramètres!$A$1:$I$89,3,0)*VLOOKUP('Données projet'!$B$15,Paramètres!$A$1:$I$89,5,0)</f>
        <v>-1.0286385077051818E-13</v>
      </c>
      <c r="EL193" s="13" t="e">
        <f t="shared" si="179"/>
        <v>#NUM!</v>
      </c>
      <c r="EM193" s="20" t="e">
        <f t="shared" si="180"/>
        <v>#NUM!</v>
      </c>
      <c r="EN193" s="59" t="e">
        <f t="shared" si="128"/>
        <v>#NUM!</v>
      </c>
      <c r="EO193" s="59">
        <f ca="1">AVERAGE(OFFSET($EN$3,0,0,'Données projet'!$E$15+1,1))-AVERAGE(OFFSET($H$3,0,0,'Données projet'!$E$15+1,1))</f>
        <v>398.27843768730202</v>
      </c>
      <c r="EP193" s="59">
        <f t="shared" si="154"/>
        <v>252.3617347568813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0</v>
      </c>
      <c r="EW193" s="21">
        <f>EXP(-LN(2)/25)*EW192+(1-EXP(-LN(2)/25))/(LN(2)/25)*Calculateur!ER193*Calculateur!ET193*VLOOKUP('Données projet'!$B$15,Paramètres!$A$1:$I$89,3,0)*0.475*44/12</f>
        <v>3.677907767656248E-2</v>
      </c>
      <c r="EX193" s="21">
        <f>EXP(-LN(2)/2)*EX192+(1-EXP(-LN(2)/2))/(LN(2)/2)*ER193*EU193*VLOOKUP('Données projet'!$B$15,Paramètres!$A$1:$I$89,3,0)*0.475*44/12</f>
        <v>5.119708549529874E-24</v>
      </c>
      <c r="EY193" s="22">
        <f t="shared" si="181"/>
        <v>3.677907767656248E-2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69.748192368725995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-1.1368683772161603E-13</v>
      </c>
      <c r="FF193" s="17">
        <f>FE193*VLOOKUP('Données projet'!$B$16,Paramètres!$A$1:$I$89,3,0)*VLOOKUP('Données projet'!$B$16,Paramètres!$A$1:$I$89,5,0)</f>
        <v>-1.0995790944434703E-13</v>
      </c>
      <c r="FG193" s="13" t="e">
        <f t="shared" si="182"/>
        <v>#NUM!</v>
      </c>
      <c r="FH193" s="20" t="e">
        <f t="shared" si="183"/>
        <v>#NUM!</v>
      </c>
      <c r="FI193" s="59" t="e">
        <f t="shared" si="131"/>
        <v>#NUM!</v>
      </c>
      <c r="FJ193" s="59">
        <f ca="1">AVERAGE(OFFSET($FI$3,0,0,'Données projet'!$E$16+1,1))-AVERAGE(OFFSET($H$3,0,0,'Données projet'!$E$16+1,1))</f>
        <v>422.28024471365825</v>
      </c>
      <c r="FK193" s="59">
        <f t="shared" si="156"/>
        <v>266.49730479813206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0</v>
      </c>
      <c r="FR193" s="21">
        <f>EXP(-LN(2)/25)*FR192+(1-EXP(-LN(2)/25))/(LN(2)/25)*Calculateur!FM193*Calculateur!FO193*VLOOKUP('Données projet'!$B$16,Paramètres!$A$1:$I$89,3,0)*0.475*44/12</f>
        <v>3.931556579218743E-2</v>
      </c>
      <c r="FS193" s="21">
        <f>EXP(-LN(2)/2)*FS192+(1-EXP(-LN(2)/2))/(LN(2)/2)*FM193*FP193*VLOOKUP('Données projet'!$B$16,Paramètres!$A$1:$I$89,3,0)*0.475*44/12</f>
        <v>5.4727918977733126E-24</v>
      </c>
      <c r="FT193" s="22">
        <f t="shared" si="184"/>
        <v>3.931556579218743E-2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69.748192368725995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3.4106051316484809E-13</v>
      </c>
      <c r="GA193" s="17">
        <f>FZ193*VLOOKUP('Données projet'!$B$17,Paramètres!$A$1:$I$89,3,0)*VLOOKUP('Données projet'!$B$17,Paramètres!$A$1:$I$89,5,0)</f>
        <v>2.6602720026858149E-13</v>
      </c>
      <c r="GB193" s="13">
        <f t="shared" si="185"/>
        <v>3.5662905043956649E-12</v>
      </c>
      <c r="GC193" s="20">
        <f t="shared" si="186"/>
        <v>6.6746200022902298E-12</v>
      </c>
      <c r="GD193" s="59">
        <f t="shared" si="134"/>
        <v>292.41003868533528</v>
      </c>
      <c r="GE193" s="59">
        <f ca="1">AVERAGE(OFFSET($GD$3,0,0,'Données projet'!$E$17+1,1))-AVERAGE(OFFSET($H$3,0,0,'Données projet'!$E$17+1,1))</f>
        <v>300.95722646933314</v>
      </c>
      <c r="GF193" s="59">
        <f t="shared" si="158"/>
        <v>269.52365224623759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>
        <f>EXP(-LN(2)/35)*GL192+(1-EXP(-LN(2)/35))/(LN(2)/35)*GH193*GI193*VLOOKUP('Données projet'!$B$17,Paramètres!$A$1:$I$89,3,0)*0.475*44/12</f>
        <v>3.7426937102567004E-2</v>
      </c>
      <c r="GM193" s="21">
        <f>EXP(-LN(2)/25)*GM192+(1-EXP(-LN(2)/25))/(LN(2)/25)*Calculateur!GH193*Calculateur!GJ193*VLOOKUP('Données projet'!$B$17,Paramètres!$A$1:$I$89,3,0)*0.475*44/12</f>
        <v>7.3881137506394606E-2</v>
      </c>
      <c r="GN193" s="21">
        <f>EXP(-LN(2)/2)*GN192+(1-EXP(-LN(2)/2))/(LN(2)/2)*GH193*GK193*VLOOKUP('Données projet'!$B$17,Paramètres!$A$1:$I$89,3,0)*0.475*44/12</f>
        <v>7.3279629539592659E-24</v>
      </c>
      <c r="GO193" s="21">
        <f t="shared" si="187"/>
        <v>0.11130807460896161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69.748192368725995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1.4000000000000001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5.1333333333333337</v>
      </c>
      <c r="H194" s="67">
        <f t="shared" si="110"/>
        <v>236.13333333333335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69.752560668171071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-3.4106051316484809E-13</v>
      </c>
      <c r="O194" s="13">
        <f>N194*VLOOKUP('Données projet'!$B$9,Paramètres!$A$1:$I$89,3,0)*VLOOKUP('Données projet'!$B$9,Paramètres!$A$1:$I$89,5,0)</f>
        <v>-3.0859155231155454E-13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479.46542424895119</v>
      </c>
      <c r="T194" s="59">
        <f t="shared" si="142"/>
        <v>337.96395820277337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9.9315767892201798E-2</v>
      </c>
      <c r="AA194" s="21">
        <f>EXP(-LN(2)/25)*AA193+(1-EXP(-LN(2)/25))/(LN(2)/25)*Calculateur!V194*Calculateur!X194*VLOOKUP('Données projet'!$B$9,Paramètres!$A$1:$I$89,3,0)*0.475*44/12</f>
        <v>0.12995243634497783</v>
      </c>
      <c r="AB194" s="21">
        <f>EXP(-LN(2)/2)*AB193+(1-EXP(-LN(2)/2))/(LN(2)/2)*V194*Y194*VLOOKUP('Données projet'!$B$9,Paramètres!$A$1:$I$89,3,0)*0.475*44/12</f>
        <v>1.2606654885596255E-23</v>
      </c>
      <c r="AC194" s="22">
        <f t="shared" si="163"/>
        <v>0.22926820423717964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69.752560668171071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-3.4106051316484809E-13</v>
      </c>
      <c r="AJ194" s="13">
        <f>AI194*VLOOKUP('Données projet'!$B$10,Paramètres!$A$1:$I$89,3,0)*VLOOKUP('Données projet'!$B$10,Paramètres!$A$1:$I$89,5,0)</f>
        <v>-3.2987372833304104E-13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508.94560627895089</v>
      </c>
      <c r="AO194" s="59">
        <f t="shared" si="144"/>
        <v>357.86868650263034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0.1061651311951123</v>
      </c>
      <c r="AV194" s="21">
        <f>EXP(-LN(2)/25)*AV193+(1-EXP(-LN(2)/25))/(LN(2)/25)*Calculateur!AQ194*Calculateur!AS194*VLOOKUP('Données projet'!$B$10,Paramètres!$A$1:$I$89,3,0)*0.475*44/12</f>
        <v>0.13891467333428661</v>
      </c>
      <c r="AW194" s="21">
        <f>EXP(-LN(2)/2)*AW193+(1-EXP(-LN(2)/2))/(LN(2)/2)*AQ194*AT194*VLOOKUP('Données projet'!$B$10,Paramètres!$A$1:$I$89,3,0)*0.475*44/12</f>
        <v>1.34760793604649E-23</v>
      </c>
      <c r="AX194" s="21">
        <f t="shared" si="166"/>
        <v>0.24507980452939893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69.752560668171071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1.7053025658242404E-13</v>
      </c>
      <c r="BE194" s="13">
        <f>BD194*VLOOKUP('Données projet'!$B$11,Paramètres!$A$1:$I$89,3,0)*VLOOKUP('Données projet'!$B$11,Paramètres!$A$1:$I$89,5,0)</f>
        <v>1.3301360013429075E-13</v>
      </c>
      <c r="BF194" s="13">
        <f t="shared" si="167"/>
        <v>1.9329766731057041E-12</v>
      </c>
      <c r="BG194" s="20">
        <f t="shared" si="168"/>
        <v>3.5982663925596575E-12</v>
      </c>
      <c r="BH194" s="59">
        <f t="shared" si="116"/>
        <v>292.4260557832975</v>
      </c>
      <c r="BI194" s="59">
        <f ca="1">AVERAGE(OFFSET($BH$3,0,0,'Données projet'!$E$11+1,1))-AVERAGE(OFFSET($H$3,0,0,'Données projet'!$E$11+1,1))</f>
        <v>383.03154033422328</v>
      </c>
      <c r="BJ194" s="59">
        <f t="shared" si="146"/>
        <v>373.27897156169877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5.9626153753015242E-2</v>
      </c>
      <c r="BQ194" s="21">
        <f>EXP(-LN(2)/25)*BQ193+(1-EXP(-LN(2)/25))/(LN(2)/25)*Calculateur!BL194*Calculateur!BN194*VLOOKUP('Données projet'!$B$11,Paramètres!$A$1:$I$89,3,0)*0.475*44/12</f>
        <v>9.641170744957954E-2</v>
      </c>
      <c r="BR194" s="21">
        <f>EXP(-LN(2)/2)*BR193+(1-EXP(-LN(2)/2))/(LN(2)/2)*BL194*BO194*VLOOKUP('Données projet'!$B$11,Paramètres!$A$1:$I$89,3,0)*0.475*44/12</f>
        <v>7.6453985686908586E-24</v>
      </c>
      <c r="BS194" s="22">
        <f t="shared" si="169"/>
        <v>0.15603786120259477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69.752560668171071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-3.4106051316484809E-13</v>
      </c>
      <c r="BZ194" s="13">
        <f>BY194*VLOOKUP('Données projet'!$B$12,Paramètres!$A$1:$I$89,3,0)*VLOOKUP('Données projet'!$B$12,Paramètres!$A$1:$I$89,5,0)</f>
        <v>-2.8730937629006804E-13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449.94334483948603</v>
      </c>
      <c r="CE194" s="59">
        <f t="shared" si="148"/>
        <v>318.02929110264176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9.2466404589291423E-2</v>
      </c>
      <c r="CL194" s="21">
        <f>EXP(-LN(2)/25)*CL193+(1-EXP(-LN(2)/25))/(LN(2)/25)*Calculateur!CG194*Calculateur!CI194*VLOOKUP('Données projet'!$B$12,Paramètres!$A$1:$I$89,3,0)*0.475*44/12</f>
        <v>0.12099019935566901</v>
      </c>
      <c r="CM194" s="21">
        <f>EXP(-LN(2)/2)*CM193+(1-EXP(-LN(2)/2))/(LN(2)/2)*CG194*CJ194*VLOOKUP('Données projet'!$B$12,Paramètres!$A$1:$I$89,3,0)*0.475*44/12</f>
        <v>1.1737230410727506E-23</v>
      </c>
      <c r="CN194" s="22">
        <f t="shared" si="172"/>
        <v>0.21345660394496044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69.752560668171071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1.1368683772161603E-13</v>
      </c>
      <c r="CU194" s="17">
        <f>CT194*VLOOKUP('Données projet'!$B$13,Paramètres!$A$1:$I$89,3,0)*VLOOKUP('Données projet'!$B$13,Paramètres!$A$1:$I$89,5,0)</f>
        <v>9.7543306765146564E-14</v>
      </c>
      <c r="CV194" s="13">
        <f t="shared" si="173"/>
        <v>1.4696264278629426E-12</v>
      </c>
      <c r="CW194" s="20">
        <f t="shared" si="174"/>
        <v>2.7294872878105889E-12</v>
      </c>
      <c r="CX194" s="59">
        <f t="shared" si="122"/>
        <v>292.42605578329665</v>
      </c>
      <c r="CY194" s="59">
        <f ca="1">AVERAGE(OFFSET($CX$3,0,0,'Données projet'!$E$13+1,1))-AVERAGE(OFFSET($H$3,0,0,'Données projet'!$E$13+1,1))</f>
        <v>565.32667500225568</v>
      </c>
      <c r="CZ194" s="59">
        <f t="shared" si="150"/>
        <v>275.06957234480944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0</v>
      </c>
      <c r="DG194" s="21">
        <f>EXP(-LN(2)/25)*DG193+(1-EXP(-LN(2)/25))/(LN(2)/25)*Calculateur!DB194*Calculateur!DD194*VLOOKUP('Données projet'!$B$13,Paramètres!$A$1:$I$89,3,0)*0.475*44/12</f>
        <v>5.0462851863233647E-2</v>
      </c>
      <c r="DH194" s="21">
        <f>EXP(-LN(2)/2)*DH193+(1-EXP(-LN(2)/2))/(LN(2)/2)*DB194*DE194*VLOOKUP('Données projet'!$B$13,Paramètres!$A$1:$I$89,3,0)*0.475*44/12</f>
        <v>4.1431912714995759E-24</v>
      </c>
      <c r="DI194" s="22">
        <f t="shared" si="175"/>
        <v>5.0462851863233647E-2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69.752560668171071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-1.2505552149377763E-12</v>
      </c>
      <c r="DP194" s="17">
        <f>DO194*VLOOKUP('Données projet'!$B$14,Paramètres!$A$1:$I$89,3,0)*VLOOKUP('Données projet'!$B$14,Paramètres!$A$1:$I$89,5,0)</f>
        <v>-6.9906036515021697E-13</v>
      </c>
      <c r="DQ194" s="13" t="e">
        <f t="shared" si="176"/>
        <v>#NUM!</v>
      </c>
      <c r="DR194" s="20" t="e">
        <f t="shared" si="177"/>
        <v>#NUM!</v>
      </c>
      <c r="DS194" s="59" t="e">
        <f t="shared" si="125"/>
        <v>#NUM!</v>
      </c>
      <c r="DT194" s="59">
        <f ca="1">AVERAGE(OFFSET($DS$3,0,0,'Données projet'!$E$14+1,1))-AVERAGE(OFFSET($H$3,0,0,'Données projet'!$E$14+1,1))</f>
        <v>532.64469322244281</v>
      </c>
      <c r="DU194" s="59">
        <f t="shared" si="152"/>
        <v>525.88014011096413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0.47089372707509608</v>
      </c>
      <c r="EB194" s="21">
        <f>EXP(-LN(2)/25)*EB193+(1-EXP(-LN(2)/25))/(LN(2)/25)*Calculateur!DW194*Calculateur!DY194*VLOOKUP('Données projet'!$B$14,Paramètres!$A$1:$I$89,3,0)*0.475*44/12</f>
        <v>0.44642035311159117</v>
      </c>
      <c r="EC194" s="21">
        <f>EXP(-LN(2)/2)*EC193+(1-EXP(-LN(2)/2))/(LN(2)/2)*DW194*DZ194*VLOOKUP('Données projet'!$B$14,Paramètres!$A$1:$I$89,3,0)*0.475*44/12</f>
        <v>2.1332592357126253E-23</v>
      </c>
      <c r="ED194" s="22">
        <f t="shared" si="178"/>
        <v>0.91731408018668725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69.752560668171071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-1.1368683772161603E-13</v>
      </c>
      <c r="EK194" s="17">
        <f>EJ194*VLOOKUP('Données projet'!$B$15,Paramètres!$A$1:$I$89,3,0)*VLOOKUP('Données projet'!$B$15,Paramètres!$A$1:$I$89,5,0)</f>
        <v>-1.0286385077051818E-13</v>
      </c>
      <c r="EL194" s="13" t="e">
        <f t="shared" si="179"/>
        <v>#NUM!</v>
      </c>
      <c r="EM194" s="20" t="e">
        <f t="shared" si="180"/>
        <v>#NUM!</v>
      </c>
      <c r="EN194" s="59" t="e">
        <f t="shared" si="128"/>
        <v>#NUM!</v>
      </c>
      <c r="EO194" s="59">
        <f ca="1">AVERAGE(OFFSET($EN$3,0,0,'Données projet'!$E$15+1,1))-AVERAGE(OFFSET($H$3,0,0,'Données projet'!$E$15+1,1))</f>
        <v>398.27843768730202</v>
      </c>
      <c r="EP194" s="59">
        <f t="shared" si="154"/>
        <v>252.3617347568813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0</v>
      </c>
      <c r="EW194" s="21">
        <f>EXP(-LN(2)/25)*EW193+(1-EXP(-LN(2)/25))/(LN(2)/25)*Calculateur!ER194*Calculateur!ET194*VLOOKUP('Données projet'!$B$15,Paramètres!$A$1:$I$89,3,0)*0.475*44/12</f>
        <v>3.5773351863369246E-2</v>
      </c>
      <c r="EX194" s="21">
        <f>EXP(-LN(2)/2)*EX193+(1-EXP(-LN(2)/2))/(LN(2)/2)*ER194*EU194*VLOOKUP('Données projet'!$B$15,Paramètres!$A$1:$I$89,3,0)*0.475*44/12</f>
        <v>3.6201806330713172E-24</v>
      </c>
      <c r="EY194" s="22">
        <f t="shared" si="181"/>
        <v>3.5773351863369246E-2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69.752560668171071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-1.1368683772161603E-13</v>
      </c>
      <c r="FF194" s="17">
        <f>FE194*VLOOKUP('Données projet'!$B$16,Paramètres!$A$1:$I$89,3,0)*VLOOKUP('Données projet'!$B$16,Paramètres!$A$1:$I$89,5,0)</f>
        <v>-1.0995790944434703E-13</v>
      </c>
      <c r="FG194" s="13" t="e">
        <f t="shared" si="182"/>
        <v>#NUM!</v>
      </c>
      <c r="FH194" s="20" t="e">
        <f t="shared" si="183"/>
        <v>#NUM!</v>
      </c>
      <c r="FI194" s="59" t="e">
        <f t="shared" si="131"/>
        <v>#NUM!</v>
      </c>
      <c r="FJ194" s="59">
        <f ca="1">AVERAGE(OFFSET($FI$3,0,0,'Données projet'!$E$16+1,1))-AVERAGE(OFFSET($H$3,0,0,'Données projet'!$E$16+1,1))</f>
        <v>422.28024471365825</v>
      </c>
      <c r="FK194" s="59">
        <f t="shared" si="156"/>
        <v>266.49730479813206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0</v>
      </c>
      <c r="FR194" s="21">
        <f>EXP(-LN(2)/25)*FR193+(1-EXP(-LN(2)/25))/(LN(2)/25)*Calculateur!FM194*Calculateur!FO194*VLOOKUP('Données projet'!$B$16,Paramètres!$A$1:$I$89,3,0)*0.475*44/12</f>
        <v>3.8240479578084317E-2</v>
      </c>
      <c r="FS194" s="21">
        <f>EXP(-LN(2)/2)*FS193+(1-EXP(-LN(2)/2))/(LN(2)/2)*FM194*FP194*VLOOKUP('Données projet'!$B$16,Paramètres!$A$1:$I$89,3,0)*0.475*44/12</f>
        <v>3.8698482629383038E-24</v>
      </c>
      <c r="FT194" s="22">
        <f t="shared" si="184"/>
        <v>3.8240479578084317E-2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69.752560668171071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3.4106051316484809E-13</v>
      </c>
      <c r="GA194" s="17">
        <f>FZ194*VLOOKUP('Données projet'!$B$17,Paramètres!$A$1:$I$89,3,0)*VLOOKUP('Données projet'!$B$17,Paramètres!$A$1:$I$89,5,0)</f>
        <v>2.6602720026858149E-13</v>
      </c>
      <c r="GB194" s="13">
        <f t="shared" si="185"/>
        <v>3.5662905043956649E-12</v>
      </c>
      <c r="GC194" s="20">
        <f t="shared" si="186"/>
        <v>6.6746200022902298E-12</v>
      </c>
      <c r="GD194" s="59">
        <f t="shared" si="134"/>
        <v>292.42605578330057</v>
      </c>
      <c r="GE194" s="59">
        <f ca="1">AVERAGE(OFFSET($GD$3,0,0,'Données projet'!$E$17+1,1))-AVERAGE(OFFSET($H$3,0,0,'Données projet'!$E$17+1,1))</f>
        <v>300.95722646933314</v>
      </c>
      <c r="GF194" s="59">
        <f t="shared" si="158"/>
        <v>269.52365224623759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>
        <f>EXP(-LN(2)/35)*GL193+(1-EXP(-LN(2)/35))/(LN(2)/35)*GH194*GI194*VLOOKUP('Données projet'!$B$17,Paramètres!$A$1:$I$89,3,0)*0.475*44/12</f>
        <v>3.6693017694163201E-2</v>
      </c>
      <c r="GM194" s="21">
        <f>EXP(-LN(2)/25)*GM193+(1-EXP(-LN(2)/25))/(LN(2)/25)*Calculateur!GH194*Calculateur!GJ194*VLOOKUP('Données projet'!$B$17,Paramètres!$A$1:$I$89,3,0)*0.475*44/12</f>
        <v>7.1860853916042078E-2</v>
      </c>
      <c r="GN194" s="21">
        <f>EXP(-LN(2)/2)*GN193+(1-EXP(-LN(2)/2))/(LN(2)/2)*GH194*GK194*VLOOKUP('Données projet'!$B$17,Paramètres!$A$1:$I$89,3,0)*0.475*44/12</f>
        <v>5.1816522970284011E-24</v>
      </c>
      <c r="GO194" s="21">
        <f t="shared" si="187"/>
        <v>0.10855387161020527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69.752560668171071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1.4000000000000001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5.1333333333333337</v>
      </c>
      <c r="H195" s="67">
        <f t="shared" si="110"/>
        <v>236.13333333333335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69.756853187386838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-3.4106051316484809E-13</v>
      </c>
      <c r="O195" s="13">
        <f>N195*VLOOKUP('Données projet'!$B$9,Paramètres!$A$1:$I$89,3,0)*VLOOKUP('Données projet'!$B$9,Paramètres!$A$1:$I$89,5,0)</f>
        <v>-3.0859155231155454E-13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479.46542424895119</v>
      </c>
      <c r="T195" s="59">
        <f t="shared" si="142"/>
        <v>337.96395820277337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9.7368246260472691E-2</v>
      </c>
      <c r="AA195" s="21">
        <f>EXP(-LN(2)/25)*AA194+(1-EXP(-LN(2)/25))/(LN(2)/25)*Calculateur!V195*Calculateur!X195*VLOOKUP('Données projet'!$B$9,Paramètres!$A$1:$I$89,3,0)*0.475*44/12</f>
        <v>0.12639888013922279</v>
      </c>
      <c r="AB195" s="21">
        <f>EXP(-LN(2)/2)*AB194+(1-EXP(-LN(2)/2))/(LN(2)/2)*V195*Y195*VLOOKUP('Données projet'!$B$9,Paramètres!$A$1:$I$89,3,0)*0.475*44/12</f>
        <v>8.9142511576836316E-24</v>
      </c>
      <c r="AC195" s="22">
        <f t="shared" si="163"/>
        <v>0.22376712639969548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69.756853187386838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-3.4106051316484809E-13</v>
      </c>
      <c r="AJ195" s="13">
        <f>AI195*VLOOKUP('Données projet'!$B$10,Paramètres!$A$1:$I$89,3,0)*VLOOKUP('Données projet'!$B$10,Paramètres!$A$1:$I$89,5,0)</f>
        <v>-3.2987372833304104E-13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508.94560627895089</v>
      </c>
      <c r="AO195" s="59">
        <f t="shared" si="144"/>
        <v>357.86868650263034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0.10408329772671221</v>
      </c>
      <c r="AV195" s="21">
        <f>EXP(-LN(2)/25)*AV194+(1-EXP(-LN(2)/25))/(LN(2)/25)*Calculateur!AQ195*Calculateur!AS195*VLOOKUP('Données projet'!$B$10,Paramètres!$A$1:$I$89,3,0)*0.475*44/12</f>
        <v>0.13511604428675536</v>
      </c>
      <c r="AW195" s="21">
        <f>EXP(-LN(2)/2)*AW194+(1-EXP(-LN(2)/2))/(LN(2)/2)*AQ195*AT195*VLOOKUP('Données projet'!$B$10,Paramètres!$A$1:$I$89,3,0)*0.475*44/12</f>
        <v>9.5290270995928038E-24</v>
      </c>
      <c r="AX195" s="21">
        <f t="shared" si="166"/>
        <v>0.23919934201346757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69.756853187386838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1.7053025658242404E-13</v>
      </c>
      <c r="BE195" s="13">
        <f>BD195*VLOOKUP('Données projet'!$B$11,Paramètres!$A$1:$I$89,3,0)*VLOOKUP('Données projet'!$B$11,Paramètres!$A$1:$I$89,5,0)</f>
        <v>1.3301360013429075E-13</v>
      </c>
      <c r="BF195" s="13">
        <f t="shared" si="167"/>
        <v>1.9329766731057041E-12</v>
      </c>
      <c r="BG195" s="20">
        <f t="shared" si="168"/>
        <v>3.5982663925596575E-12</v>
      </c>
      <c r="BH195" s="59">
        <f t="shared" si="116"/>
        <v>292.44179502042198</v>
      </c>
      <c r="BI195" s="59">
        <f ca="1">AVERAGE(OFFSET($BH$3,0,0,'Données projet'!$E$11+1,1))-AVERAGE(OFFSET($H$3,0,0,'Données projet'!$E$11+1,1))</f>
        <v>383.03154033422328</v>
      </c>
      <c r="BJ195" s="59">
        <f t="shared" si="146"/>
        <v>373.27897156169877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5.8456921246281324E-2</v>
      </c>
      <c r="BQ195" s="21">
        <f>EXP(-LN(2)/25)*BQ194+(1-EXP(-LN(2)/25))/(LN(2)/25)*Calculateur!BL195*Calculateur!BN195*VLOOKUP('Données projet'!$B$11,Paramètres!$A$1:$I$89,3,0)*0.475*44/12</f>
        <v>9.3775324239299448E-2</v>
      </c>
      <c r="BR195" s="21">
        <f>EXP(-LN(2)/2)*BR194+(1-EXP(-LN(2)/2))/(LN(2)/2)*BL195*BO195*VLOOKUP('Données projet'!$B$11,Paramètres!$A$1:$I$89,3,0)*0.475*44/12</f>
        <v>5.4061131727952307E-24</v>
      </c>
      <c r="BS195" s="22">
        <f t="shared" si="169"/>
        <v>0.15223224548558079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69.756853187386838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-3.4106051316484809E-13</v>
      </c>
      <c r="BZ195" s="13">
        <f>BY195*VLOOKUP('Données projet'!$B$12,Paramètres!$A$1:$I$89,3,0)*VLOOKUP('Données projet'!$B$12,Paramètres!$A$1:$I$89,5,0)</f>
        <v>-2.8730937629006804E-13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449.94334483948603</v>
      </c>
      <c r="CE195" s="59">
        <f t="shared" si="148"/>
        <v>318.02929110264176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9.0653194794233283E-2</v>
      </c>
      <c r="CL195" s="21">
        <f>EXP(-LN(2)/25)*CL194+(1-EXP(-LN(2)/25))/(LN(2)/25)*Calculateur!CG195*Calculateur!CI195*VLOOKUP('Données projet'!$B$12,Paramètres!$A$1:$I$89,3,0)*0.475*44/12</f>
        <v>0.11768171599169019</v>
      </c>
      <c r="CM195" s="21">
        <f>EXP(-LN(2)/2)*CM194+(1-EXP(-LN(2)/2))/(LN(2)/2)*CG195*CJ195*VLOOKUP('Données projet'!$B$12,Paramètres!$A$1:$I$89,3,0)*0.475*44/12</f>
        <v>8.2994752157743859E-24</v>
      </c>
      <c r="CN195" s="22">
        <f t="shared" si="172"/>
        <v>0.20833491078592348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69.756853187386838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1.1368683772161603E-13</v>
      </c>
      <c r="CU195" s="17">
        <f>CT195*VLOOKUP('Données projet'!$B$13,Paramètres!$A$1:$I$89,3,0)*VLOOKUP('Données projet'!$B$13,Paramètres!$A$1:$I$89,5,0)</f>
        <v>9.7543306765146564E-14</v>
      </c>
      <c r="CV195" s="13">
        <f t="shared" si="173"/>
        <v>1.4696264278629426E-12</v>
      </c>
      <c r="CW195" s="20">
        <f t="shared" si="174"/>
        <v>2.7294872878105889E-12</v>
      </c>
      <c r="CX195" s="59">
        <f t="shared" si="122"/>
        <v>292.44179502042113</v>
      </c>
      <c r="CY195" s="59">
        <f ca="1">AVERAGE(OFFSET($CX$3,0,0,'Données projet'!$E$13+1,1))-AVERAGE(OFFSET($H$3,0,0,'Données projet'!$E$13+1,1))</f>
        <v>565.32667500225568</v>
      </c>
      <c r="CZ195" s="59">
        <f t="shared" si="150"/>
        <v>275.06957234480944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0</v>
      </c>
      <c r="DG195" s="21">
        <f>EXP(-LN(2)/25)*DG194+(1-EXP(-LN(2)/25))/(LN(2)/25)*Calculateur!DB195*Calculateur!DD195*VLOOKUP('Données projet'!$B$13,Paramètres!$A$1:$I$89,3,0)*0.475*44/12</f>
        <v>4.9082942525307476E-2</v>
      </c>
      <c r="DH195" s="21">
        <f>EXP(-LN(2)/2)*DH194+(1-EXP(-LN(2)/2))/(LN(2)/2)*DB195*DE195*VLOOKUP('Données projet'!$B$13,Paramètres!$A$1:$I$89,3,0)*0.475*44/12</f>
        <v>2.9296786438302643E-24</v>
      </c>
      <c r="DI195" s="22">
        <f t="shared" si="175"/>
        <v>4.9082942525307476E-2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69.756853187386838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-1.2505552149377763E-12</v>
      </c>
      <c r="DP195" s="17">
        <f>DO195*VLOOKUP('Données projet'!$B$14,Paramètres!$A$1:$I$89,3,0)*VLOOKUP('Données projet'!$B$14,Paramètres!$A$1:$I$89,5,0)</f>
        <v>-6.9906036515021697E-13</v>
      </c>
      <c r="DQ195" s="13" t="e">
        <f t="shared" si="176"/>
        <v>#NUM!</v>
      </c>
      <c r="DR195" s="20" t="e">
        <f t="shared" si="177"/>
        <v>#NUM!</v>
      </c>
      <c r="DS195" s="59" t="e">
        <f t="shared" si="125"/>
        <v>#NUM!</v>
      </c>
      <c r="DT195" s="59">
        <f ca="1">AVERAGE(OFFSET($DS$3,0,0,'Données projet'!$E$14+1,1))-AVERAGE(OFFSET($H$3,0,0,'Données projet'!$E$14+1,1))</f>
        <v>532.64469322244281</v>
      </c>
      <c r="DU195" s="59">
        <f t="shared" si="152"/>
        <v>525.88014011096413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0.46165978830396665</v>
      </c>
      <c r="EB195" s="21">
        <f>EXP(-LN(2)/25)*EB194+(1-EXP(-LN(2)/25))/(LN(2)/25)*Calculateur!DW195*Calculateur!DY195*VLOOKUP('Données projet'!$B$14,Paramètres!$A$1:$I$89,3,0)*0.475*44/12</f>
        <v>0.43421296507952867</v>
      </c>
      <c r="EC195" s="21">
        <f>EXP(-LN(2)/2)*EC194+(1-EXP(-LN(2)/2))/(LN(2)/2)*DW195*DZ195*VLOOKUP('Données projet'!$B$14,Paramètres!$A$1:$I$89,3,0)*0.475*44/12</f>
        <v>1.5084420716012289E-23</v>
      </c>
      <c r="ED195" s="22">
        <f t="shared" si="178"/>
        <v>0.89587275338349537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69.756853187386838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-1.1368683772161603E-13</v>
      </c>
      <c r="EK195" s="17">
        <f>EJ195*VLOOKUP('Données projet'!$B$15,Paramètres!$A$1:$I$89,3,0)*VLOOKUP('Données projet'!$B$15,Paramètres!$A$1:$I$89,5,0)</f>
        <v>-1.0286385077051818E-13</v>
      </c>
      <c r="EL195" s="13" t="e">
        <f t="shared" si="179"/>
        <v>#NUM!</v>
      </c>
      <c r="EM195" s="20" t="e">
        <f t="shared" si="180"/>
        <v>#NUM!</v>
      </c>
      <c r="EN195" s="59" t="e">
        <f t="shared" si="128"/>
        <v>#NUM!</v>
      </c>
      <c r="EO195" s="59">
        <f ca="1">AVERAGE(OFFSET($EN$3,0,0,'Données projet'!$E$15+1,1))-AVERAGE(OFFSET($H$3,0,0,'Données projet'!$E$15+1,1))</f>
        <v>398.27843768730202</v>
      </c>
      <c r="EP195" s="59">
        <f t="shared" si="154"/>
        <v>252.3617347568813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0</v>
      </c>
      <c r="EW195" s="21">
        <f>EXP(-LN(2)/25)*EW194+(1-EXP(-LN(2)/25))/(LN(2)/25)*Calculateur!ER195*Calculateur!ET195*VLOOKUP('Données projet'!$B$15,Paramètres!$A$1:$I$89,3,0)*0.475*44/12</f>
        <v>3.4795127675426599E-2</v>
      </c>
      <c r="EX195" s="21">
        <f>EXP(-LN(2)/2)*EX194+(1-EXP(-LN(2)/2))/(LN(2)/2)*ER195*EU195*VLOOKUP('Données projet'!$B$15,Paramètres!$A$1:$I$89,3,0)*0.475*44/12</f>
        <v>2.559854274764937E-24</v>
      </c>
      <c r="EY195" s="22">
        <f t="shared" si="181"/>
        <v>3.4795127675426599E-2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69.756853187386838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-1.1368683772161603E-13</v>
      </c>
      <c r="FF195" s="17">
        <f>FE195*VLOOKUP('Données projet'!$B$16,Paramètres!$A$1:$I$89,3,0)*VLOOKUP('Données projet'!$B$16,Paramètres!$A$1:$I$89,5,0)</f>
        <v>-1.0995790944434703E-13</v>
      </c>
      <c r="FG195" s="13" t="e">
        <f t="shared" si="182"/>
        <v>#NUM!</v>
      </c>
      <c r="FH195" s="20" t="e">
        <f t="shared" si="183"/>
        <v>#NUM!</v>
      </c>
      <c r="FI195" s="59" t="e">
        <f t="shared" si="131"/>
        <v>#NUM!</v>
      </c>
      <c r="FJ195" s="59">
        <f ca="1">AVERAGE(OFFSET($FI$3,0,0,'Données projet'!$E$16+1,1))-AVERAGE(OFFSET($H$3,0,0,'Données projet'!$E$16+1,1))</f>
        <v>422.28024471365825</v>
      </c>
      <c r="FK195" s="59">
        <f t="shared" si="156"/>
        <v>266.49730479813206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0</v>
      </c>
      <c r="FR195" s="21">
        <f>EXP(-LN(2)/25)*FR194+(1-EXP(-LN(2)/25))/(LN(2)/25)*Calculateur!FM195*Calculateur!FO195*VLOOKUP('Données projet'!$B$16,Paramètres!$A$1:$I$89,3,0)*0.475*44/12</f>
        <v>3.7194791653042181E-2</v>
      </c>
      <c r="FS195" s="21">
        <f>EXP(-LN(2)/2)*FS194+(1-EXP(-LN(2)/2))/(LN(2)/2)*FM195*FP195*VLOOKUP('Données projet'!$B$16,Paramètres!$A$1:$I$89,3,0)*0.475*44/12</f>
        <v>2.7363959488866563E-24</v>
      </c>
      <c r="FT195" s="22">
        <f t="shared" si="184"/>
        <v>3.7194791653042181E-2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69.756853187386838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3.4106051316484809E-13</v>
      </c>
      <c r="GA195" s="17">
        <f>FZ195*VLOOKUP('Données projet'!$B$17,Paramètres!$A$1:$I$89,3,0)*VLOOKUP('Données projet'!$B$17,Paramètres!$A$1:$I$89,5,0)</f>
        <v>2.6602720026858149E-13</v>
      </c>
      <c r="GB195" s="13">
        <f t="shared" si="185"/>
        <v>3.5662905043956649E-12</v>
      </c>
      <c r="GC195" s="20">
        <f t="shared" si="186"/>
        <v>6.6746200022902298E-12</v>
      </c>
      <c r="GD195" s="59">
        <f t="shared" si="134"/>
        <v>292.44179502042505</v>
      </c>
      <c r="GE195" s="59">
        <f ca="1">AVERAGE(OFFSET($GD$3,0,0,'Données projet'!$E$17+1,1))-AVERAGE(OFFSET($H$3,0,0,'Données projet'!$E$17+1,1))</f>
        <v>300.95722646933314</v>
      </c>
      <c r="GF195" s="59">
        <f t="shared" si="158"/>
        <v>269.52365224623759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>
        <f>EXP(-LN(2)/35)*GL194+(1-EXP(-LN(2)/35))/(LN(2)/35)*GH195*GI195*VLOOKUP('Données projet'!$B$17,Paramètres!$A$1:$I$89,3,0)*0.475*44/12</f>
        <v>3.5973489997711557E-2</v>
      </c>
      <c r="GM195" s="21">
        <f>EXP(-LN(2)/25)*GM194+(1-EXP(-LN(2)/25))/(LN(2)/25)*Calculateur!GH195*Calculateur!GJ195*VLOOKUP('Données projet'!$B$17,Paramètres!$A$1:$I$89,3,0)*0.475*44/12</f>
        <v>6.9895815086709834E-2</v>
      </c>
      <c r="GN195" s="21">
        <f>EXP(-LN(2)/2)*GN194+(1-EXP(-LN(2)/2))/(LN(2)/2)*GH195*GK195*VLOOKUP('Données projet'!$B$17,Paramètres!$A$1:$I$89,3,0)*0.475*44/12</f>
        <v>3.6639814769796329E-24</v>
      </c>
      <c r="GO195" s="21">
        <f t="shared" si="187"/>
        <v>0.10586930508442138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69.756853187386838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1.4000000000000001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5.1333333333333337</v>
      </c>
      <c r="H196" s="67">
        <f t="shared" ref="H196:H203" si="192">(B196+E196+F196)*44/12+(C196+D196)*0.475*44/12</f>
        <v>236.13333333333335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69.76107124099083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-3.4106051316484809E-13</v>
      </c>
      <c r="O196" s="13">
        <f>N196*VLOOKUP('Données projet'!$B$9,Paramètres!$A$1:$I$89,3,0)*VLOOKUP('Données projet'!$B$9,Paramètres!$A$1:$I$89,5,0)</f>
        <v>-3.0859155231155454E-13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479.46542424895119</v>
      </c>
      <c r="T196" s="59">
        <f t="shared" si="142"/>
        <v>337.96395820277337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9.545891434007088E-2</v>
      </c>
      <c r="AA196" s="21">
        <f>EXP(-LN(2)/25)*AA195+(1-EXP(-LN(2)/25))/(LN(2)/25)*Calculateur!V196*Calculateur!X196*VLOOKUP('Données projet'!$B$9,Paramètres!$A$1:$I$89,3,0)*0.475*44/12</f>
        <v>0.12294249611478753</v>
      </c>
      <c r="AB196" s="21">
        <f>EXP(-LN(2)/2)*AB195+(1-EXP(-LN(2)/2))/(LN(2)/2)*V196*Y196*VLOOKUP('Données projet'!$B$9,Paramètres!$A$1:$I$89,3,0)*0.475*44/12</f>
        <v>6.3033274427981277E-24</v>
      </c>
      <c r="AC196" s="22">
        <f t="shared" si="163"/>
        <v>0.21840141045485839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69.76107124099083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-3.4106051316484809E-13</v>
      </c>
      <c r="AJ196" s="13">
        <f>AI196*VLOOKUP('Données projet'!$B$10,Paramètres!$A$1:$I$89,3,0)*VLOOKUP('Données projet'!$B$10,Paramètres!$A$1:$I$89,5,0)</f>
        <v>-3.2987372833304104E-13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508.94560627895089</v>
      </c>
      <c r="AO196" s="59">
        <f t="shared" si="144"/>
        <v>357.86868650263034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0.10204228774283441</v>
      </c>
      <c r="AV196" s="21">
        <f>EXP(-LN(2)/25)*AV195+(1-EXP(-LN(2)/25))/(LN(2)/25)*Calculateur!AQ196*Calculateur!AS196*VLOOKUP('Données projet'!$B$10,Paramètres!$A$1:$I$89,3,0)*0.475*44/12</f>
        <v>0.13142128895029007</v>
      </c>
      <c r="AW196" s="21">
        <f>EXP(-LN(2)/2)*AW195+(1-EXP(-LN(2)/2))/(LN(2)/2)*AQ196*AT196*VLOOKUP('Données projet'!$B$10,Paramètres!$A$1:$I$89,3,0)*0.475*44/12</f>
        <v>6.7380396802324502E-24</v>
      </c>
      <c r="AX196" s="21">
        <f t="shared" si="166"/>
        <v>0.23346357669312448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69.76107124099083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1.7053025658242404E-13</v>
      </c>
      <c r="BE196" s="13">
        <f>BD196*VLOOKUP('Données projet'!$B$11,Paramètres!$A$1:$I$89,3,0)*VLOOKUP('Données projet'!$B$11,Paramètres!$A$1:$I$89,5,0)</f>
        <v>1.3301360013429075E-13</v>
      </c>
      <c r="BF196" s="13">
        <f t="shared" si="167"/>
        <v>1.9329766731057041E-12</v>
      </c>
      <c r="BG196" s="20">
        <f t="shared" si="168"/>
        <v>3.5982663925596575E-12</v>
      </c>
      <c r="BH196" s="59">
        <f t="shared" ref="BH196:BH203" si="194">BG196+(AY196+AZ196)*44/12</f>
        <v>292.45726121696998</v>
      </c>
      <c r="BI196" s="59">
        <f ca="1">AVERAGE(OFFSET($BH$3,0,0,'Données projet'!$E$11+1,1))-AVERAGE(OFFSET($H$3,0,0,'Données projet'!$E$11+1,1))</f>
        <v>383.03154033422328</v>
      </c>
      <c r="BJ196" s="59">
        <f t="shared" si="146"/>
        <v>373.27897156169877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5.731061667584305E-2</v>
      </c>
      <c r="BQ196" s="21">
        <f>EXP(-LN(2)/25)*BQ195+(1-EXP(-LN(2)/25))/(LN(2)/25)*Calculateur!BL196*Calculateur!BN196*VLOOKUP('Données projet'!$B$11,Paramètres!$A$1:$I$89,3,0)*0.475*44/12</f>
        <v>9.1211033066545835E-2</v>
      </c>
      <c r="BR196" s="21">
        <f>EXP(-LN(2)/2)*BR195+(1-EXP(-LN(2)/2))/(LN(2)/2)*BL196*BO196*VLOOKUP('Données projet'!$B$11,Paramètres!$A$1:$I$89,3,0)*0.475*44/12</f>
        <v>3.8226992843454293E-24</v>
      </c>
      <c r="BS196" s="22">
        <f t="shared" si="169"/>
        <v>0.14852164974238888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69.76107124099083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-3.4106051316484809E-13</v>
      </c>
      <c r="BZ196" s="13">
        <f>BY196*VLOOKUP('Données projet'!$B$12,Paramètres!$A$1:$I$89,3,0)*VLOOKUP('Données projet'!$B$12,Paramètres!$A$1:$I$89,5,0)</f>
        <v>-2.8730937629006804E-13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449.94334483948603</v>
      </c>
      <c r="CE196" s="59">
        <f t="shared" si="148"/>
        <v>318.02929110264176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8.8875540937307457E-2</v>
      </c>
      <c r="CL196" s="21">
        <f>EXP(-LN(2)/25)*CL195+(1-EXP(-LN(2)/25))/(LN(2)/25)*Calculateur!CG196*Calculateur!CI196*VLOOKUP('Données projet'!$B$12,Paramètres!$A$1:$I$89,3,0)*0.475*44/12</f>
        <v>0.11446370327928494</v>
      </c>
      <c r="CM196" s="21">
        <f>EXP(-LN(2)/2)*CM195+(1-EXP(-LN(2)/2))/(LN(2)/2)*CG196*CJ196*VLOOKUP('Données projet'!$B$12,Paramètres!$A$1:$I$89,3,0)*0.475*44/12</f>
        <v>5.8686152053637531E-24</v>
      </c>
      <c r="CN196" s="22">
        <f t="shared" si="172"/>
        <v>0.20333924421659239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69.76107124099083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1.1368683772161603E-13</v>
      </c>
      <c r="CU196" s="17">
        <f>CT196*VLOOKUP('Données projet'!$B$13,Paramètres!$A$1:$I$89,3,0)*VLOOKUP('Données projet'!$B$13,Paramètres!$A$1:$I$89,5,0)</f>
        <v>9.7543306765146564E-14</v>
      </c>
      <c r="CV196" s="13">
        <f t="shared" si="173"/>
        <v>1.4696264278629426E-12</v>
      </c>
      <c r="CW196" s="20">
        <f t="shared" si="174"/>
        <v>2.7294872878105889E-12</v>
      </c>
      <c r="CX196" s="59">
        <f t="shared" ref="CX196:CX203" si="196">CW196+(CO196+CP196)*44/12</f>
        <v>292.45726121696913</v>
      </c>
      <c r="CY196" s="59">
        <f ca="1">AVERAGE(OFFSET($CX$3,0,0,'Données projet'!$E$13+1,1))-AVERAGE(OFFSET($H$3,0,0,'Données projet'!$E$13+1,1))</f>
        <v>565.32667500225568</v>
      </c>
      <c r="CZ196" s="59">
        <f t="shared" si="150"/>
        <v>275.06957234480944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0</v>
      </c>
      <c r="DG196" s="21">
        <f>EXP(-LN(2)/25)*DG195+(1-EXP(-LN(2)/25))/(LN(2)/25)*Calculateur!DB196*Calculateur!DD196*VLOOKUP('Données projet'!$B$13,Paramètres!$A$1:$I$89,3,0)*0.475*44/12</f>
        <v>4.7740766880793178E-2</v>
      </c>
      <c r="DH196" s="21">
        <f>EXP(-LN(2)/2)*DH195+(1-EXP(-LN(2)/2))/(LN(2)/2)*DB196*DE196*VLOOKUP('Données projet'!$B$13,Paramètres!$A$1:$I$89,3,0)*0.475*44/12</f>
        <v>2.0715956357497879E-24</v>
      </c>
      <c r="DI196" s="22">
        <f t="shared" si="175"/>
        <v>4.7740766880793178E-2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69.76107124099083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-1.2505552149377763E-12</v>
      </c>
      <c r="DP196" s="17">
        <f>DO196*VLOOKUP('Données projet'!$B$14,Paramètres!$A$1:$I$89,3,0)*VLOOKUP('Données projet'!$B$14,Paramètres!$A$1:$I$89,5,0)</f>
        <v>-6.9906036515021697E-13</v>
      </c>
      <c r="DQ196" s="13" t="e">
        <f t="shared" si="176"/>
        <v>#NUM!</v>
      </c>
      <c r="DR196" s="20" t="e">
        <f t="shared" si="177"/>
        <v>#NUM!</v>
      </c>
      <c r="DS196" s="59" t="e">
        <f t="shared" ref="DS196:DS203" si="197">DR196+(DJ196+DK196)*44/12</f>
        <v>#NUM!</v>
      </c>
      <c r="DT196" s="59">
        <f ca="1">AVERAGE(OFFSET($DS$3,0,0,'Données projet'!$E$14+1,1))-AVERAGE(OFFSET($H$3,0,0,'Données projet'!$E$14+1,1))</f>
        <v>532.64469322244281</v>
      </c>
      <c r="DU196" s="59">
        <f t="shared" si="152"/>
        <v>525.88014011096413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0.45260692143999254</v>
      </c>
      <c r="EB196" s="21">
        <f>EXP(-LN(2)/25)*EB195+(1-EXP(-LN(2)/25))/(LN(2)/25)*Calculateur!DW196*Calculateur!DY196*VLOOKUP('Données projet'!$B$14,Paramètres!$A$1:$I$89,3,0)*0.475*44/12</f>
        <v>0.42233938871516152</v>
      </c>
      <c r="EC196" s="21">
        <f>EXP(-LN(2)/2)*EC195+(1-EXP(-LN(2)/2))/(LN(2)/2)*DW196*DZ196*VLOOKUP('Données projet'!$B$14,Paramètres!$A$1:$I$89,3,0)*0.475*44/12</f>
        <v>1.0666296178563126E-23</v>
      </c>
      <c r="ED196" s="22">
        <f t="shared" si="178"/>
        <v>0.87494631015515401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69.76107124099083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-1.1368683772161603E-13</v>
      </c>
      <c r="EK196" s="17">
        <f>EJ196*VLOOKUP('Données projet'!$B$15,Paramètres!$A$1:$I$89,3,0)*VLOOKUP('Données projet'!$B$15,Paramètres!$A$1:$I$89,5,0)</f>
        <v>-1.0286385077051818E-13</v>
      </c>
      <c r="EL196" s="13" t="e">
        <f t="shared" si="179"/>
        <v>#NUM!</v>
      </c>
      <c r="EM196" s="20" t="e">
        <f t="shared" si="180"/>
        <v>#NUM!</v>
      </c>
      <c r="EN196" s="59" t="e">
        <f t="shared" ref="EN196:EN203" si="198">EM196+(EE196+EF196)*44/12</f>
        <v>#NUM!</v>
      </c>
      <c r="EO196" s="59">
        <f ca="1">AVERAGE(OFFSET($EN$3,0,0,'Données projet'!$E$15+1,1))-AVERAGE(OFFSET($H$3,0,0,'Données projet'!$E$15+1,1))</f>
        <v>398.27843768730202</v>
      </c>
      <c r="EP196" s="59">
        <f t="shared" si="154"/>
        <v>252.3617347568813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0</v>
      </c>
      <c r="EW196" s="21">
        <f>EXP(-LN(2)/25)*EW195+(1-EXP(-LN(2)/25))/(LN(2)/25)*Calculateur!ER196*Calculateur!ET196*VLOOKUP('Données projet'!$B$15,Paramètres!$A$1:$I$89,3,0)*0.475*44/12</f>
        <v>3.3843653079345816E-2</v>
      </c>
      <c r="EX196" s="21">
        <f>EXP(-LN(2)/2)*EX195+(1-EXP(-LN(2)/2))/(LN(2)/2)*ER196*EU196*VLOOKUP('Données projet'!$B$15,Paramètres!$A$1:$I$89,3,0)*0.475*44/12</f>
        <v>1.8100903165356586E-24</v>
      </c>
      <c r="EY196" s="22">
        <f t="shared" si="181"/>
        <v>3.3843653079345816E-2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69.76107124099083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-1.1368683772161603E-13</v>
      </c>
      <c r="FF196" s="17">
        <f>FE196*VLOOKUP('Données projet'!$B$16,Paramètres!$A$1:$I$89,3,0)*VLOOKUP('Données projet'!$B$16,Paramètres!$A$1:$I$89,5,0)</f>
        <v>-1.0995790944434703E-13</v>
      </c>
      <c r="FG196" s="13" t="e">
        <f t="shared" si="182"/>
        <v>#NUM!</v>
      </c>
      <c r="FH196" s="20" t="e">
        <f t="shared" si="183"/>
        <v>#NUM!</v>
      </c>
      <c r="FI196" s="59" t="e">
        <f t="shared" ref="FI196:FI203" si="199">FH196+(EZ196+FA196)*44/12</f>
        <v>#NUM!</v>
      </c>
      <c r="FJ196" s="59">
        <f ca="1">AVERAGE(OFFSET($FI$3,0,0,'Données projet'!$E$16+1,1))-AVERAGE(OFFSET($H$3,0,0,'Données projet'!$E$16+1,1))</f>
        <v>422.28024471365825</v>
      </c>
      <c r="FK196" s="59">
        <f t="shared" si="156"/>
        <v>266.49730479813206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0</v>
      </c>
      <c r="FR196" s="21">
        <f>EXP(-LN(2)/25)*FR195+(1-EXP(-LN(2)/25))/(LN(2)/25)*Calculateur!FM196*Calculateur!FO196*VLOOKUP('Données projet'!$B$16,Paramètres!$A$1:$I$89,3,0)*0.475*44/12</f>
        <v>3.6177698119300661E-2</v>
      </c>
      <c r="FS196" s="21">
        <f>EXP(-LN(2)/2)*FS195+(1-EXP(-LN(2)/2))/(LN(2)/2)*FM196*FP196*VLOOKUP('Données projet'!$B$16,Paramètres!$A$1:$I$89,3,0)*0.475*44/12</f>
        <v>1.9349241314691519E-24</v>
      </c>
      <c r="FT196" s="22">
        <f t="shared" si="184"/>
        <v>3.6177698119300661E-2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69.76107124099083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3.4106051316484809E-13</v>
      </c>
      <c r="GA196" s="17">
        <f>FZ196*VLOOKUP('Données projet'!$B$17,Paramètres!$A$1:$I$89,3,0)*VLOOKUP('Données projet'!$B$17,Paramètres!$A$1:$I$89,5,0)</f>
        <v>2.6602720026858149E-13</v>
      </c>
      <c r="GB196" s="13">
        <f t="shared" si="185"/>
        <v>3.5662905043956649E-12</v>
      </c>
      <c r="GC196" s="20">
        <f t="shared" si="186"/>
        <v>6.6746200022902298E-12</v>
      </c>
      <c r="GD196" s="59">
        <f t="shared" ref="GD196:GD203" si="200">GC196+(FU196+FV196)*44/12</f>
        <v>292.45726121697305</v>
      </c>
      <c r="GE196" s="59">
        <f ca="1">AVERAGE(OFFSET($GD$3,0,0,'Données projet'!$E$17+1,1))-AVERAGE(OFFSET($H$3,0,0,'Données projet'!$E$17+1,1))</f>
        <v>300.95722646933314</v>
      </c>
      <c r="GF196" s="59">
        <f t="shared" si="158"/>
        <v>269.52365224623759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>
        <f>EXP(-LN(2)/35)*GL195+(1-EXP(-LN(2)/35))/(LN(2)/35)*GH196*GI196*VLOOKUP('Données projet'!$B$17,Paramètres!$A$1:$I$89,3,0)*0.475*44/12</f>
        <v>3.5268071800518774E-2</v>
      </c>
      <c r="GM196" s="21">
        <f>EXP(-LN(2)/25)*GM195+(1-EXP(-LN(2)/25))/(LN(2)/25)*Calculateur!GH196*Calculateur!GJ196*VLOOKUP('Données projet'!$B$17,Paramètres!$A$1:$I$89,3,0)*0.475*44/12</f>
        <v>6.798451034750258E-2</v>
      </c>
      <c r="GN196" s="21">
        <f>EXP(-LN(2)/2)*GN195+(1-EXP(-LN(2)/2))/(LN(2)/2)*GH196*GK196*VLOOKUP('Données projet'!$B$17,Paramètres!$A$1:$I$89,3,0)*0.475*44/12</f>
        <v>2.5908261485142005E-24</v>
      </c>
      <c r="GO196" s="21">
        <f t="shared" si="187"/>
        <v>0.10325258214802135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69.76107124099083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1.4000000000000001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5.1333333333333337</v>
      </c>
      <c r="H197" s="67">
        <f t="shared" si="192"/>
        <v>236.13333333333335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69.76521612079496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-3.4106051316484809E-13</v>
      </c>
      <c r="O197" s="13">
        <f>N197*VLOOKUP('Données projet'!$B$9,Paramètres!$A$1:$I$89,3,0)*VLOOKUP('Données projet'!$B$9,Paramètres!$A$1:$I$89,5,0)</f>
        <v>-3.0859155231155454E-13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479.46542424895119</v>
      </c>
      <c r="T197" s="59">
        <f t="shared" ref="T197:T203" si="204">$T$3</f>
        <v>337.96395820277337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9.3587023254050675E-2</v>
      </c>
      <c r="AA197" s="21">
        <f>EXP(-LN(2)/25)*AA196+(1-EXP(-LN(2)/25))/(LN(2)/25)*Calculateur!V197*Calculateur!X197*VLOOKUP('Données projet'!$B$9,Paramètres!$A$1:$I$89,3,0)*0.475*44/12</f>
        <v>0.11958062709326378</v>
      </c>
      <c r="AB197" s="21">
        <f>EXP(-LN(2)/2)*AB196+(1-EXP(-LN(2)/2))/(LN(2)/2)*V197*Y197*VLOOKUP('Données projet'!$B$9,Paramètres!$A$1:$I$89,3,0)*0.475*44/12</f>
        <v>4.4571255788418158E-24</v>
      </c>
      <c r="AC197" s="22">
        <f t="shared" si="163"/>
        <v>0.21316765034731444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69.76521612079496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-3.4106051316484809E-13</v>
      </c>
      <c r="AJ197" s="13">
        <f>AI197*VLOOKUP('Données projet'!$B$10,Paramètres!$A$1:$I$89,3,0)*VLOOKUP('Données projet'!$B$10,Paramètres!$A$1:$I$89,5,0)</f>
        <v>-3.2987372833304104E-13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508.94560627895089</v>
      </c>
      <c r="AO197" s="59">
        <f t="shared" ref="AO197:AO203" si="205">$AO$3</f>
        <v>357.86868650263034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0.10004130071984731</v>
      </c>
      <c r="AV197" s="21">
        <f>EXP(-LN(2)/25)*AV196+(1-EXP(-LN(2)/25))/(LN(2)/25)*Calculateur!AQ197*Calculateur!AS197*VLOOKUP('Données projet'!$B$10,Paramètres!$A$1:$I$89,3,0)*0.475*44/12</f>
        <v>0.12782756689279917</v>
      </c>
      <c r="AW197" s="21">
        <f>EXP(-LN(2)/2)*AW196+(1-EXP(-LN(2)/2))/(LN(2)/2)*AQ197*AT197*VLOOKUP('Données projet'!$B$10,Paramètres!$A$1:$I$89,3,0)*0.475*44/12</f>
        <v>4.7645135497964019E-24</v>
      </c>
      <c r="AX197" s="21">
        <f t="shared" si="166"/>
        <v>0.22786886761264646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69.76521612079496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1.7053025658242404E-13</v>
      </c>
      <c r="BE197" s="13">
        <f>BD197*VLOOKUP('Données projet'!$B$11,Paramètres!$A$1:$I$89,3,0)*VLOOKUP('Données projet'!$B$11,Paramètres!$A$1:$I$89,5,0)</f>
        <v>1.3301360013429075E-13</v>
      </c>
      <c r="BF197" s="13">
        <f t="shared" si="167"/>
        <v>1.9329766731057041E-12</v>
      </c>
      <c r="BG197" s="20">
        <f t="shared" si="168"/>
        <v>3.5982663925596575E-12</v>
      </c>
      <c r="BH197" s="59">
        <f t="shared" si="194"/>
        <v>292.47245910958509</v>
      </c>
      <c r="BI197" s="59">
        <f ca="1">AVERAGE(OFFSET($BH$3,0,0,'Données projet'!$E$11+1,1))-AVERAGE(OFFSET($H$3,0,0,'Données projet'!$E$11+1,1))</f>
        <v>383.03154033422328</v>
      </c>
      <c r="BJ197" s="59">
        <f t="shared" ref="BJ197:BJ203" si="206">$BJ$3</f>
        <v>373.27897156169877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5.6186790438854321E-2</v>
      </c>
      <c r="BQ197" s="21">
        <f>EXP(-LN(2)/25)*BQ196+(1-EXP(-LN(2)/25))/(LN(2)/25)*Calculateur!BL197*Calculateur!BN197*VLOOKUP('Données projet'!$B$11,Paramètres!$A$1:$I$89,3,0)*0.475*44/12</f>
        <v>8.8716862570761376E-2</v>
      </c>
      <c r="BR197" s="21">
        <f>EXP(-LN(2)/2)*BR196+(1-EXP(-LN(2)/2))/(LN(2)/2)*BL197*BO197*VLOOKUP('Données projet'!$B$11,Paramètres!$A$1:$I$89,3,0)*0.475*44/12</f>
        <v>2.7030565863976154E-24</v>
      </c>
      <c r="BS197" s="22">
        <f t="shared" si="169"/>
        <v>0.14490365300961569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69.76521612079496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-3.4106051316484809E-13</v>
      </c>
      <c r="BZ197" s="13">
        <f>BY197*VLOOKUP('Données projet'!$B$12,Paramètres!$A$1:$I$89,3,0)*VLOOKUP('Données projet'!$B$12,Paramètres!$A$1:$I$89,5,0)</f>
        <v>-2.8730937629006804E-13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449.94334483948603</v>
      </c>
      <c r="CE197" s="59">
        <f t="shared" ref="CE197:CE203" si="207">$CE$3</f>
        <v>318.02929110264176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8.7132745788254168E-2</v>
      </c>
      <c r="CL197" s="21">
        <f>EXP(-LN(2)/25)*CL196+(1-EXP(-LN(2)/25))/(LN(2)/25)*Calculateur!CG197*Calculateur!CI197*VLOOKUP('Données projet'!$B$12,Paramètres!$A$1:$I$89,3,0)*0.475*44/12</f>
        <v>0.11133368729372835</v>
      </c>
      <c r="CM197" s="21">
        <f>EXP(-LN(2)/2)*CM196+(1-EXP(-LN(2)/2))/(LN(2)/2)*CG197*CJ197*VLOOKUP('Données projet'!$B$12,Paramètres!$A$1:$I$89,3,0)*0.475*44/12</f>
        <v>4.1497376078871929E-24</v>
      </c>
      <c r="CN197" s="22">
        <f t="shared" si="172"/>
        <v>0.19846643308198253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69.76521612079496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1.1368683772161603E-13</v>
      </c>
      <c r="CU197" s="17">
        <f>CT197*VLOOKUP('Données projet'!$B$13,Paramètres!$A$1:$I$89,3,0)*VLOOKUP('Données projet'!$B$13,Paramètres!$A$1:$I$89,5,0)</f>
        <v>9.7543306765146564E-14</v>
      </c>
      <c r="CV197" s="13">
        <f t="shared" si="173"/>
        <v>1.4696264278629426E-12</v>
      </c>
      <c r="CW197" s="20">
        <f t="shared" si="174"/>
        <v>2.7294872878105889E-12</v>
      </c>
      <c r="CX197" s="59">
        <f t="shared" si="196"/>
        <v>292.47245910958424</v>
      </c>
      <c r="CY197" s="59">
        <f ca="1">AVERAGE(OFFSET($CX$3,0,0,'Données projet'!$E$13+1,1))-AVERAGE(OFFSET($H$3,0,0,'Données projet'!$E$13+1,1))</f>
        <v>565.32667500225568</v>
      </c>
      <c r="CZ197" s="59">
        <f t="shared" ref="CZ197:CZ203" si="208">$CZ$3</f>
        <v>275.06957234480944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0</v>
      </c>
      <c r="DG197" s="21">
        <f>EXP(-LN(2)/25)*DG196+(1-EXP(-LN(2)/25))/(LN(2)/25)*Calculateur!DB197*Calculateur!DD197*VLOOKUP('Données projet'!$B$13,Paramètres!$A$1:$I$89,3,0)*0.475*44/12</f>
        <v>4.6435293099860074E-2</v>
      </c>
      <c r="DH197" s="21">
        <f>EXP(-LN(2)/2)*DH196+(1-EXP(-LN(2)/2))/(LN(2)/2)*DB197*DE197*VLOOKUP('Données projet'!$B$13,Paramètres!$A$1:$I$89,3,0)*0.475*44/12</f>
        <v>1.4648393219151321E-24</v>
      </c>
      <c r="DI197" s="22">
        <f t="shared" si="175"/>
        <v>4.6435293099860074E-2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69.76521612079496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-1.2505552149377763E-12</v>
      </c>
      <c r="DP197" s="17">
        <f>DO197*VLOOKUP('Données projet'!$B$14,Paramètres!$A$1:$I$89,3,0)*VLOOKUP('Données projet'!$B$14,Paramètres!$A$1:$I$89,5,0)</f>
        <v>-6.9906036515021697E-13</v>
      </c>
      <c r="DQ197" s="13" t="e">
        <f t="shared" si="176"/>
        <v>#NUM!</v>
      </c>
      <c r="DR197" s="20" t="e">
        <f t="shared" si="177"/>
        <v>#NUM!</v>
      </c>
      <c r="DS197" s="59" t="e">
        <f t="shared" si="197"/>
        <v>#NUM!</v>
      </c>
      <c r="DT197" s="59">
        <f ca="1">AVERAGE(OFFSET($DS$3,0,0,'Données projet'!$E$14+1,1))-AVERAGE(OFFSET($H$3,0,0,'Données projet'!$E$14+1,1))</f>
        <v>532.64469322244281</v>
      </c>
      <c r="DU197" s="59">
        <f t="shared" ref="DU197:DU203" si="209">$DU$3</f>
        <v>525.88014011096413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0.44373157577351741</v>
      </c>
      <c r="EB197" s="21">
        <f>EXP(-LN(2)/25)*EB196+(1-EXP(-LN(2)/25))/(LN(2)/25)*Calculateur!DW197*Calculateur!DY197*VLOOKUP('Données projet'!$B$14,Paramètres!$A$1:$I$89,3,0)*0.475*44/12</f>
        <v>0.41079049592088224</v>
      </c>
      <c r="EC197" s="21">
        <f>EXP(-LN(2)/2)*EC196+(1-EXP(-LN(2)/2))/(LN(2)/2)*DW197*DZ197*VLOOKUP('Données projet'!$B$14,Paramètres!$A$1:$I$89,3,0)*0.475*44/12</f>
        <v>7.5422103580061445E-24</v>
      </c>
      <c r="ED197" s="22">
        <f t="shared" si="178"/>
        <v>0.85452207169439964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69.76521612079496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-1.1368683772161603E-13</v>
      </c>
      <c r="EK197" s="17">
        <f>EJ197*VLOOKUP('Données projet'!$B$15,Paramètres!$A$1:$I$89,3,0)*VLOOKUP('Données projet'!$B$15,Paramètres!$A$1:$I$89,5,0)</f>
        <v>-1.0286385077051818E-13</v>
      </c>
      <c r="EL197" s="13" t="e">
        <f t="shared" si="179"/>
        <v>#NUM!</v>
      </c>
      <c r="EM197" s="20" t="e">
        <f t="shared" si="180"/>
        <v>#NUM!</v>
      </c>
      <c r="EN197" s="59" t="e">
        <f t="shared" si="198"/>
        <v>#NUM!</v>
      </c>
      <c r="EO197" s="59">
        <f ca="1">AVERAGE(OFFSET($EN$3,0,0,'Données projet'!$E$15+1,1))-AVERAGE(OFFSET($H$3,0,0,'Données projet'!$E$15+1,1))</f>
        <v>398.27843768730202</v>
      </c>
      <c r="EP197" s="59">
        <f t="shared" ref="EP197:EP203" si="210">$EP$3</f>
        <v>252.3617347568813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0</v>
      </c>
      <c r="EW197" s="21">
        <f>EXP(-LN(2)/25)*EW196+(1-EXP(-LN(2)/25))/(LN(2)/25)*Calculateur!ER197*Calculateur!ET197*VLOOKUP('Données projet'!$B$15,Paramètres!$A$1:$I$89,3,0)*0.475*44/12</f>
        <v>3.291819660613074E-2</v>
      </c>
      <c r="EX197" s="21">
        <f>EXP(-LN(2)/2)*EX196+(1-EXP(-LN(2)/2))/(LN(2)/2)*ER197*EU197*VLOOKUP('Données projet'!$B$15,Paramètres!$A$1:$I$89,3,0)*0.475*44/12</f>
        <v>1.2799271373824685E-24</v>
      </c>
      <c r="EY197" s="22">
        <f t="shared" si="181"/>
        <v>3.291819660613074E-2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69.76521612079496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-1.1368683772161603E-13</v>
      </c>
      <c r="FF197" s="17">
        <f>FE197*VLOOKUP('Données projet'!$B$16,Paramètres!$A$1:$I$89,3,0)*VLOOKUP('Données projet'!$B$16,Paramètres!$A$1:$I$89,5,0)</f>
        <v>-1.0995790944434703E-13</v>
      </c>
      <c r="FG197" s="13" t="e">
        <f t="shared" si="182"/>
        <v>#NUM!</v>
      </c>
      <c r="FH197" s="20" t="e">
        <f t="shared" si="183"/>
        <v>#NUM!</v>
      </c>
      <c r="FI197" s="59" t="e">
        <f t="shared" si="199"/>
        <v>#NUM!</v>
      </c>
      <c r="FJ197" s="59">
        <f ca="1">AVERAGE(OFFSET($FI$3,0,0,'Données projet'!$E$16+1,1))-AVERAGE(OFFSET($H$3,0,0,'Données projet'!$E$16+1,1))</f>
        <v>422.28024471365825</v>
      </c>
      <c r="FK197" s="59">
        <f t="shared" ref="FK197:FK203" si="211">$FK$3</f>
        <v>266.49730479813206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0</v>
      </c>
      <c r="FR197" s="21">
        <f>EXP(-LN(2)/25)*FR196+(1-EXP(-LN(2)/25))/(LN(2)/25)*Calculateur!FM197*Calculateur!FO197*VLOOKUP('Données projet'!$B$16,Paramètres!$A$1:$I$89,3,0)*0.475*44/12</f>
        <v>3.5188417061725923E-2</v>
      </c>
      <c r="FS197" s="21">
        <f>EXP(-LN(2)/2)*FS196+(1-EXP(-LN(2)/2))/(LN(2)/2)*FM197*FP197*VLOOKUP('Données projet'!$B$16,Paramètres!$A$1:$I$89,3,0)*0.475*44/12</f>
        <v>1.3681979744433281E-24</v>
      </c>
      <c r="FT197" s="22">
        <f t="shared" si="184"/>
        <v>3.5188417061725923E-2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69.76521612079496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3.4106051316484809E-13</v>
      </c>
      <c r="GA197" s="17">
        <f>FZ197*VLOOKUP('Données projet'!$B$17,Paramètres!$A$1:$I$89,3,0)*VLOOKUP('Données projet'!$B$17,Paramètres!$A$1:$I$89,5,0)</f>
        <v>2.6602720026858149E-13</v>
      </c>
      <c r="GB197" s="13">
        <f t="shared" si="185"/>
        <v>3.5662905043956649E-12</v>
      </c>
      <c r="GC197" s="20">
        <f t="shared" si="186"/>
        <v>6.6746200022902298E-12</v>
      </c>
      <c r="GD197" s="59">
        <f t="shared" si="200"/>
        <v>292.47245910958816</v>
      </c>
      <c r="GE197" s="59">
        <f ca="1">AVERAGE(OFFSET($GD$3,0,0,'Données projet'!$E$17+1,1))-AVERAGE(OFFSET($H$3,0,0,'Données projet'!$E$17+1,1))</f>
        <v>300.95722646933314</v>
      </c>
      <c r="GF197" s="59">
        <f t="shared" ref="GF197:GF203" si="212">$GF$3</f>
        <v>269.52365224623759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>
        <f>EXP(-LN(2)/35)*GL196+(1-EXP(-LN(2)/35))/(LN(2)/35)*GH197*GI197*VLOOKUP('Données projet'!$B$17,Paramètres!$A$1:$I$89,3,0)*0.475*44/12</f>
        <v>3.4576486423910327E-2</v>
      </c>
      <c r="GM197" s="21">
        <f>EXP(-LN(2)/25)*GM196+(1-EXP(-LN(2)/25))/(LN(2)/25)*Calculateur!GH197*Calculateur!GJ197*VLOOKUP('Données projet'!$B$17,Paramètres!$A$1:$I$89,3,0)*0.475*44/12</f>
        <v>6.6125470336900111E-2</v>
      </c>
      <c r="GN197" s="21">
        <f>EXP(-LN(2)/2)*GN196+(1-EXP(-LN(2)/2))/(LN(2)/2)*GH197*GK197*VLOOKUP('Données projet'!$B$17,Paramètres!$A$1:$I$89,3,0)*0.475*44/12</f>
        <v>1.8319907384898165E-24</v>
      </c>
      <c r="GO197" s="21">
        <f t="shared" si="187"/>
        <v>0.10070195676081044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69.76521612079496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1.4000000000000001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5.1333333333333337</v>
      </c>
      <c r="H198" s="67">
        <f t="shared" si="192"/>
        <v>236.13333333333335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69.769289096201049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-3.4106051316484809E-13</v>
      </c>
      <c r="O198" s="13">
        <f>N198*VLOOKUP('Données projet'!$B$9,Paramètres!$A$1:$I$89,3,0)*VLOOKUP('Données projet'!$B$9,Paramètres!$A$1:$I$89,5,0)</f>
        <v>-3.0859155231155454E-13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479.46542424895119</v>
      </c>
      <c r="T198" s="59">
        <f t="shared" si="204"/>
        <v>337.96395820277337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9.17518388104865E-2</v>
      </c>
      <c r="AA198" s="21">
        <f>EXP(-LN(2)/25)*AA197+(1-EXP(-LN(2)/25))/(LN(2)/25)*Calculateur!V198*Calculateur!X198*VLOOKUP('Données projet'!$B$9,Paramètres!$A$1:$I$89,3,0)*0.475*44/12</f>
        <v>0.11631068855692661</v>
      </c>
      <c r="AB198" s="21">
        <f>EXP(-LN(2)/2)*AB197+(1-EXP(-LN(2)/2))/(LN(2)/2)*V198*Y198*VLOOKUP('Données projet'!$B$9,Paramètres!$A$1:$I$89,3,0)*0.475*44/12</f>
        <v>3.1516637213990639E-24</v>
      </c>
      <c r="AC198" s="22">
        <f t="shared" si="163"/>
        <v>0.2080625273674131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69.769289096201049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-3.4106051316484809E-13</v>
      </c>
      <c r="AJ198" s="13">
        <f>AI198*VLOOKUP('Données projet'!$B$10,Paramètres!$A$1:$I$89,3,0)*VLOOKUP('Données projet'!$B$10,Paramètres!$A$1:$I$89,5,0)</f>
        <v>-3.2987372833304104E-13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508.94560627895089</v>
      </c>
      <c r="AO198" s="59">
        <f t="shared" si="205"/>
        <v>357.86868650263034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9.8079551831899398E-2</v>
      </c>
      <c r="AV198" s="21">
        <f>EXP(-LN(2)/25)*AV197+(1-EXP(-LN(2)/25))/(LN(2)/25)*Calculateur!AQ198*Calculateur!AS198*VLOOKUP('Données projet'!$B$10,Paramètres!$A$1:$I$89,3,0)*0.475*44/12</f>
        <v>0.12433211535395598</v>
      </c>
      <c r="AW198" s="21">
        <f>EXP(-LN(2)/2)*AW197+(1-EXP(-LN(2)/2))/(LN(2)/2)*AQ198*AT198*VLOOKUP('Données projet'!$B$10,Paramètres!$A$1:$I$89,3,0)*0.475*44/12</f>
        <v>3.3690198401162251E-24</v>
      </c>
      <c r="AX198" s="21">
        <f t="shared" si="166"/>
        <v>0.22241166718585537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69.769289096201049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1.7053025658242404E-13</v>
      </c>
      <c r="BE198" s="13">
        <f>BD198*VLOOKUP('Données projet'!$B$11,Paramètres!$A$1:$I$89,3,0)*VLOOKUP('Données projet'!$B$11,Paramètres!$A$1:$I$89,5,0)</f>
        <v>1.3301360013429075E-13</v>
      </c>
      <c r="BF198" s="13">
        <f t="shared" si="167"/>
        <v>1.9329766731057041E-12</v>
      </c>
      <c r="BG198" s="20">
        <f t="shared" si="168"/>
        <v>3.5982663925596575E-12</v>
      </c>
      <c r="BH198" s="59">
        <f t="shared" si="194"/>
        <v>292.48739335274075</v>
      </c>
      <c r="BI198" s="59">
        <f ca="1">AVERAGE(OFFSET($BH$3,0,0,'Données projet'!$E$11+1,1))-AVERAGE(OFFSET($H$3,0,0,'Données projet'!$E$11+1,1))</f>
        <v>383.03154033422328</v>
      </c>
      <c r="BJ198" s="59">
        <f t="shared" si="206"/>
        <v>373.27897156169877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5.5085001748906619E-2</v>
      </c>
      <c r="BQ198" s="21">
        <f>EXP(-LN(2)/25)*BQ197+(1-EXP(-LN(2)/25))/(LN(2)/25)*Calculateur!BL198*Calculateur!BN198*VLOOKUP('Données projet'!$B$11,Paramètres!$A$1:$I$89,3,0)*0.475*44/12</f>
        <v>8.6290895298346867E-2</v>
      </c>
      <c r="BR198" s="21">
        <f>EXP(-LN(2)/2)*BR197+(1-EXP(-LN(2)/2))/(LN(2)/2)*BL198*BO198*VLOOKUP('Données projet'!$B$11,Paramètres!$A$1:$I$89,3,0)*0.475*44/12</f>
        <v>1.9113496421727147E-24</v>
      </c>
      <c r="BS198" s="22">
        <f t="shared" si="169"/>
        <v>0.14137589704725348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69.769289096201049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-3.4106051316484809E-13</v>
      </c>
      <c r="BZ198" s="13">
        <f>BY198*VLOOKUP('Données projet'!$B$12,Paramètres!$A$1:$I$89,3,0)*VLOOKUP('Données projet'!$B$12,Paramètres!$A$1:$I$89,5,0)</f>
        <v>-2.8730937629006804E-13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449.94334483948603</v>
      </c>
      <c r="CE198" s="59">
        <f t="shared" si="207"/>
        <v>318.02929110264176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8.5424125789073727E-2</v>
      </c>
      <c r="CL198" s="21">
        <f>EXP(-LN(2)/25)*CL197+(1-EXP(-LN(2)/25))/(LN(2)/25)*Calculateur!CG198*Calculateur!CI198*VLOOKUP('Données projet'!$B$12,Paramètres!$A$1:$I$89,3,0)*0.475*44/12</f>
        <v>0.10828926175989718</v>
      </c>
      <c r="CM198" s="21">
        <f>EXP(-LN(2)/2)*CM197+(1-EXP(-LN(2)/2))/(LN(2)/2)*CG198*CJ198*VLOOKUP('Données projet'!$B$12,Paramètres!$A$1:$I$89,3,0)*0.475*44/12</f>
        <v>2.9343076026818765E-24</v>
      </c>
      <c r="CN198" s="22">
        <f t="shared" si="172"/>
        <v>0.19371338754897091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69.769289096201049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1.1368683772161603E-13</v>
      </c>
      <c r="CU198" s="17">
        <f>CT198*VLOOKUP('Données projet'!$B$13,Paramètres!$A$1:$I$89,3,0)*VLOOKUP('Données projet'!$B$13,Paramètres!$A$1:$I$89,5,0)</f>
        <v>9.7543306765146564E-14</v>
      </c>
      <c r="CV198" s="13">
        <f t="shared" si="173"/>
        <v>1.4696264278629426E-12</v>
      </c>
      <c r="CW198" s="20">
        <f t="shared" si="174"/>
        <v>2.7294872878105889E-12</v>
      </c>
      <c r="CX198" s="59">
        <f t="shared" si="196"/>
        <v>292.4873933527399</v>
      </c>
      <c r="CY198" s="59">
        <f ca="1">AVERAGE(OFFSET($CX$3,0,0,'Données projet'!$E$13+1,1))-AVERAGE(OFFSET($H$3,0,0,'Données projet'!$E$13+1,1))</f>
        <v>565.32667500225568</v>
      </c>
      <c r="CZ198" s="59">
        <f t="shared" si="208"/>
        <v>275.06957234480944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0</v>
      </c>
      <c r="DG198" s="21">
        <f>EXP(-LN(2)/25)*DG197+(1-EXP(-LN(2)/25))/(LN(2)/25)*Calculateur!DB198*Calculateur!DD198*VLOOKUP('Données projet'!$B$13,Paramètres!$A$1:$I$89,3,0)*0.475*44/12</f>
        <v>4.5165517568118464E-2</v>
      </c>
      <c r="DH198" s="21">
        <f>EXP(-LN(2)/2)*DH197+(1-EXP(-LN(2)/2))/(LN(2)/2)*DB198*DE198*VLOOKUP('Données projet'!$B$13,Paramètres!$A$1:$I$89,3,0)*0.475*44/12</f>
        <v>1.035797817874894E-24</v>
      </c>
      <c r="DI198" s="22">
        <f t="shared" si="175"/>
        <v>4.5165517568118464E-2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69.769289096201049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-1.2505552149377763E-12</v>
      </c>
      <c r="DP198" s="17">
        <f>DO198*VLOOKUP('Données projet'!$B$14,Paramètres!$A$1:$I$89,3,0)*VLOOKUP('Données projet'!$B$14,Paramètres!$A$1:$I$89,5,0)</f>
        <v>-6.9906036515021697E-13</v>
      </c>
      <c r="DQ198" s="13" t="e">
        <f t="shared" si="176"/>
        <v>#NUM!</v>
      </c>
      <c r="DR198" s="20" t="e">
        <f t="shared" si="177"/>
        <v>#NUM!</v>
      </c>
      <c r="DS198" s="59" t="e">
        <f t="shared" si="197"/>
        <v>#NUM!</v>
      </c>
      <c r="DT198" s="59">
        <f ca="1">AVERAGE(OFFSET($DS$3,0,0,'Données projet'!$E$14+1,1))-AVERAGE(OFFSET($H$3,0,0,'Données projet'!$E$14+1,1))</f>
        <v>532.64469322244281</v>
      </c>
      <c r="DU198" s="59">
        <f t="shared" si="209"/>
        <v>525.88014011096413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0.43503027022213553</v>
      </c>
      <c r="EB198" s="21">
        <f>EXP(-LN(2)/25)*EB197+(1-EXP(-LN(2)/25))/(LN(2)/25)*Calculateur!DW198*Calculateur!DY198*VLOOKUP('Données projet'!$B$14,Paramètres!$A$1:$I$89,3,0)*0.475*44/12</f>
        <v>0.39955740820739238</v>
      </c>
      <c r="EC198" s="21">
        <f>EXP(-LN(2)/2)*EC197+(1-EXP(-LN(2)/2))/(LN(2)/2)*DW198*DZ198*VLOOKUP('Données projet'!$B$14,Paramètres!$A$1:$I$89,3,0)*0.475*44/12</f>
        <v>5.3331480892815631E-24</v>
      </c>
      <c r="ED198" s="22">
        <f t="shared" si="178"/>
        <v>0.83458767842952786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69.769289096201049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-1.1368683772161603E-13</v>
      </c>
      <c r="EK198" s="17">
        <f>EJ198*VLOOKUP('Données projet'!$B$15,Paramètres!$A$1:$I$89,3,0)*VLOOKUP('Données projet'!$B$15,Paramètres!$A$1:$I$89,5,0)</f>
        <v>-1.0286385077051818E-13</v>
      </c>
      <c r="EL198" s="13" t="e">
        <f t="shared" si="179"/>
        <v>#NUM!</v>
      </c>
      <c r="EM198" s="20" t="e">
        <f t="shared" si="180"/>
        <v>#NUM!</v>
      </c>
      <c r="EN198" s="59" t="e">
        <f t="shared" si="198"/>
        <v>#NUM!</v>
      </c>
      <c r="EO198" s="59">
        <f ca="1">AVERAGE(OFFSET($EN$3,0,0,'Données projet'!$E$15+1,1))-AVERAGE(OFFSET($H$3,0,0,'Données projet'!$E$15+1,1))</f>
        <v>398.27843768730202</v>
      </c>
      <c r="EP198" s="59">
        <f t="shared" si="210"/>
        <v>252.3617347568813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0</v>
      </c>
      <c r="EW198" s="21">
        <f>EXP(-LN(2)/25)*EW197+(1-EXP(-LN(2)/25))/(LN(2)/25)*Calculateur!ER198*Calculateur!ET198*VLOOKUP('Données projet'!$B$15,Paramètres!$A$1:$I$89,3,0)*0.475*44/12</f>
        <v>3.2018046788843374E-2</v>
      </c>
      <c r="EX198" s="21">
        <f>EXP(-LN(2)/2)*EX197+(1-EXP(-LN(2)/2))/(LN(2)/2)*ER198*EU198*VLOOKUP('Données projet'!$B$15,Paramètres!$A$1:$I$89,3,0)*0.475*44/12</f>
        <v>9.050451582678293E-25</v>
      </c>
      <c r="EY198" s="22">
        <f t="shared" si="181"/>
        <v>3.2018046788843374E-2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69.769289096201049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-1.1368683772161603E-13</v>
      </c>
      <c r="FF198" s="17">
        <f>FE198*VLOOKUP('Données projet'!$B$16,Paramètres!$A$1:$I$89,3,0)*VLOOKUP('Données projet'!$B$16,Paramètres!$A$1:$I$89,5,0)</f>
        <v>-1.0995790944434703E-13</v>
      </c>
      <c r="FG198" s="13" t="e">
        <f t="shared" si="182"/>
        <v>#NUM!</v>
      </c>
      <c r="FH198" s="20" t="e">
        <f t="shared" si="183"/>
        <v>#NUM!</v>
      </c>
      <c r="FI198" s="59" t="e">
        <f t="shared" si="199"/>
        <v>#NUM!</v>
      </c>
      <c r="FJ198" s="59">
        <f ca="1">AVERAGE(OFFSET($FI$3,0,0,'Données projet'!$E$16+1,1))-AVERAGE(OFFSET($H$3,0,0,'Données projet'!$E$16+1,1))</f>
        <v>422.28024471365825</v>
      </c>
      <c r="FK198" s="59">
        <f t="shared" si="211"/>
        <v>266.49730479813206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0</v>
      </c>
      <c r="FR198" s="21">
        <f>EXP(-LN(2)/25)*FR197+(1-EXP(-LN(2)/25))/(LN(2)/25)*Calculateur!FM198*Calculateur!FO198*VLOOKUP('Données projet'!$B$16,Paramètres!$A$1:$I$89,3,0)*0.475*44/12</f>
        <v>3.4226187946694596E-2</v>
      </c>
      <c r="FS198" s="21">
        <f>EXP(-LN(2)/2)*FS197+(1-EXP(-LN(2)/2))/(LN(2)/2)*FM198*FP198*VLOOKUP('Données projet'!$B$16,Paramètres!$A$1:$I$89,3,0)*0.475*44/12</f>
        <v>9.6746206573457596E-25</v>
      </c>
      <c r="FT198" s="22">
        <f t="shared" si="184"/>
        <v>3.4226187946694596E-2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69.769289096201049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3.4106051316484809E-13</v>
      </c>
      <c r="GA198" s="17">
        <f>FZ198*VLOOKUP('Données projet'!$B$17,Paramètres!$A$1:$I$89,3,0)*VLOOKUP('Données projet'!$B$17,Paramètres!$A$1:$I$89,5,0)</f>
        <v>2.6602720026858149E-13</v>
      </c>
      <c r="GB198" s="13">
        <f t="shared" si="185"/>
        <v>3.5662905043956649E-12</v>
      </c>
      <c r="GC198" s="20">
        <f t="shared" si="186"/>
        <v>6.6746200022902298E-12</v>
      </c>
      <c r="GD198" s="59">
        <f t="shared" si="200"/>
        <v>292.48739335274382</v>
      </c>
      <c r="GE198" s="59">
        <f ca="1">AVERAGE(OFFSET($GD$3,0,0,'Données projet'!$E$17+1,1))-AVERAGE(OFFSET($H$3,0,0,'Données projet'!$E$17+1,1))</f>
        <v>300.95722646933314</v>
      </c>
      <c r="GF198" s="59">
        <f t="shared" si="212"/>
        <v>269.52365224623759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>
        <f>EXP(-LN(2)/35)*GL197+(1-EXP(-LN(2)/35))/(LN(2)/35)*GH198*GI198*VLOOKUP('Données projet'!$B$17,Paramètres!$A$1:$I$89,3,0)*0.475*44/12</f>
        <v>3.3898462614711744E-2</v>
      </c>
      <c r="GM198" s="21">
        <f>EXP(-LN(2)/25)*GM197+(1-EXP(-LN(2)/25))/(LN(2)/25)*Calculateur!GH198*Calculateur!GJ198*VLOOKUP('Données projet'!$B$17,Paramètres!$A$1:$I$89,3,0)*0.475*44/12</f>
        <v>6.4317265873150217E-2</v>
      </c>
      <c r="GN198" s="21">
        <f>EXP(-LN(2)/2)*GN197+(1-EXP(-LN(2)/2))/(LN(2)/2)*GH198*GK198*VLOOKUP('Données projet'!$B$17,Paramètres!$A$1:$I$89,3,0)*0.475*44/12</f>
        <v>1.2954130742571003E-24</v>
      </c>
      <c r="GO198" s="21">
        <f t="shared" si="187"/>
        <v>9.8215728487861961E-2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69.769289096201049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1.4000000000000001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5.1333333333333337</v>
      </c>
      <c r="H199" s="67">
        <f t="shared" si="192"/>
        <v>236.13333333333335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69.77329141458965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-3.4106051316484809E-13</v>
      </c>
      <c r="O199" s="13">
        <f>N199*VLOOKUP('Données projet'!$B$9,Paramètres!$A$1:$I$89,3,0)*VLOOKUP('Données projet'!$B$9,Paramètres!$A$1:$I$89,5,0)</f>
        <v>-3.0859155231155454E-13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479.46542424895119</v>
      </c>
      <c r="T199" s="59">
        <f t="shared" si="204"/>
        <v>337.96395820277337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8.9952641214508633E-2</v>
      </c>
      <c r="AA199" s="21">
        <f>EXP(-LN(2)/25)*AA198+(1-EXP(-LN(2)/25))/(LN(2)/25)*Calculateur!V199*Calculateur!X199*VLOOKUP('Données projet'!$B$9,Paramètres!$A$1:$I$89,3,0)*0.475*44/12</f>
        <v>0.11313016666182417</v>
      </c>
      <c r="AB199" s="21">
        <f>EXP(-LN(2)/2)*AB198+(1-EXP(-LN(2)/2))/(LN(2)/2)*V199*Y199*VLOOKUP('Données projet'!$B$9,Paramètres!$A$1:$I$89,3,0)*0.475*44/12</f>
        <v>2.2285627894209079E-24</v>
      </c>
      <c r="AC199" s="22">
        <f t="shared" si="163"/>
        <v>0.20308280787633282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69.77329141458965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-3.4106051316484809E-13</v>
      </c>
      <c r="AJ199" s="13">
        <f>AI199*VLOOKUP('Données projet'!$B$10,Paramètres!$A$1:$I$89,3,0)*VLOOKUP('Données projet'!$B$10,Paramètres!$A$1:$I$89,5,0)</f>
        <v>-3.2987372833304104E-13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508.94560627895089</v>
      </c>
      <c r="AO199" s="59">
        <f t="shared" si="205"/>
        <v>357.86868650263034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9.6156271643095481E-2</v>
      </c>
      <c r="AV199" s="21">
        <f>EXP(-LN(2)/25)*AV198+(1-EXP(-LN(2)/25))/(LN(2)/25)*Calculateur!AQ199*Calculateur!AS199*VLOOKUP('Données projet'!$B$10,Paramètres!$A$1:$I$89,3,0)*0.475*44/12</f>
        <v>0.12093224712126027</v>
      </c>
      <c r="AW199" s="21">
        <f>EXP(-LN(2)/2)*AW198+(1-EXP(-LN(2)/2))/(LN(2)/2)*AQ199*AT199*VLOOKUP('Données projet'!$B$10,Paramètres!$A$1:$I$89,3,0)*0.475*44/12</f>
        <v>2.382256774898201E-24</v>
      </c>
      <c r="AX199" s="21">
        <f t="shared" si="166"/>
        <v>0.21708851876435575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69.77329141458965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1.7053025658242404E-13</v>
      </c>
      <c r="BE199" s="13">
        <f>BD199*VLOOKUP('Données projet'!$B$11,Paramètres!$A$1:$I$89,3,0)*VLOOKUP('Données projet'!$B$11,Paramètres!$A$1:$I$89,5,0)</f>
        <v>1.3301360013429075E-13</v>
      </c>
      <c r="BF199" s="13">
        <f t="shared" si="167"/>
        <v>1.9329766731057041E-12</v>
      </c>
      <c r="BG199" s="20">
        <f t="shared" si="168"/>
        <v>3.5982663925596575E-12</v>
      </c>
      <c r="BH199" s="59">
        <f t="shared" si="194"/>
        <v>292.50206852016561</v>
      </c>
      <c r="BI199" s="59">
        <f ca="1">AVERAGE(OFFSET($BH$3,0,0,'Données projet'!$E$11+1,1))-AVERAGE(OFFSET($H$3,0,0,'Données projet'!$E$11+1,1))</f>
        <v>383.03154033422328</v>
      </c>
      <c r="BJ199" s="59">
        <f t="shared" si="206"/>
        <v>373.27897156169877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5.4004818463144047E-2</v>
      </c>
      <c r="BQ199" s="21">
        <f>EXP(-LN(2)/25)*BQ198+(1-EXP(-LN(2)/25))/(LN(2)/25)*Calculateur!BL199*Calculateur!BN199*VLOOKUP('Données projet'!$B$11,Paramètres!$A$1:$I$89,3,0)*0.475*44/12</f>
        <v>8.393126622857261E-2</v>
      </c>
      <c r="BR199" s="21">
        <f>EXP(-LN(2)/2)*BR198+(1-EXP(-LN(2)/2))/(LN(2)/2)*BL199*BO199*VLOOKUP('Données projet'!$B$11,Paramètres!$A$1:$I$89,3,0)*0.475*44/12</f>
        <v>1.3515282931988077E-24</v>
      </c>
      <c r="BS199" s="22">
        <f t="shared" si="169"/>
        <v>0.13793608469171664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69.77329141458965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-3.4106051316484809E-13</v>
      </c>
      <c r="BZ199" s="13">
        <f>BY199*VLOOKUP('Données projet'!$B$12,Paramètres!$A$1:$I$89,3,0)*VLOOKUP('Données projet'!$B$12,Paramètres!$A$1:$I$89,5,0)</f>
        <v>-2.8730937629006804E-13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449.94334483948603</v>
      </c>
      <c r="CE199" s="59">
        <f t="shared" si="207"/>
        <v>318.02929110264176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8.3749010785921923E-2</v>
      </c>
      <c r="CL199" s="21">
        <f>EXP(-LN(2)/25)*CL198+(1-EXP(-LN(2)/25))/(LN(2)/25)*Calculateur!CG199*Calculateur!CI199*VLOOKUP('Données projet'!$B$12,Paramètres!$A$1:$I$89,3,0)*0.475*44/12</f>
        <v>0.10532808620238802</v>
      </c>
      <c r="CM199" s="21">
        <f>EXP(-LN(2)/2)*CM198+(1-EXP(-LN(2)/2))/(LN(2)/2)*CG199*CJ199*VLOOKUP('Données projet'!$B$12,Paramètres!$A$1:$I$89,3,0)*0.475*44/12</f>
        <v>2.0748688039435965E-24</v>
      </c>
      <c r="CN199" s="22">
        <f t="shared" si="172"/>
        <v>0.18907709698830993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69.77329141458965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1.1368683772161603E-13</v>
      </c>
      <c r="CU199" s="17">
        <f>CT199*VLOOKUP('Données projet'!$B$13,Paramètres!$A$1:$I$89,3,0)*VLOOKUP('Données projet'!$B$13,Paramètres!$A$1:$I$89,5,0)</f>
        <v>9.7543306765146564E-14</v>
      </c>
      <c r="CV199" s="13">
        <f t="shared" si="173"/>
        <v>1.4696264278629426E-12</v>
      </c>
      <c r="CW199" s="20">
        <f t="shared" si="174"/>
        <v>2.7294872878105889E-12</v>
      </c>
      <c r="CX199" s="59">
        <f t="shared" si="196"/>
        <v>292.50206852016476</v>
      </c>
      <c r="CY199" s="59">
        <f ca="1">AVERAGE(OFFSET($CX$3,0,0,'Données projet'!$E$13+1,1))-AVERAGE(OFFSET($H$3,0,0,'Données projet'!$E$13+1,1))</f>
        <v>565.32667500225568</v>
      </c>
      <c r="CZ199" s="59">
        <f t="shared" si="208"/>
        <v>275.06957234480944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0</v>
      </c>
      <c r="DG199" s="21">
        <f>EXP(-LN(2)/25)*DG198+(1-EXP(-LN(2)/25))/(LN(2)/25)*Calculateur!DB199*Calculateur!DD199*VLOOKUP('Données projet'!$B$13,Paramètres!$A$1:$I$89,3,0)*0.475*44/12</f>
        <v>4.3930464115066924E-2</v>
      </c>
      <c r="DH199" s="21">
        <f>EXP(-LN(2)/2)*DH198+(1-EXP(-LN(2)/2))/(LN(2)/2)*DB199*DE199*VLOOKUP('Données projet'!$B$13,Paramètres!$A$1:$I$89,3,0)*0.475*44/12</f>
        <v>7.3241966095756607E-25</v>
      </c>
      <c r="DI199" s="22">
        <f t="shared" si="175"/>
        <v>4.3930464115066924E-2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69.77329141458965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-1.2505552149377763E-12</v>
      </c>
      <c r="DP199" s="17">
        <f>DO199*VLOOKUP('Données projet'!$B$14,Paramètres!$A$1:$I$89,3,0)*VLOOKUP('Données projet'!$B$14,Paramètres!$A$1:$I$89,5,0)</f>
        <v>-6.9906036515021697E-13</v>
      </c>
      <c r="DQ199" s="13" t="e">
        <f t="shared" si="176"/>
        <v>#NUM!</v>
      </c>
      <c r="DR199" s="20" t="e">
        <f t="shared" si="177"/>
        <v>#NUM!</v>
      </c>
      <c r="DS199" s="59" t="e">
        <f t="shared" si="197"/>
        <v>#NUM!</v>
      </c>
      <c r="DT199" s="59">
        <f ca="1">AVERAGE(OFFSET($DS$3,0,0,'Données projet'!$E$14+1,1))-AVERAGE(OFFSET($H$3,0,0,'Données projet'!$E$14+1,1))</f>
        <v>532.64469322244281</v>
      </c>
      <c r="DU199" s="59">
        <f t="shared" si="209"/>
        <v>525.88014011096413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0.42649959196534393</v>
      </c>
      <c r="EB199" s="21">
        <f>EXP(-LN(2)/25)*EB198+(1-EXP(-LN(2)/25))/(LN(2)/25)*Calculateur!DW199*Calculateur!DY199*VLOOKUP('Données projet'!$B$14,Paramètres!$A$1:$I$89,3,0)*0.475*44/12</f>
        <v>0.38863148986815033</v>
      </c>
      <c r="EC199" s="21">
        <f>EXP(-LN(2)/2)*EC198+(1-EXP(-LN(2)/2))/(LN(2)/2)*DW199*DZ199*VLOOKUP('Données projet'!$B$14,Paramètres!$A$1:$I$89,3,0)*0.475*44/12</f>
        <v>3.7711051790030722E-24</v>
      </c>
      <c r="ED199" s="22">
        <f t="shared" si="178"/>
        <v>0.81513108183349425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69.77329141458965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-1.1368683772161603E-13</v>
      </c>
      <c r="EK199" s="17">
        <f>EJ199*VLOOKUP('Données projet'!$B$15,Paramètres!$A$1:$I$89,3,0)*VLOOKUP('Données projet'!$B$15,Paramètres!$A$1:$I$89,5,0)</f>
        <v>-1.0286385077051818E-13</v>
      </c>
      <c r="EL199" s="13" t="e">
        <f t="shared" si="179"/>
        <v>#NUM!</v>
      </c>
      <c r="EM199" s="20" t="e">
        <f t="shared" si="180"/>
        <v>#NUM!</v>
      </c>
      <c r="EN199" s="59" t="e">
        <f t="shared" si="198"/>
        <v>#NUM!</v>
      </c>
      <c r="EO199" s="59">
        <f ca="1">AVERAGE(OFFSET($EN$3,0,0,'Données projet'!$E$15+1,1))-AVERAGE(OFFSET($H$3,0,0,'Données projet'!$E$15+1,1))</f>
        <v>398.27843768730202</v>
      </c>
      <c r="EP199" s="59">
        <f t="shared" si="210"/>
        <v>252.3617347568813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0</v>
      </c>
      <c r="EW199" s="21">
        <f>EXP(-LN(2)/25)*EW198+(1-EXP(-LN(2)/25))/(LN(2)/25)*Calculateur!ER199*Calculateur!ET199*VLOOKUP('Données projet'!$B$15,Paramètres!$A$1:$I$89,3,0)*0.475*44/12</f>
        <v>3.1142511615646549E-2</v>
      </c>
      <c r="EX199" s="21">
        <f>EXP(-LN(2)/2)*EX198+(1-EXP(-LN(2)/2))/(LN(2)/2)*ER199*EU199*VLOOKUP('Données projet'!$B$15,Paramètres!$A$1:$I$89,3,0)*0.475*44/12</f>
        <v>6.3996356869123425E-25</v>
      </c>
      <c r="EY199" s="22">
        <f t="shared" si="181"/>
        <v>3.1142511615646549E-2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69.77329141458965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-1.1368683772161603E-13</v>
      </c>
      <c r="FF199" s="17">
        <f>FE199*VLOOKUP('Données projet'!$B$16,Paramètres!$A$1:$I$89,3,0)*VLOOKUP('Données projet'!$B$16,Paramètres!$A$1:$I$89,5,0)</f>
        <v>-1.0995790944434703E-13</v>
      </c>
      <c r="FG199" s="13" t="e">
        <f t="shared" si="182"/>
        <v>#NUM!</v>
      </c>
      <c r="FH199" s="20" t="e">
        <f t="shared" si="183"/>
        <v>#NUM!</v>
      </c>
      <c r="FI199" s="59" t="e">
        <f t="shared" si="199"/>
        <v>#NUM!</v>
      </c>
      <c r="FJ199" s="59">
        <f ca="1">AVERAGE(OFFSET($FI$3,0,0,'Données projet'!$E$16+1,1))-AVERAGE(OFFSET($H$3,0,0,'Données projet'!$E$16+1,1))</f>
        <v>422.28024471365825</v>
      </c>
      <c r="FK199" s="59">
        <f t="shared" si="211"/>
        <v>266.49730479813206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0</v>
      </c>
      <c r="FR199" s="21">
        <f>EXP(-LN(2)/25)*FR198+(1-EXP(-LN(2)/25))/(LN(2)/25)*Calculateur!FM199*Calculateur!FO199*VLOOKUP('Données projet'!$B$16,Paramètres!$A$1:$I$89,3,0)*0.475*44/12</f>
        <v>3.3290271037415234E-2</v>
      </c>
      <c r="FS199" s="21">
        <f>EXP(-LN(2)/2)*FS198+(1-EXP(-LN(2)/2))/(LN(2)/2)*FM199*FP199*VLOOKUP('Données projet'!$B$16,Paramètres!$A$1:$I$89,3,0)*0.475*44/12</f>
        <v>6.8409898722166407E-25</v>
      </c>
      <c r="FT199" s="22">
        <f t="shared" si="184"/>
        <v>3.3290271037415234E-2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69.77329141458965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3.4106051316484809E-13</v>
      </c>
      <c r="GA199" s="17">
        <f>FZ199*VLOOKUP('Données projet'!$B$17,Paramètres!$A$1:$I$89,3,0)*VLOOKUP('Données projet'!$B$17,Paramètres!$A$1:$I$89,5,0)</f>
        <v>2.6602720026858149E-13</v>
      </c>
      <c r="GB199" s="13">
        <f t="shared" si="185"/>
        <v>3.5662905043956649E-12</v>
      </c>
      <c r="GC199" s="20">
        <f t="shared" si="186"/>
        <v>6.6746200022902298E-12</v>
      </c>
      <c r="GD199" s="59">
        <f t="shared" si="200"/>
        <v>292.50206852016868</v>
      </c>
      <c r="GE199" s="59">
        <f ca="1">AVERAGE(OFFSET($GD$3,0,0,'Données projet'!$E$17+1,1))-AVERAGE(OFFSET($H$3,0,0,'Données projet'!$E$17+1,1))</f>
        <v>300.95722646933314</v>
      </c>
      <c r="GF199" s="59">
        <f t="shared" si="212"/>
        <v>269.52365224623759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>
        <f>EXP(-LN(2)/35)*GL198+(1-EXP(-LN(2)/35))/(LN(2)/35)*GH199*GI199*VLOOKUP('Données projet'!$B$17,Paramètres!$A$1:$I$89,3,0)*0.475*44/12</f>
        <v>3.3233734438857854E-2</v>
      </c>
      <c r="GM199" s="21">
        <f>EXP(-LN(2)/25)*GM198+(1-EXP(-LN(2)/25))/(LN(2)/25)*Calculateur!GH199*Calculateur!GJ199*VLOOKUP('Données projet'!$B$17,Paramètres!$A$1:$I$89,3,0)*0.475*44/12</f>
        <v>6.2558506855550908E-2</v>
      </c>
      <c r="GN199" s="21">
        <f>EXP(-LN(2)/2)*GN198+(1-EXP(-LN(2)/2))/(LN(2)/2)*GH199*GK199*VLOOKUP('Données projet'!$B$17,Paramètres!$A$1:$I$89,3,0)*0.475*44/12</f>
        <v>9.1599536924490823E-25</v>
      </c>
      <c r="GO199" s="21">
        <f t="shared" si="187"/>
        <v>9.5792241294408761E-2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69.77329141458965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1.4000000000000001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5.1333333333333337</v>
      </c>
      <c r="H200" s="67">
        <f t="shared" si="192"/>
        <v>236.13333333333335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69.777224301702049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-3.4106051316484809E-13</v>
      </c>
      <c r="O200" s="13">
        <f>N200*VLOOKUP('Données projet'!$B$9,Paramètres!$A$1:$I$89,3,0)*VLOOKUP('Données projet'!$B$9,Paramètres!$A$1:$I$89,5,0)</f>
        <v>-3.0859155231155454E-13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479.46542424895119</v>
      </c>
      <c r="T200" s="59">
        <f t="shared" si="204"/>
        <v>337.96395820277337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8.8188724785985717E-2</v>
      </c>
      <c r="AA200" s="21">
        <f>EXP(-LN(2)/25)*AA199+(1-EXP(-LN(2)/25))/(LN(2)/25)*Calculateur!V200*Calculateur!X200*VLOOKUP('Données projet'!$B$9,Paramètres!$A$1:$I$89,3,0)*0.475*44/12</f>
        <v>0.11003661630519969</v>
      </c>
      <c r="AB200" s="21">
        <f>EXP(-LN(2)/2)*AB199+(1-EXP(-LN(2)/2))/(LN(2)/2)*V200*Y200*VLOOKUP('Données projet'!$B$9,Paramètres!$A$1:$I$89,3,0)*0.475*44/12</f>
        <v>1.5758318606995319E-24</v>
      </c>
      <c r="AC200" s="22">
        <f t="shared" si="163"/>
        <v>0.19822534109118539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69.777224301702049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-3.4106051316484809E-13</v>
      </c>
      <c r="AJ200" s="13">
        <f>AI200*VLOOKUP('Données projet'!$B$10,Paramètres!$A$1:$I$89,3,0)*VLOOKUP('Données projet'!$B$10,Paramètres!$A$1:$I$89,5,0)</f>
        <v>-3.2987372833304104E-13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508.94560627895089</v>
      </c>
      <c r="AO200" s="59">
        <f t="shared" si="205"/>
        <v>357.86868650263034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9.4270705805708926E-2</v>
      </c>
      <c r="AV200" s="21">
        <f>EXP(-LN(2)/25)*AV199+(1-EXP(-LN(2)/25))/(LN(2)/25)*Calculateur!AQ200*Calculateur!AS200*VLOOKUP('Données projet'!$B$10,Paramètres!$A$1:$I$89,3,0)*0.475*44/12</f>
        <v>0.11762534846417892</v>
      </c>
      <c r="AW200" s="21">
        <f>EXP(-LN(2)/2)*AW199+(1-EXP(-LN(2)/2))/(LN(2)/2)*AQ200*AT200*VLOOKUP('Données projet'!$B$10,Paramètres!$A$1:$I$89,3,0)*0.475*44/12</f>
        <v>1.6845099200581126E-24</v>
      </c>
      <c r="AX200" s="21">
        <f t="shared" si="166"/>
        <v>0.21189605426988783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69.777224301702049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1.7053025658242404E-13</v>
      </c>
      <c r="BE200" s="13">
        <f>BD200*VLOOKUP('Données projet'!$B$11,Paramètres!$A$1:$I$89,3,0)*VLOOKUP('Données projet'!$B$11,Paramètres!$A$1:$I$89,5,0)</f>
        <v>1.3301360013429075E-13</v>
      </c>
      <c r="BF200" s="13">
        <f t="shared" si="167"/>
        <v>1.9329766731057041E-12</v>
      </c>
      <c r="BG200" s="20">
        <f t="shared" si="168"/>
        <v>3.5982663925596575E-12</v>
      </c>
      <c r="BH200" s="59">
        <f t="shared" si="194"/>
        <v>292.51648910624442</v>
      </c>
      <c r="BI200" s="59">
        <f ca="1">AVERAGE(OFFSET($BH$3,0,0,'Données projet'!$E$11+1,1))-AVERAGE(OFFSET($H$3,0,0,'Données projet'!$E$11+1,1))</f>
        <v>383.03154033422328</v>
      </c>
      <c r="BJ200" s="59">
        <f t="shared" si="206"/>
        <v>373.27897156169877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5.2945816912768534E-2</v>
      </c>
      <c r="BQ200" s="21">
        <f>EXP(-LN(2)/25)*BQ199+(1-EXP(-LN(2)/25))/(LN(2)/25)*Calculateur!BL200*Calculateur!BN200*VLOOKUP('Données projet'!$B$11,Paramètres!$A$1:$I$89,3,0)*0.475*44/12</f>
        <v>8.1636161339798827E-2</v>
      </c>
      <c r="BR200" s="21">
        <f>EXP(-LN(2)/2)*BR199+(1-EXP(-LN(2)/2))/(LN(2)/2)*BL200*BO200*VLOOKUP('Données projet'!$B$11,Paramètres!$A$1:$I$89,3,0)*0.475*44/12</f>
        <v>9.5567482108635733E-25</v>
      </c>
      <c r="BS200" s="22">
        <f t="shared" si="169"/>
        <v>0.13458197825256735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69.777224301702049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-3.4106051316484809E-13</v>
      </c>
      <c r="BZ200" s="13">
        <f>BY200*VLOOKUP('Données projet'!$B$12,Paramètres!$A$1:$I$89,3,0)*VLOOKUP('Données projet'!$B$12,Paramètres!$A$1:$I$89,5,0)</f>
        <v>-2.8730937629006804E-13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449.94334483948603</v>
      </c>
      <c r="CE200" s="59">
        <f t="shared" si="207"/>
        <v>318.02929110264176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8.210674376626266E-2</v>
      </c>
      <c r="CL200" s="21">
        <f>EXP(-LN(2)/25)*CL199+(1-EXP(-LN(2)/25))/(LN(2)/25)*Calculateur!CG200*Calculateur!CI200*VLOOKUP('Données projet'!$B$12,Paramètres!$A$1:$I$89,3,0)*0.475*44/12</f>
        <v>0.1024478841462204</v>
      </c>
      <c r="CM200" s="21">
        <f>EXP(-LN(2)/2)*CM199+(1-EXP(-LN(2)/2))/(LN(2)/2)*CG200*CJ200*VLOOKUP('Données projet'!$B$12,Paramètres!$A$1:$I$89,3,0)*0.475*44/12</f>
        <v>1.4671538013409383E-24</v>
      </c>
      <c r="CN200" s="22">
        <f t="shared" si="172"/>
        <v>0.18455462791248306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69.777224301702049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1.1368683772161603E-13</v>
      </c>
      <c r="CU200" s="17">
        <f>CT200*VLOOKUP('Données projet'!$B$13,Paramètres!$A$1:$I$89,3,0)*VLOOKUP('Données projet'!$B$13,Paramètres!$A$1:$I$89,5,0)</f>
        <v>9.7543306765146564E-14</v>
      </c>
      <c r="CV200" s="13">
        <f t="shared" si="173"/>
        <v>1.4696264278629426E-12</v>
      </c>
      <c r="CW200" s="20">
        <f t="shared" si="174"/>
        <v>2.7294872878105889E-12</v>
      </c>
      <c r="CX200" s="59">
        <f t="shared" si="196"/>
        <v>292.51648910624357</v>
      </c>
      <c r="CY200" s="59">
        <f ca="1">AVERAGE(OFFSET($CX$3,0,0,'Données projet'!$E$13+1,1))-AVERAGE(OFFSET($H$3,0,0,'Données projet'!$E$13+1,1))</f>
        <v>565.32667500225568</v>
      </c>
      <c r="CZ200" s="59">
        <f t="shared" si="208"/>
        <v>275.06957234480944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0</v>
      </c>
      <c r="DG200" s="21">
        <f>EXP(-LN(2)/25)*DG199+(1-EXP(-LN(2)/25))/(LN(2)/25)*Calculateur!DB200*Calculateur!DD200*VLOOKUP('Données projet'!$B$13,Paramètres!$A$1:$I$89,3,0)*0.475*44/12</f>
        <v>4.2729183263637713E-2</v>
      </c>
      <c r="DH200" s="21">
        <f>EXP(-LN(2)/2)*DH199+(1-EXP(-LN(2)/2))/(LN(2)/2)*DB200*DE200*VLOOKUP('Données projet'!$B$13,Paramètres!$A$1:$I$89,3,0)*0.475*44/12</f>
        <v>5.1789890893744698E-25</v>
      </c>
      <c r="DI200" s="22">
        <f t="shared" si="175"/>
        <v>4.2729183263637713E-2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69.777224301702049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-1.2505552149377763E-12</v>
      </c>
      <c r="DP200" s="17">
        <f>DO200*VLOOKUP('Données projet'!$B$14,Paramètres!$A$1:$I$89,3,0)*VLOOKUP('Données projet'!$B$14,Paramètres!$A$1:$I$89,5,0)</f>
        <v>-6.9906036515021697E-13</v>
      </c>
      <c r="DQ200" s="13" t="e">
        <f t="shared" si="176"/>
        <v>#NUM!</v>
      </c>
      <c r="DR200" s="20" t="e">
        <f t="shared" si="177"/>
        <v>#NUM!</v>
      </c>
      <c r="DS200" s="59" t="e">
        <f t="shared" si="197"/>
        <v>#NUM!</v>
      </c>
      <c r="DT200" s="59">
        <f ca="1">AVERAGE(OFFSET($DS$3,0,0,'Données projet'!$E$14+1,1))-AVERAGE(OFFSET($H$3,0,0,'Données projet'!$E$14+1,1))</f>
        <v>532.64469322244281</v>
      </c>
      <c r="DU200" s="59">
        <f t="shared" si="209"/>
        <v>525.88014011096413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0.41813619510596806</v>
      </c>
      <c r="EB200" s="21">
        <f>EXP(-LN(2)/25)*EB199+(1-EXP(-LN(2)/25))/(LN(2)/25)*Calculateur!DW200*Calculateur!DY200*VLOOKUP('Données projet'!$B$14,Paramètres!$A$1:$I$89,3,0)*0.475*44/12</f>
        <v>0.37800434134046396</v>
      </c>
      <c r="EC200" s="21">
        <f>EXP(-LN(2)/2)*EC199+(1-EXP(-LN(2)/2))/(LN(2)/2)*DW200*DZ200*VLOOKUP('Données projet'!$B$14,Paramètres!$A$1:$I$89,3,0)*0.475*44/12</f>
        <v>2.6665740446407816E-24</v>
      </c>
      <c r="ED200" s="22">
        <f t="shared" si="178"/>
        <v>0.79614053644643201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69.777224301702049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-1.1368683772161603E-13</v>
      </c>
      <c r="EK200" s="17">
        <f>EJ200*VLOOKUP('Données projet'!$B$15,Paramètres!$A$1:$I$89,3,0)*VLOOKUP('Données projet'!$B$15,Paramètres!$A$1:$I$89,5,0)</f>
        <v>-1.0286385077051818E-13</v>
      </c>
      <c r="EL200" s="13" t="e">
        <f t="shared" si="179"/>
        <v>#NUM!</v>
      </c>
      <c r="EM200" s="20" t="e">
        <f t="shared" si="180"/>
        <v>#NUM!</v>
      </c>
      <c r="EN200" s="59" t="e">
        <f t="shared" si="198"/>
        <v>#NUM!</v>
      </c>
      <c r="EO200" s="59">
        <f ca="1">AVERAGE(OFFSET($EN$3,0,0,'Données projet'!$E$15+1,1))-AVERAGE(OFFSET($H$3,0,0,'Données projet'!$E$15+1,1))</f>
        <v>398.27843768730202</v>
      </c>
      <c r="EP200" s="59">
        <f t="shared" si="210"/>
        <v>252.3617347568813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0</v>
      </c>
      <c r="EW200" s="21">
        <f>EXP(-LN(2)/25)*EW199+(1-EXP(-LN(2)/25))/(LN(2)/25)*Calculateur!ER200*Calculateur!ET200*VLOOKUP('Données projet'!$B$15,Paramètres!$A$1:$I$89,3,0)*0.475*44/12</f>
        <v>3.0290917997803184E-2</v>
      </c>
      <c r="EX200" s="21">
        <f>EXP(-LN(2)/2)*EX199+(1-EXP(-LN(2)/2))/(LN(2)/2)*ER200*EU200*VLOOKUP('Données projet'!$B$15,Paramètres!$A$1:$I$89,3,0)*0.475*44/12</f>
        <v>4.5252257913391465E-25</v>
      </c>
      <c r="EY200" s="22">
        <f t="shared" si="181"/>
        <v>3.0290917997803184E-2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69.777224301702049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-1.1368683772161603E-13</v>
      </c>
      <c r="FF200" s="17">
        <f>FE200*VLOOKUP('Données projet'!$B$16,Paramètres!$A$1:$I$89,3,0)*VLOOKUP('Données projet'!$B$16,Paramètres!$A$1:$I$89,5,0)</f>
        <v>-1.0995790944434703E-13</v>
      </c>
      <c r="FG200" s="13" t="e">
        <f t="shared" si="182"/>
        <v>#NUM!</v>
      </c>
      <c r="FH200" s="20" t="e">
        <f t="shared" si="183"/>
        <v>#NUM!</v>
      </c>
      <c r="FI200" s="59" t="e">
        <f t="shared" si="199"/>
        <v>#NUM!</v>
      </c>
      <c r="FJ200" s="59">
        <f ca="1">AVERAGE(OFFSET($FI$3,0,0,'Données projet'!$E$16+1,1))-AVERAGE(OFFSET($H$3,0,0,'Données projet'!$E$16+1,1))</f>
        <v>422.28024471365825</v>
      </c>
      <c r="FK200" s="59">
        <f t="shared" si="211"/>
        <v>266.49730479813206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0</v>
      </c>
      <c r="FR200" s="21">
        <f>EXP(-LN(2)/25)*FR199+(1-EXP(-LN(2)/25))/(LN(2)/25)*Calculateur!FM200*Calculateur!FO200*VLOOKUP('Données projet'!$B$16,Paramètres!$A$1:$I$89,3,0)*0.475*44/12</f>
        <v>3.2379946825237843E-2</v>
      </c>
      <c r="FS200" s="21">
        <f>EXP(-LN(2)/2)*FS199+(1-EXP(-LN(2)/2))/(LN(2)/2)*FM200*FP200*VLOOKUP('Données projet'!$B$16,Paramètres!$A$1:$I$89,3,0)*0.475*44/12</f>
        <v>4.8373103286728798E-25</v>
      </c>
      <c r="FT200" s="22">
        <f t="shared" si="184"/>
        <v>3.2379946825237843E-2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69.777224301702049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3.4106051316484809E-13</v>
      </c>
      <c r="GA200" s="17">
        <f>FZ200*VLOOKUP('Données projet'!$B$17,Paramètres!$A$1:$I$89,3,0)*VLOOKUP('Données projet'!$B$17,Paramètres!$A$1:$I$89,5,0)</f>
        <v>2.6602720026858149E-13</v>
      </c>
      <c r="GB200" s="13">
        <f t="shared" si="185"/>
        <v>3.5662905043956649E-12</v>
      </c>
      <c r="GC200" s="20">
        <f t="shared" si="186"/>
        <v>6.6746200022902298E-12</v>
      </c>
      <c r="GD200" s="59">
        <f t="shared" si="200"/>
        <v>292.51648910624749</v>
      </c>
      <c r="GE200" s="59">
        <f ca="1">AVERAGE(OFFSET($GD$3,0,0,'Données projet'!$E$17+1,1))-AVERAGE(OFFSET($H$3,0,0,'Données projet'!$E$17+1,1))</f>
        <v>300.95722646933314</v>
      </c>
      <c r="GF200" s="59">
        <f t="shared" si="212"/>
        <v>269.52365224623759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>
        <f>EXP(-LN(2)/35)*GL199+(1-EXP(-LN(2)/35))/(LN(2)/35)*GH200*GI200*VLOOKUP('Données projet'!$B$17,Paramètres!$A$1:$I$89,3,0)*0.475*44/12</f>
        <v>3.2582041177088308E-2</v>
      </c>
      <c r="GM200" s="21">
        <f>EXP(-LN(2)/25)*GM199+(1-EXP(-LN(2)/25))/(LN(2)/25)*Calculateur!GH200*Calculateur!GJ200*VLOOKUP('Données projet'!$B$17,Paramètres!$A$1:$I$89,3,0)*0.475*44/12</f>
        <v>6.0847841195776971E-2</v>
      </c>
      <c r="GN200" s="21">
        <f>EXP(-LN(2)/2)*GN199+(1-EXP(-LN(2)/2))/(LN(2)/2)*GH200*GK200*VLOOKUP('Données projet'!$B$17,Paramètres!$A$1:$I$89,3,0)*0.475*44/12</f>
        <v>6.4770653712855014E-25</v>
      </c>
      <c r="GO200" s="21">
        <f t="shared" si="187"/>
        <v>9.3429882372865286E-2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69.777224301702049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1.4000000000000001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5.1333333333333337</v>
      </c>
      <c r="H201" s="67">
        <f t="shared" si="192"/>
        <v>236.13333333333335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69.781088962015673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-3.4106051316484809E-13</v>
      </c>
      <c r="O201" s="13">
        <f>N201*VLOOKUP('Données projet'!$B$9,Paramètres!$A$1:$I$89,3,0)*VLOOKUP('Données projet'!$B$9,Paramètres!$A$1:$I$89,5,0)</f>
        <v>-3.0859155231155454E-13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479.46542424895119</v>
      </c>
      <c r="T201" s="59">
        <f t="shared" si="204"/>
        <v>337.96395820277337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8.6459397682743355E-2</v>
      </c>
      <c r="AA201" s="21">
        <f>EXP(-LN(2)/25)*AA200+(1-EXP(-LN(2)/25))/(LN(2)/25)*Calculateur!V201*Calculateur!X201*VLOOKUP('Données projet'!$B$9,Paramètres!$A$1:$I$89,3,0)*0.475*44/12</f>
        <v>0.10702765924575984</v>
      </c>
      <c r="AB201" s="21">
        <f>EXP(-LN(2)/2)*AB200+(1-EXP(-LN(2)/2))/(LN(2)/2)*V201*Y201*VLOOKUP('Données projet'!$B$9,Paramètres!$A$1:$I$89,3,0)*0.475*44/12</f>
        <v>1.1142813947104539E-24</v>
      </c>
      <c r="AC201" s="22">
        <f t="shared" si="163"/>
        <v>0.19348705692850321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69.781088962015673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-3.4106051316484809E-13</v>
      </c>
      <c r="AJ201" s="13">
        <f>AI201*VLOOKUP('Données projet'!$B$10,Paramètres!$A$1:$I$89,3,0)*VLOOKUP('Données projet'!$B$10,Paramètres!$A$1:$I$89,5,0)</f>
        <v>-3.2987372833304104E-13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508.94560627895089</v>
      </c>
      <c r="AO201" s="59">
        <f t="shared" si="205"/>
        <v>357.86868650263034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9.2422114764311919E-2</v>
      </c>
      <c r="AV201" s="21">
        <f>EXP(-LN(2)/25)*AV200+(1-EXP(-LN(2)/25))/(LN(2)/25)*Calculateur!AQ201*Calculateur!AS201*VLOOKUP('Données projet'!$B$10,Paramètres!$A$1:$I$89,3,0)*0.475*44/12</f>
        <v>0.11440887712477771</v>
      </c>
      <c r="AW201" s="21">
        <f>EXP(-LN(2)/2)*AW200+(1-EXP(-LN(2)/2))/(LN(2)/2)*AQ201*AT201*VLOOKUP('Données projet'!$B$10,Paramètres!$A$1:$I$89,3,0)*0.475*44/12</f>
        <v>1.1911283874491005E-24</v>
      </c>
      <c r="AX201" s="21">
        <f t="shared" si="166"/>
        <v>0.20683099188908963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69.781088962015673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1.7053025658242404E-13</v>
      </c>
      <c r="BE201" s="13">
        <f>BD201*VLOOKUP('Données projet'!$B$11,Paramètres!$A$1:$I$89,3,0)*VLOOKUP('Données projet'!$B$11,Paramètres!$A$1:$I$89,5,0)</f>
        <v>1.3301360013429075E-13</v>
      </c>
      <c r="BF201" s="13">
        <f t="shared" si="167"/>
        <v>1.9329766731057041E-12</v>
      </c>
      <c r="BG201" s="20">
        <f t="shared" si="168"/>
        <v>3.5982663925596575E-12</v>
      </c>
      <c r="BH201" s="59">
        <f t="shared" si="194"/>
        <v>292.53065952739439</v>
      </c>
      <c r="BI201" s="59">
        <f ca="1">AVERAGE(OFFSET($BH$3,0,0,'Données projet'!$E$11+1,1))-AVERAGE(OFFSET($H$3,0,0,'Données projet'!$E$11+1,1))</f>
        <v>383.03154033422328</v>
      </c>
      <c r="BJ201" s="59">
        <f t="shared" si="206"/>
        <v>373.27897156169877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5.1907581736868713E-2</v>
      </c>
      <c r="BQ201" s="21">
        <f>EXP(-LN(2)/25)*BQ200+(1-EXP(-LN(2)/25))/(LN(2)/25)*Calculateur!BL201*Calculateur!BN201*VLOOKUP('Données projet'!$B$11,Paramètres!$A$1:$I$89,3,0)*0.475*44/12</f>
        <v>7.9403816214902889E-2</v>
      </c>
      <c r="BR201" s="21">
        <f>EXP(-LN(2)/2)*BR200+(1-EXP(-LN(2)/2))/(LN(2)/2)*BL201*BO201*VLOOKUP('Données projet'!$B$11,Paramètres!$A$1:$I$89,3,0)*0.475*44/12</f>
        <v>6.7576414659940384E-25</v>
      </c>
      <c r="BS201" s="22">
        <f t="shared" si="169"/>
        <v>0.1313113979517716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69.781088962015673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-3.4106051316484809E-13</v>
      </c>
      <c r="BZ201" s="13">
        <f>BY201*VLOOKUP('Données projet'!$B$12,Paramètres!$A$1:$I$89,3,0)*VLOOKUP('Données projet'!$B$12,Paramètres!$A$1:$I$89,5,0)</f>
        <v>-2.8730937629006804E-13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449.94334483948603</v>
      </c>
      <c r="CE201" s="59">
        <f t="shared" si="207"/>
        <v>318.02929110264176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8.0496680601174944E-2</v>
      </c>
      <c r="CL201" s="21">
        <f>EXP(-LN(2)/25)*CL200+(1-EXP(-LN(2)/25))/(LN(2)/25)*Calculateur!CG201*Calculateur!CI201*VLOOKUP('Données projet'!$B$12,Paramètres!$A$1:$I$89,3,0)*0.475*44/12</f>
        <v>9.9646441366741917E-2</v>
      </c>
      <c r="CM201" s="21">
        <f>EXP(-LN(2)/2)*CM200+(1-EXP(-LN(2)/2))/(LN(2)/2)*CG201*CJ201*VLOOKUP('Données projet'!$B$12,Paramètres!$A$1:$I$89,3,0)*0.475*44/12</f>
        <v>1.0374344019717982E-24</v>
      </c>
      <c r="CN201" s="22">
        <f t="shared" si="172"/>
        <v>0.18014312196791687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69.781088962015673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1.1368683772161603E-13</v>
      </c>
      <c r="CU201" s="17">
        <f>CT201*VLOOKUP('Données projet'!$B$13,Paramètres!$A$1:$I$89,3,0)*VLOOKUP('Données projet'!$B$13,Paramètres!$A$1:$I$89,5,0)</f>
        <v>9.7543306765146564E-14</v>
      </c>
      <c r="CV201" s="13">
        <f t="shared" si="173"/>
        <v>1.4696264278629426E-12</v>
      </c>
      <c r="CW201" s="20">
        <f t="shared" si="174"/>
        <v>2.7294872878105889E-12</v>
      </c>
      <c r="CX201" s="59">
        <f t="shared" si="196"/>
        <v>292.53065952739354</v>
      </c>
      <c r="CY201" s="59">
        <f ca="1">AVERAGE(OFFSET($CX$3,0,0,'Données projet'!$E$13+1,1))-AVERAGE(OFFSET($H$3,0,0,'Données projet'!$E$13+1,1))</f>
        <v>565.32667500225568</v>
      </c>
      <c r="CZ201" s="59">
        <f t="shared" si="208"/>
        <v>275.06957234480944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0</v>
      </c>
      <c r="DG201" s="21">
        <f>EXP(-LN(2)/25)*DG200+(1-EXP(-LN(2)/25))/(LN(2)/25)*Calculateur!DB201*Calculateur!DD201*VLOOKUP('Données projet'!$B$13,Paramètres!$A$1:$I$89,3,0)*0.475*44/12</f>
        <v>4.1560751500263449E-2</v>
      </c>
      <c r="DH201" s="21">
        <f>EXP(-LN(2)/2)*DH200+(1-EXP(-LN(2)/2))/(LN(2)/2)*DB201*DE201*VLOOKUP('Données projet'!$B$13,Paramètres!$A$1:$I$89,3,0)*0.475*44/12</f>
        <v>3.6620983047878303E-25</v>
      </c>
      <c r="DI201" s="22">
        <f t="shared" si="175"/>
        <v>4.1560751500263449E-2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69.781088962015673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-1.2505552149377763E-12</v>
      </c>
      <c r="DP201" s="17">
        <f>DO201*VLOOKUP('Données projet'!$B$14,Paramètres!$A$1:$I$89,3,0)*VLOOKUP('Données projet'!$B$14,Paramètres!$A$1:$I$89,5,0)</f>
        <v>-6.9906036515021697E-13</v>
      </c>
      <c r="DQ201" s="13" t="e">
        <f t="shared" si="176"/>
        <v>#NUM!</v>
      </c>
      <c r="DR201" s="20" t="e">
        <f t="shared" si="177"/>
        <v>#NUM!</v>
      </c>
      <c r="DS201" s="59" t="e">
        <f t="shared" si="197"/>
        <v>#NUM!</v>
      </c>
      <c r="DT201" s="59">
        <f ca="1">AVERAGE(OFFSET($DS$3,0,0,'Données projet'!$E$14+1,1))-AVERAGE(OFFSET($H$3,0,0,'Données projet'!$E$14+1,1))</f>
        <v>532.64469322244281</v>
      </c>
      <c r="DU201" s="59">
        <f t="shared" si="209"/>
        <v>525.88014011096413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0.40993679935783611</v>
      </c>
      <c r="EB201" s="21">
        <f>EXP(-LN(2)/25)*EB200+(1-EXP(-LN(2)/25))/(LN(2)/25)*Calculateur!DW201*Calculateur!DY201*VLOOKUP('Données projet'!$B$14,Paramètres!$A$1:$I$89,3,0)*0.475*44/12</f>
        <v>0.36766779274812461</v>
      </c>
      <c r="EC201" s="21">
        <f>EXP(-LN(2)/2)*EC200+(1-EXP(-LN(2)/2))/(LN(2)/2)*DW201*DZ201*VLOOKUP('Données projet'!$B$14,Paramètres!$A$1:$I$89,3,0)*0.475*44/12</f>
        <v>1.8855525895015361E-24</v>
      </c>
      <c r="ED201" s="22">
        <f t="shared" si="178"/>
        <v>0.77760459210596067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69.781088962015673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-1.1368683772161603E-13</v>
      </c>
      <c r="EK201" s="17">
        <f>EJ201*VLOOKUP('Données projet'!$B$15,Paramètres!$A$1:$I$89,3,0)*VLOOKUP('Données projet'!$B$15,Paramètres!$A$1:$I$89,5,0)</f>
        <v>-1.0286385077051818E-13</v>
      </c>
      <c r="EL201" s="13" t="e">
        <f t="shared" si="179"/>
        <v>#NUM!</v>
      </c>
      <c r="EM201" s="20" t="e">
        <f t="shared" si="180"/>
        <v>#NUM!</v>
      </c>
      <c r="EN201" s="59" t="e">
        <f t="shared" si="198"/>
        <v>#NUM!</v>
      </c>
      <c r="EO201" s="59">
        <f ca="1">AVERAGE(OFFSET($EN$3,0,0,'Données projet'!$E$15+1,1))-AVERAGE(OFFSET($H$3,0,0,'Données projet'!$E$15+1,1))</f>
        <v>398.27843768730202</v>
      </c>
      <c r="EP201" s="59">
        <f t="shared" si="210"/>
        <v>252.3617347568813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0</v>
      </c>
      <c r="EW201" s="21">
        <f>EXP(-LN(2)/25)*EW200+(1-EXP(-LN(2)/25))/(LN(2)/25)*Calculateur!ER201*Calculateur!ET201*VLOOKUP('Données projet'!$B$15,Paramètres!$A$1:$I$89,3,0)*0.475*44/12</f>
        <v>2.946261125222311E-2</v>
      </c>
      <c r="EX201" s="21">
        <f>EXP(-LN(2)/2)*EX200+(1-EXP(-LN(2)/2))/(LN(2)/2)*ER201*EU201*VLOOKUP('Données projet'!$B$15,Paramètres!$A$1:$I$89,3,0)*0.475*44/12</f>
        <v>3.1998178434561713E-25</v>
      </c>
      <c r="EY201" s="22">
        <f t="shared" si="181"/>
        <v>2.946261125222311E-2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69.781088962015673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-1.1368683772161603E-13</v>
      </c>
      <c r="FF201" s="17">
        <f>FE201*VLOOKUP('Données projet'!$B$16,Paramètres!$A$1:$I$89,3,0)*VLOOKUP('Données projet'!$B$16,Paramètres!$A$1:$I$89,5,0)</f>
        <v>-1.0995790944434703E-13</v>
      </c>
      <c r="FG201" s="13" t="e">
        <f t="shared" si="182"/>
        <v>#NUM!</v>
      </c>
      <c r="FH201" s="20" t="e">
        <f t="shared" si="183"/>
        <v>#NUM!</v>
      </c>
      <c r="FI201" s="59" t="e">
        <f t="shared" si="199"/>
        <v>#NUM!</v>
      </c>
      <c r="FJ201" s="59">
        <f ca="1">AVERAGE(OFFSET($FI$3,0,0,'Données projet'!$E$16+1,1))-AVERAGE(OFFSET($H$3,0,0,'Données projet'!$E$16+1,1))</f>
        <v>422.28024471365825</v>
      </c>
      <c r="FK201" s="59">
        <f t="shared" si="211"/>
        <v>266.49730479813206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0</v>
      </c>
      <c r="FR201" s="21">
        <f>EXP(-LN(2)/25)*FR200+(1-EXP(-LN(2)/25))/(LN(2)/25)*Calculateur!FM201*Calculateur!FO201*VLOOKUP('Données projet'!$B$16,Paramètres!$A$1:$I$89,3,0)*0.475*44/12</f>
        <v>3.1494515476514315E-2</v>
      </c>
      <c r="FS201" s="21">
        <f>EXP(-LN(2)/2)*FS200+(1-EXP(-LN(2)/2))/(LN(2)/2)*FM201*FP201*VLOOKUP('Données projet'!$B$16,Paramètres!$A$1:$I$89,3,0)*0.475*44/12</f>
        <v>3.4204949361083204E-25</v>
      </c>
      <c r="FT201" s="22">
        <f t="shared" si="184"/>
        <v>3.1494515476514315E-2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69.781088962015673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3.4106051316484809E-13</v>
      </c>
      <c r="GA201" s="17">
        <f>FZ201*VLOOKUP('Données projet'!$B$17,Paramètres!$A$1:$I$89,3,0)*VLOOKUP('Données projet'!$B$17,Paramètres!$A$1:$I$89,5,0)</f>
        <v>2.6602720026858149E-13</v>
      </c>
      <c r="GB201" s="13">
        <f t="shared" si="185"/>
        <v>3.5662905043956649E-12</v>
      </c>
      <c r="GC201" s="20">
        <f t="shared" si="186"/>
        <v>6.6746200022902298E-12</v>
      </c>
      <c r="GD201" s="59">
        <f t="shared" si="200"/>
        <v>292.53065952739746</v>
      </c>
      <c r="GE201" s="59">
        <f ca="1">AVERAGE(OFFSET($GD$3,0,0,'Données projet'!$E$17+1,1))-AVERAGE(OFFSET($H$3,0,0,'Données projet'!$E$17+1,1))</f>
        <v>300.95722646933314</v>
      </c>
      <c r="GF201" s="59">
        <f t="shared" si="212"/>
        <v>269.52365224623759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>
        <f>EXP(-LN(2)/35)*GL200+(1-EXP(-LN(2)/35))/(LN(2)/35)*GH201*GI201*VLOOKUP('Données projet'!$B$17,Paramètres!$A$1:$I$89,3,0)*0.475*44/12</f>
        <v>3.1943127222688418E-2</v>
      </c>
      <c r="GM201" s="21">
        <f>EXP(-LN(2)/25)*GM200+(1-EXP(-LN(2)/25))/(LN(2)/25)*Calculateur!GH201*Calculateur!GJ201*VLOOKUP('Données projet'!$B$17,Paramètres!$A$1:$I$89,3,0)*0.475*44/12</f>
        <v>5.9183953778429547E-2</v>
      </c>
      <c r="GN201" s="21">
        <f>EXP(-LN(2)/2)*GN200+(1-EXP(-LN(2)/2))/(LN(2)/2)*GH201*GK201*VLOOKUP('Données projet'!$B$17,Paramètres!$A$1:$I$89,3,0)*0.475*44/12</f>
        <v>4.5799768462245412E-25</v>
      </c>
      <c r="GO201" s="21">
        <f t="shared" si="187"/>
        <v>9.1127081001117965E-2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69.781088962015673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1.4000000000000001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5.1333333333333337</v>
      </c>
      <c r="H202" s="67">
        <f t="shared" si="192"/>
        <v>236.13333333333335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69.784886579112936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-3.4106051316484809E-13</v>
      </c>
      <c r="O202" s="13">
        <f>N202*VLOOKUP('Données projet'!$B$9,Paramètres!$A$1:$I$89,3,0)*VLOOKUP('Données projet'!$B$9,Paramètres!$A$1:$I$89,5,0)</f>
        <v>-3.0859155231155454E-13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479.46542424895119</v>
      </c>
      <c r="T202" s="59">
        <f t="shared" si="204"/>
        <v>337.96395820277337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8.47639816292102E-2</v>
      </c>
      <c r="AA202" s="21">
        <f>EXP(-LN(2)/25)*AA201+(1-EXP(-LN(2)/25))/(LN(2)/25)*Calculateur!V202*Calculateur!X202*VLOOKUP('Données projet'!$B$9,Paramètres!$A$1:$I$89,3,0)*0.475*44/12</f>
        <v>0.10410098227534455</v>
      </c>
      <c r="AB202" s="21">
        <f>EXP(-LN(2)/2)*AB201+(1-EXP(-LN(2)/2))/(LN(2)/2)*V202*Y202*VLOOKUP('Données projet'!$B$9,Paramètres!$A$1:$I$89,3,0)*0.475*44/12</f>
        <v>7.8791593034976596E-25</v>
      </c>
      <c r="AC202" s="22">
        <f t="shared" si="163"/>
        <v>0.18886496390455476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69.784886579112936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-3.4106051316484809E-13</v>
      </c>
      <c r="AJ202" s="13">
        <f>AI202*VLOOKUP('Données projet'!$B$10,Paramètres!$A$1:$I$89,3,0)*VLOOKUP('Données projet'!$B$10,Paramètres!$A$1:$I$89,5,0)</f>
        <v>-3.2987372833304104E-13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508.94560627895089</v>
      </c>
      <c r="AO202" s="59">
        <f t="shared" si="205"/>
        <v>357.86868650263034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9.0609773465707505E-2</v>
      </c>
      <c r="AV202" s="21">
        <f>EXP(-LN(2)/25)*AV201+(1-EXP(-LN(2)/25))/(LN(2)/25)*Calculateur!AQ202*Calculateur!AS202*VLOOKUP('Données projet'!$B$10,Paramètres!$A$1:$I$89,3,0)*0.475*44/12</f>
        <v>0.1112803603632993</v>
      </c>
      <c r="AW202" s="21">
        <f>EXP(-LN(2)/2)*AW201+(1-EXP(-LN(2)/2))/(LN(2)/2)*AQ202*AT202*VLOOKUP('Données projet'!$B$10,Paramètres!$A$1:$I$89,3,0)*0.475*44/12</f>
        <v>8.4225496002905628E-25</v>
      </c>
      <c r="AX202" s="21">
        <f t="shared" si="166"/>
        <v>0.20189013382900681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69.784886579112936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1.7053025658242404E-13</v>
      </c>
      <c r="BE202" s="13">
        <f>BD202*VLOOKUP('Données projet'!$B$11,Paramètres!$A$1:$I$89,3,0)*VLOOKUP('Données projet'!$B$11,Paramètres!$A$1:$I$89,5,0)</f>
        <v>1.3301360013429075E-13</v>
      </c>
      <c r="BF202" s="13">
        <f t="shared" si="167"/>
        <v>1.9329766731057041E-12</v>
      </c>
      <c r="BG202" s="20">
        <f t="shared" si="168"/>
        <v>3.5982663925596575E-12</v>
      </c>
      <c r="BH202" s="59">
        <f t="shared" si="194"/>
        <v>292.54458412341768</v>
      </c>
      <c r="BI202" s="59">
        <f ca="1">AVERAGE(OFFSET($BH$3,0,0,'Données projet'!$E$11+1,1))-AVERAGE(OFFSET($H$3,0,0,'Données projet'!$E$11+1,1))</f>
        <v>383.03154033422328</v>
      </c>
      <c r="BJ202" s="59">
        <f t="shared" si="206"/>
        <v>373.27897156169877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5.0889705719507364E-2</v>
      </c>
      <c r="BQ202" s="21">
        <f>EXP(-LN(2)/25)*BQ201+(1-EXP(-LN(2)/25))/(LN(2)/25)*Calculateur!BL202*Calculateur!BN202*VLOOKUP('Données projet'!$B$11,Paramètres!$A$1:$I$89,3,0)*0.475*44/12</f>
        <v>7.7232514684841158E-2</v>
      </c>
      <c r="BR202" s="21">
        <f>EXP(-LN(2)/2)*BR201+(1-EXP(-LN(2)/2))/(LN(2)/2)*BL202*BO202*VLOOKUP('Données projet'!$B$11,Paramètres!$A$1:$I$89,3,0)*0.475*44/12</f>
        <v>4.7783741054317866E-25</v>
      </c>
      <c r="BS202" s="22">
        <f t="shared" si="169"/>
        <v>0.12812222040434851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69.784886579112936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-3.4106051316484809E-13</v>
      </c>
      <c r="BZ202" s="13">
        <f>BY202*VLOOKUP('Données projet'!$B$12,Paramètres!$A$1:$I$89,3,0)*VLOOKUP('Données projet'!$B$12,Paramètres!$A$1:$I$89,5,0)</f>
        <v>-2.8730937629006804E-13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449.94334483948603</v>
      </c>
      <c r="CE202" s="59">
        <f t="shared" si="207"/>
        <v>318.02929110264176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7.8918189792713034E-2</v>
      </c>
      <c r="CL202" s="21">
        <f>EXP(-LN(2)/25)*CL201+(1-EXP(-LN(2)/25))/(LN(2)/25)*Calculateur!CG202*Calculateur!CI202*VLOOKUP('Données projet'!$B$12,Paramètres!$A$1:$I$89,3,0)*0.475*44/12</f>
        <v>9.6921604187389751E-2</v>
      </c>
      <c r="CM202" s="21">
        <f>EXP(-LN(2)/2)*CM201+(1-EXP(-LN(2)/2))/(LN(2)/2)*CG202*CJ202*VLOOKUP('Données projet'!$B$12,Paramètres!$A$1:$I$89,3,0)*0.475*44/12</f>
        <v>7.3357690067046913E-25</v>
      </c>
      <c r="CN202" s="22">
        <f t="shared" si="172"/>
        <v>0.1758397939801028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69.784886579112936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1.1368683772161603E-13</v>
      </c>
      <c r="CU202" s="17">
        <f>CT202*VLOOKUP('Données projet'!$B$13,Paramètres!$A$1:$I$89,3,0)*VLOOKUP('Données projet'!$B$13,Paramètres!$A$1:$I$89,5,0)</f>
        <v>9.7543306765146564E-14</v>
      </c>
      <c r="CV202" s="13">
        <f t="shared" si="173"/>
        <v>1.4696264278629426E-12</v>
      </c>
      <c r="CW202" s="20">
        <f t="shared" si="174"/>
        <v>2.7294872878105889E-12</v>
      </c>
      <c r="CX202" s="59">
        <f t="shared" si="196"/>
        <v>292.54458412341683</v>
      </c>
      <c r="CY202" s="59">
        <f ca="1">AVERAGE(OFFSET($CX$3,0,0,'Données projet'!$E$13+1,1))-AVERAGE(OFFSET($H$3,0,0,'Données projet'!$E$13+1,1))</f>
        <v>565.32667500225568</v>
      </c>
      <c r="CZ202" s="59">
        <f t="shared" si="208"/>
        <v>275.06957234480944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0</v>
      </c>
      <c r="DG202" s="21">
        <f>EXP(-LN(2)/25)*DG201+(1-EXP(-LN(2)/25))/(LN(2)/25)*Calculateur!DB202*Calculateur!DD202*VLOOKUP('Données projet'!$B$13,Paramètres!$A$1:$I$89,3,0)*0.475*44/12</f>
        <v>4.0424270564903809E-2</v>
      </c>
      <c r="DH202" s="21">
        <f>EXP(-LN(2)/2)*DH201+(1-EXP(-LN(2)/2))/(LN(2)/2)*DB202*DE202*VLOOKUP('Données projet'!$B$13,Paramètres!$A$1:$I$89,3,0)*0.475*44/12</f>
        <v>2.5894945446872349E-25</v>
      </c>
      <c r="DI202" s="22">
        <f t="shared" si="175"/>
        <v>4.0424270564903809E-2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69.784886579112936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-1.2505552149377763E-12</v>
      </c>
      <c r="DP202" s="17">
        <f>DO202*VLOOKUP('Données projet'!$B$14,Paramètres!$A$1:$I$89,3,0)*VLOOKUP('Données projet'!$B$14,Paramètres!$A$1:$I$89,5,0)</f>
        <v>-6.9906036515021697E-13</v>
      </c>
      <c r="DQ202" s="13" t="e">
        <f t="shared" si="176"/>
        <v>#NUM!</v>
      </c>
      <c r="DR202" s="20" t="e">
        <f t="shared" si="177"/>
        <v>#NUM!</v>
      </c>
      <c r="DS202" s="59" t="e">
        <f t="shared" si="197"/>
        <v>#NUM!</v>
      </c>
      <c r="DT202" s="59">
        <f ca="1">AVERAGE(OFFSET($DS$3,0,0,'Données projet'!$E$14+1,1))-AVERAGE(OFFSET($H$3,0,0,'Données projet'!$E$14+1,1))</f>
        <v>532.64469322244281</v>
      </c>
      <c r="DU202" s="59">
        <f t="shared" si="209"/>
        <v>525.88014011096413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0.40189818875918748</v>
      </c>
      <c r="EB202" s="21">
        <f>EXP(-LN(2)/25)*EB201+(1-EXP(-LN(2)/25))/(LN(2)/25)*Calculateur!DW202*Calculateur!DY202*VLOOKUP('Données projet'!$B$14,Paramètres!$A$1:$I$89,3,0)*0.475*44/12</f>
        <v>0.35761389762061824</v>
      </c>
      <c r="EC202" s="21">
        <f>EXP(-LN(2)/2)*EC201+(1-EXP(-LN(2)/2))/(LN(2)/2)*DW202*DZ202*VLOOKUP('Données projet'!$B$14,Paramètres!$A$1:$I$89,3,0)*0.475*44/12</f>
        <v>1.3332870223203908E-24</v>
      </c>
      <c r="ED202" s="22">
        <f t="shared" si="178"/>
        <v>0.75951208637980572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69.784886579112936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-1.1368683772161603E-13</v>
      </c>
      <c r="EK202" s="17">
        <f>EJ202*VLOOKUP('Données projet'!$B$15,Paramètres!$A$1:$I$89,3,0)*VLOOKUP('Données projet'!$B$15,Paramètres!$A$1:$I$89,5,0)</f>
        <v>-1.0286385077051818E-13</v>
      </c>
      <c r="EL202" s="13" t="e">
        <f t="shared" si="179"/>
        <v>#NUM!</v>
      </c>
      <c r="EM202" s="20" t="e">
        <f t="shared" si="180"/>
        <v>#NUM!</v>
      </c>
      <c r="EN202" s="59" t="e">
        <f t="shared" si="198"/>
        <v>#NUM!</v>
      </c>
      <c r="EO202" s="59">
        <f ca="1">AVERAGE(OFFSET($EN$3,0,0,'Données projet'!$E$15+1,1))-AVERAGE(OFFSET($H$3,0,0,'Données projet'!$E$15+1,1))</f>
        <v>398.27843768730202</v>
      </c>
      <c r="EP202" s="59">
        <f t="shared" si="210"/>
        <v>252.3617347568813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0</v>
      </c>
      <c r="EW202" s="21">
        <f>EXP(-LN(2)/25)*EW201+(1-EXP(-LN(2)/25))/(LN(2)/25)*Calculateur!ER202*Calculateur!ET202*VLOOKUP('Données projet'!$B$15,Paramètres!$A$1:$I$89,3,0)*0.475*44/12</f>
        <v>2.865695459815968E-2</v>
      </c>
      <c r="EX202" s="21">
        <f>EXP(-LN(2)/2)*EX201+(1-EXP(-LN(2)/2))/(LN(2)/2)*ER202*EU202*VLOOKUP('Données projet'!$B$15,Paramètres!$A$1:$I$89,3,0)*0.475*44/12</f>
        <v>2.2626128956695732E-25</v>
      </c>
      <c r="EY202" s="22">
        <f t="shared" si="181"/>
        <v>2.865695459815968E-2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69.784886579112936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-1.1368683772161603E-13</v>
      </c>
      <c r="FF202" s="17">
        <f>FE202*VLOOKUP('Données projet'!$B$16,Paramètres!$A$1:$I$89,3,0)*VLOOKUP('Données projet'!$B$16,Paramètres!$A$1:$I$89,5,0)</f>
        <v>-1.0995790944434703E-13</v>
      </c>
      <c r="FG202" s="13" t="e">
        <f t="shared" si="182"/>
        <v>#NUM!</v>
      </c>
      <c r="FH202" s="20" t="e">
        <f t="shared" si="183"/>
        <v>#NUM!</v>
      </c>
      <c r="FI202" s="59" t="e">
        <f t="shared" si="199"/>
        <v>#NUM!</v>
      </c>
      <c r="FJ202" s="59">
        <f ca="1">AVERAGE(OFFSET($FI$3,0,0,'Données projet'!$E$16+1,1))-AVERAGE(OFFSET($H$3,0,0,'Données projet'!$E$16+1,1))</f>
        <v>422.28024471365825</v>
      </c>
      <c r="FK202" s="59">
        <f t="shared" si="211"/>
        <v>266.49730479813206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0</v>
      </c>
      <c r="FR202" s="21">
        <f>EXP(-LN(2)/25)*FR201+(1-EXP(-LN(2)/25))/(LN(2)/25)*Calculateur!FM202*Calculateur!FO202*VLOOKUP('Données projet'!$B$16,Paramètres!$A$1:$I$89,3,0)*0.475*44/12</f>
        <v>3.0633296294584444E-2</v>
      </c>
      <c r="FS202" s="21">
        <f>EXP(-LN(2)/2)*FS201+(1-EXP(-LN(2)/2))/(LN(2)/2)*FM202*FP202*VLOOKUP('Données projet'!$B$16,Paramètres!$A$1:$I$89,3,0)*0.475*44/12</f>
        <v>2.4186551643364399E-25</v>
      </c>
      <c r="FT202" s="22">
        <f t="shared" si="184"/>
        <v>3.0633296294584444E-2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69.784886579112936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3.4106051316484809E-13</v>
      </c>
      <c r="GA202" s="17">
        <f>FZ202*VLOOKUP('Données projet'!$B$17,Paramètres!$A$1:$I$89,3,0)*VLOOKUP('Données projet'!$B$17,Paramètres!$A$1:$I$89,5,0)</f>
        <v>2.6602720026858149E-13</v>
      </c>
      <c r="GB202" s="13">
        <f t="shared" si="185"/>
        <v>3.5662905043956649E-12</v>
      </c>
      <c r="GC202" s="20">
        <f t="shared" si="186"/>
        <v>6.6746200022902298E-12</v>
      </c>
      <c r="GD202" s="59">
        <f t="shared" si="200"/>
        <v>292.54458412342075</v>
      </c>
      <c r="GE202" s="59">
        <f ca="1">AVERAGE(OFFSET($GD$3,0,0,'Données projet'!$E$17+1,1))-AVERAGE(OFFSET($H$3,0,0,'Données projet'!$E$17+1,1))</f>
        <v>300.95722646933314</v>
      </c>
      <c r="GF202" s="59">
        <f t="shared" si="212"/>
        <v>269.52365224623759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>
        <f>EXP(-LN(2)/35)*GL201+(1-EXP(-LN(2)/35))/(LN(2)/35)*GH202*GI202*VLOOKUP('Données projet'!$B$17,Paramètres!$A$1:$I$89,3,0)*0.475*44/12</f>
        <v>3.1316741981235283E-2</v>
      </c>
      <c r="GM202" s="21">
        <f>EXP(-LN(2)/25)*GM201+(1-EXP(-LN(2)/25))/(LN(2)/25)*Calculateur!GH202*Calculateur!GJ202*VLOOKUP('Données projet'!$B$17,Paramètres!$A$1:$I$89,3,0)*0.475*44/12</f>
        <v>5.7565565450009529E-2</v>
      </c>
      <c r="GN202" s="21">
        <f>EXP(-LN(2)/2)*GN201+(1-EXP(-LN(2)/2))/(LN(2)/2)*GH202*GK202*VLOOKUP('Données projet'!$B$17,Paramètres!$A$1:$I$89,3,0)*0.475*44/12</f>
        <v>3.2385326856427507E-25</v>
      </c>
      <c r="GO202" s="21">
        <f t="shared" si="187"/>
        <v>8.8882307431244811E-2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69.784886579112936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1.4000000000000001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63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5.1333333333333337</v>
      </c>
      <c r="H203" s="67">
        <f t="shared" si="192"/>
        <v>236.13333333333335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69.788618316043767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-3.4106051316484809E-13</v>
      </c>
      <c r="O203" s="13">
        <f>N203*VLOOKUP('Données projet'!$B$9,Paramètres!$A$1:$I$89,3,0)*VLOOKUP('Données projet'!$B$9,Paramètres!$A$1:$I$89,5,0)</f>
        <v>-3.0859155231155454E-13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479.46542424895119</v>
      </c>
      <c r="T203" s="59">
        <f t="shared" si="204"/>
        <v>337.96395820277337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8.3101811650385146E-2</v>
      </c>
      <c r="AA203" s="21">
        <f>EXP(-LN(2)/25)*AA202+(1-EXP(-LN(2)/25))/(LN(2)/25)*Calculateur!V203*Calculateur!X203*VLOOKUP('Données projet'!$B$9,Paramètres!$A$1:$I$89,3,0)*0.475*44/12</f>
        <v>0.10125433544059252</v>
      </c>
      <c r="AB203" s="21">
        <f>EXP(-LN(2)/2)*AB202+(1-EXP(-LN(2)/2))/(LN(2)/2)*V203*Y203*VLOOKUP('Données projet'!$B$9,Paramètres!$A$1:$I$89,3,0)*0.475*44/12</f>
        <v>5.5714069735522697E-25</v>
      </c>
      <c r="AC203" s="22">
        <f t="shared" si="163"/>
        <v>0.18435614709097767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69.788618316043767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-3.4106051316484809E-13</v>
      </c>
      <c r="AJ203" s="13">
        <f>AI203*VLOOKUP('Données projet'!$B$10,Paramètres!$A$1:$I$89,3,0)*VLOOKUP('Données projet'!$B$10,Paramètres!$A$1:$I$89,5,0)</f>
        <v>-3.2987372833304104E-13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508.94560627895089</v>
      </c>
      <c r="AO203" s="59">
        <f t="shared" si="205"/>
        <v>357.86868650263034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8.8832971074549683E-2</v>
      </c>
      <c r="AV203" s="21">
        <f>EXP(-LN(2)/25)*AV202+(1-EXP(-LN(2)/25))/(LN(2)/25)*Calculateur!AQ203*Calculateur!AS203*VLOOKUP('Données projet'!$B$10,Paramètres!$A$1:$I$89,3,0)*0.475*44/12</f>
        <v>0.10823739305718506</v>
      </c>
      <c r="AW203" s="21">
        <f>EXP(-LN(2)/2)*AW202+(1-EXP(-LN(2)/2))/(LN(2)/2)*AQ203*AT203*VLOOKUP('Données projet'!$B$10,Paramètres!$A$1:$I$89,3,0)*0.475*44/12</f>
        <v>5.9556419372455024E-25</v>
      </c>
      <c r="AX203" s="21">
        <f t="shared" si="166"/>
        <v>0.19707036413173473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69.788618316043767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1.7053025658242404E-13</v>
      </c>
      <c r="BE203" s="13">
        <f>BD203*VLOOKUP('Données projet'!$B$11,Paramètres!$A$1:$I$89,3,0)*VLOOKUP('Données projet'!$B$11,Paramètres!$A$1:$I$89,5,0)</f>
        <v>1.3301360013429075E-13</v>
      </c>
      <c r="BF203" s="13">
        <f t="shared" si="167"/>
        <v>1.9329766731057041E-12</v>
      </c>
      <c r="BG203" s="20">
        <f t="shared" si="168"/>
        <v>3.5982663925596575E-12</v>
      </c>
      <c r="BH203" s="59">
        <f t="shared" si="194"/>
        <v>292.55826715883074</v>
      </c>
      <c r="BI203" s="59">
        <f ca="1">AVERAGE(OFFSET($BH$3,0,0,'Données projet'!$E$11+1,1))-AVERAGE(OFFSET($H$3,0,0,'Données projet'!$E$11+1,1))</f>
        <v>383.03154033422328</v>
      </c>
      <c r="BJ203" s="59">
        <f t="shared" si="206"/>
        <v>373.27897156169877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4.9891789630003403E-2</v>
      </c>
      <c r="BQ203" s="21">
        <f>EXP(-LN(2)/25)*BQ202+(1-EXP(-LN(2)/25))/(LN(2)/25)*Calculateur!BL203*Calculateur!BN203*VLOOKUP('Données projet'!$B$11,Paramètres!$A$1:$I$89,3,0)*0.475*44/12</f>
        <v>7.5120587509302741E-2</v>
      </c>
      <c r="BR203" s="21">
        <f>EXP(-LN(2)/2)*BR202+(1-EXP(-LN(2)/2))/(LN(2)/2)*BL203*BO203*VLOOKUP('Données projet'!$B$11,Paramètres!$A$1:$I$89,3,0)*0.475*44/12</f>
        <v>3.3788207329970192E-25</v>
      </c>
      <c r="BS203" s="22">
        <f t="shared" si="169"/>
        <v>0.12501237713930613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69.788618316043767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-3.4106051316484809E-13</v>
      </c>
      <c r="BZ203" s="13">
        <f>BY203*VLOOKUP('Données projet'!$B$12,Paramètres!$A$1:$I$89,3,0)*VLOOKUP('Données projet'!$B$12,Paramètres!$A$1:$I$89,5,0)</f>
        <v>-2.8730937629006804E-13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449.94334483948603</v>
      </c>
      <c r="CE203" s="59">
        <f t="shared" si="207"/>
        <v>318.02929110264176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7.7370652226220735E-2</v>
      </c>
      <c r="CL203" s="21">
        <f>EXP(-LN(2)/25)*CL202+(1-EXP(-LN(2)/25))/(LN(2)/25)*Calculateur!CG203*Calculateur!CI203*VLOOKUP('Données projet'!$B$12,Paramètres!$A$1:$I$89,3,0)*0.475*44/12</f>
        <v>9.4271277823999938E-2</v>
      </c>
      <c r="CM203" s="21">
        <f>EXP(-LN(2)/2)*CM202+(1-EXP(-LN(2)/2))/(LN(2)/2)*CG203*CJ203*VLOOKUP('Données projet'!$B$12,Paramètres!$A$1:$I$89,3,0)*0.475*44/12</f>
        <v>5.1871720098589912E-25</v>
      </c>
      <c r="CN203" s="22">
        <f t="shared" si="172"/>
        <v>0.17164193005022066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69.788618316043767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1.1368683772161603E-13</v>
      </c>
      <c r="CU203" s="17">
        <f>CT203*VLOOKUP('Données projet'!$B$13,Paramètres!$A$1:$I$89,3,0)*VLOOKUP('Données projet'!$B$13,Paramètres!$A$1:$I$89,5,0)</f>
        <v>9.7543306765146564E-14</v>
      </c>
      <c r="CV203" s="13">
        <f t="shared" si="173"/>
        <v>1.4696264278629426E-12</v>
      </c>
      <c r="CW203" s="20">
        <f t="shared" si="174"/>
        <v>2.7294872878105889E-12</v>
      </c>
      <c r="CX203" s="59">
        <f t="shared" si="196"/>
        <v>292.55826715882989</v>
      </c>
      <c r="CY203" s="59">
        <f ca="1">AVERAGE(OFFSET($CX$3,0,0,'Données projet'!$E$13+1,1))-AVERAGE(OFFSET($H$3,0,0,'Données projet'!$E$13+1,1))</f>
        <v>565.32667500225568</v>
      </c>
      <c r="CZ203" s="59">
        <f t="shared" si="208"/>
        <v>275.06957234480944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0</v>
      </c>
      <c r="DG203" s="21">
        <f>EXP(-LN(2)/25)*DG202+(1-EXP(-LN(2)/25))/(LN(2)/25)*Calculateur!DB203*Calculateur!DD203*VLOOKUP('Données projet'!$B$13,Paramètres!$A$1:$I$89,3,0)*0.475*44/12</f>
        <v>3.9318866760486515E-2</v>
      </c>
      <c r="DH203" s="21">
        <f>EXP(-LN(2)/2)*DH202+(1-EXP(-LN(2)/2))/(LN(2)/2)*DB203*DE203*VLOOKUP('Données projet'!$B$13,Paramètres!$A$1:$I$89,3,0)*0.475*44/12</f>
        <v>1.8310491523939152E-25</v>
      </c>
      <c r="DI203" s="22">
        <f t="shared" si="175"/>
        <v>3.9318866760486515E-2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69.788618316043767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-1.2505552149377763E-12</v>
      </c>
      <c r="DP203" s="17">
        <f>DO203*VLOOKUP('Données projet'!$B$14,Paramètres!$A$1:$I$89,3,0)*VLOOKUP('Données projet'!$B$14,Paramètres!$A$1:$I$89,5,0)</f>
        <v>-6.9906036515021697E-13</v>
      </c>
      <c r="DQ203" s="13" t="e">
        <f t="shared" si="176"/>
        <v>#NUM!</v>
      </c>
      <c r="DR203" s="20" t="e">
        <f t="shared" si="177"/>
        <v>#NUM!</v>
      </c>
      <c r="DS203" s="59" t="e">
        <f t="shared" si="197"/>
        <v>#NUM!</v>
      </c>
      <c r="DT203" s="59">
        <f ca="1">AVERAGE(OFFSET($DS$3,0,0,'Données projet'!$E$14+1,1))-AVERAGE(OFFSET($H$3,0,0,'Données projet'!$E$14+1,1))</f>
        <v>532.64469322244281</v>
      </c>
      <c r="DU203" s="59">
        <f t="shared" si="209"/>
        <v>525.88014011096413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0.39401721041130999</v>
      </c>
      <c r="EB203" s="21">
        <f>EXP(-LN(2)/25)*EB202+(1-EXP(-LN(2)/25))/(LN(2)/25)*Calculateur!DW203*Calculateur!DY203*VLOOKUP('Données projet'!$B$14,Paramètres!$A$1:$I$89,3,0)*0.475*44/12</f>
        <v>0.3478349267840849</v>
      </c>
      <c r="EC203" s="21">
        <f>EXP(-LN(2)/2)*EC202+(1-EXP(-LN(2)/2))/(LN(2)/2)*DW203*DZ203*VLOOKUP('Données projet'!$B$14,Paramètres!$A$1:$I$89,3,0)*0.475*44/12</f>
        <v>9.4277629475076806E-25</v>
      </c>
      <c r="ED203" s="22">
        <f t="shared" si="178"/>
        <v>0.74185213719539489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69.788618316043767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-1.1368683772161603E-13</v>
      </c>
      <c r="EK203" s="17">
        <f>EJ203*VLOOKUP('Données projet'!$B$15,Paramètres!$A$1:$I$89,3,0)*VLOOKUP('Données projet'!$B$15,Paramètres!$A$1:$I$89,5,0)</f>
        <v>-1.0286385077051818E-13</v>
      </c>
      <c r="EL203" s="13" t="e">
        <f t="shared" si="179"/>
        <v>#NUM!</v>
      </c>
      <c r="EM203" s="20" t="e">
        <f t="shared" si="180"/>
        <v>#NUM!</v>
      </c>
      <c r="EN203" s="59" t="e">
        <f t="shared" si="198"/>
        <v>#NUM!</v>
      </c>
      <c r="EO203" s="59">
        <f ca="1">AVERAGE(OFFSET($EN$3,0,0,'Données projet'!$E$15+1,1))-AVERAGE(OFFSET($H$3,0,0,'Données projet'!$E$15+1,1))</f>
        <v>398.27843768730202</v>
      </c>
      <c r="EP203" s="59">
        <f t="shared" si="210"/>
        <v>252.3617347568813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0</v>
      </c>
      <c r="EW203" s="21">
        <f>EXP(-LN(2)/25)*EW202+(1-EXP(-LN(2)/25))/(LN(2)/25)*Calculateur!ER203*Calculateur!ET203*VLOOKUP('Données projet'!$B$15,Paramètres!$A$1:$I$89,3,0)*0.475*44/12</f>
        <v>2.7873328667669256E-2</v>
      </c>
      <c r="EX203" s="21">
        <f>EXP(-LN(2)/2)*EX202+(1-EXP(-LN(2)/2))/(LN(2)/2)*ER203*EU203*VLOOKUP('Données projet'!$B$15,Paramètres!$A$1:$I$89,3,0)*0.475*44/12</f>
        <v>1.5999089217280856E-25</v>
      </c>
      <c r="EY203" s="22">
        <f t="shared" si="181"/>
        <v>2.7873328667669256E-2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69.788618316043767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-1.1368683772161603E-13</v>
      </c>
      <c r="FF203" s="17">
        <f>FE203*VLOOKUP('Données projet'!$B$16,Paramètres!$A$1:$I$89,3,0)*VLOOKUP('Données projet'!$B$16,Paramètres!$A$1:$I$89,5,0)</f>
        <v>-1.0995790944434703E-13</v>
      </c>
      <c r="FG203" s="13" t="e">
        <f t="shared" si="182"/>
        <v>#NUM!</v>
      </c>
      <c r="FH203" s="20" t="e">
        <f t="shared" si="183"/>
        <v>#NUM!</v>
      </c>
      <c r="FI203" s="59" t="e">
        <f t="shared" si="199"/>
        <v>#NUM!</v>
      </c>
      <c r="FJ203" s="59">
        <f ca="1">AVERAGE(OFFSET($FI$3,0,0,'Données projet'!$E$16+1,1))-AVERAGE(OFFSET($H$3,0,0,'Données projet'!$E$16+1,1))</f>
        <v>422.28024471365825</v>
      </c>
      <c r="FK203" s="59">
        <f t="shared" si="211"/>
        <v>266.49730479813206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0</v>
      </c>
      <c r="FR203" s="21">
        <f>EXP(-LN(2)/25)*FR202+(1-EXP(-LN(2)/25))/(LN(2)/25)*Calculateur!FM203*Calculateur!FO203*VLOOKUP('Données projet'!$B$16,Paramètres!$A$1:$I$89,3,0)*0.475*44/12</f>
        <v>2.9795627196473995E-2</v>
      </c>
      <c r="FS203" s="21">
        <f>EXP(-LN(2)/2)*FS202+(1-EXP(-LN(2)/2))/(LN(2)/2)*FM203*FP203*VLOOKUP('Données projet'!$B$16,Paramètres!$A$1:$I$89,3,0)*0.475*44/12</f>
        <v>1.7102474680541602E-25</v>
      </c>
      <c r="FT203" s="22">
        <f t="shared" si="184"/>
        <v>2.9795627196473995E-2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69.788618316043767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3.4106051316484809E-13</v>
      </c>
      <c r="GA203" s="17">
        <f>FZ203*VLOOKUP('Données projet'!$B$17,Paramètres!$A$1:$I$89,3,0)*VLOOKUP('Données projet'!$B$17,Paramètres!$A$1:$I$89,5,0)</f>
        <v>2.6602720026858149E-13</v>
      </c>
      <c r="GB203" s="13">
        <f t="shared" si="185"/>
        <v>3.5662905043956649E-12</v>
      </c>
      <c r="GC203" s="20">
        <f t="shared" si="186"/>
        <v>6.6746200022902298E-12</v>
      </c>
      <c r="GD203" s="59">
        <f t="shared" si="200"/>
        <v>292.55826715883381</v>
      </c>
      <c r="GE203" s="59">
        <f ca="1">AVERAGE(OFFSET($GD$3,0,0,'Données projet'!$E$17+1,1))-AVERAGE(OFFSET($H$3,0,0,'Données projet'!$E$17+1,1))</f>
        <v>300.95722646933314</v>
      </c>
      <c r="GF203" s="59">
        <f t="shared" si="212"/>
        <v>269.52365224623759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>
        <f>EXP(-LN(2)/35)*GL202+(1-EXP(-LN(2)/35))/(LN(2)/35)*GH203*GI203*VLOOKUP('Données projet'!$B$17,Paramètres!$A$1:$I$89,3,0)*0.475*44/12</f>
        <v>3.0702639772309769E-2</v>
      </c>
      <c r="GM203" s="21">
        <f>EXP(-LN(2)/25)*GM202+(1-EXP(-LN(2)/25))/(LN(2)/25)*Calculateur!GH203*Calculateur!GJ203*VLOOKUP('Données projet'!$B$17,Paramètres!$A$1:$I$89,3,0)*0.475*44/12</f>
        <v>5.5991432035537497E-2</v>
      </c>
      <c r="GN203" s="21">
        <f>EXP(-LN(2)/2)*GN202+(1-EXP(-LN(2)/2))/(LN(2)/2)*GH203*GK203*VLOOKUP('Données projet'!$B$17,Paramètres!$A$1:$I$89,3,0)*0.475*44/12</f>
        <v>2.2899884231122706E-25</v>
      </c>
      <c r="GO203" s="21">
        <f t="shared" si="187"/>
        <v>8.6694071807847273E-2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69.788618316043767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1.2392705892426346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1.2392705892426346</v>
      </c>
      <c r="BA205" s="82">
        <f>EXP(LN('Données projet'!B88)/'Données projet'!A88)</f>
        <v>1.2688471048731957</v>
      </c>
      <c r="BV205" s="82">
        <f>EXP(LN('Données projet'!B114)/'Données projet'!A114)</f>
        <v>1.2392705892426346</v>
      </c>
      <c r="CQ205" s="82">
        <f>EXP(LN('Données projet'!B140)/'Données projet'!A140)</f>
        <v>1.189207115002721</v>
      </c>
      <c r="DL205" s="82">
        <f>EXP(LN('Données projet'!B166)/'Données projet'!A166)</f>
        <v>1.3903891703159093</v>
      </c>
      <c r="EG205" s="82">
        <f>EXP(LN('Données projet'!B192)/'Données projet'!A192)</f>
        <v>1.2054868146447177</v>
      </c>
      <c r="FB205" s="82">
        <f>EXP(LN('Données projet'!B218)/'Données projet'!A218)</f>
        <v>1.2054868146447177</v>
      </c>
      <c r="FW205" s="82">
        <f>EXP(LN('Données projet'!B244)/'Données projet'!A244)</f>
        <v>1.1966732973638288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2" zoomScaleNormal="90" workbookViewId="0">
      <selection activeCell="A5" sqref="A5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Chêne sessile</v>
      </c>
      <c r="B6" s="146">
        <f>'Données projet'!D9</f>
        <v>4.9769259999999997</v>
      </c>
      <c r="C6" s="147">
        <f ca="1">IF(OR('Données projet'!B9="",'Données projet'!C9="",'Données projet'!C9=0%),0,Calculateur!S3)</f>
        <v>479.46542424895119</v>
      </c>
      <c r="D6" s="147">
        <f>IF(OR('Données projet'!B9="",'Données projet'!C9="",'Données projet'!C9=0%),0,Calculateur!T3)</f>
        <v>337.96395820277337</v>
      </c>
      <c r="E6" s="147">
        <f ca="1">MIN(C6,D6)</f>
        <v>337.96395820277337</v>
      </c>
      <c r="F6" s="147">
        <f ca="1">E6*B6</f>
        <v>1682.0216106422959</v>
      </c>
      <c r="G6" s="147">
        <f ca="1">F6*(100%-'Données projet'!$C$24)*(100%-'Données projet'!$C$25)*(100%-'Données projet'!$C$26)*(100%-'Données projet'!$C$27)</f>
        <v>1513.8194495780663</v>
      </c>
      <c r="H6" s="148">
        <f>IF(OR('Données projet'!B9="",'Données projet'!C9="",'Données projet'!C9=0%),0,AVERAGE(Calculateur!$AC$3:$AC$33)*B6)</f>
        <v>7.2519415782619072</v>
      </c>
      <c r="I6" s="149">
        <f>H6*(100%-'Données projet'!$C$24)*(100%-'Données projet'!$C$25)*(100%-'Données projet'!$C$26)*(100%-'Données projet'!$C$27)</f>
        <v>6.5267474204357168</v>
      </c>
      <c r="J6" s="150">
        <f>IF(OR('Données projet'!B9="",'Données projet'!C9="",'Données projet'!C9=0%),0,SUM(Calculateur!$V$3:$V$33)*VLOOKUP('Données projet'!$B$9,Paramètres!$A$1:$I$89,9,0)*B6)</f>
        <v>77.142353</v>
      </c>
      <c r="K6" s="151">
        <f>J6*(100%-'Données projet'!$C$24)*(100%-'Données projet'!$C$25)*(100%-'Données projet'!$C$26)*(100%-'Données projet'!$C$27)</f>
        <v>69.428117700000001</v>
      </c>
      <c r="L6" s="152">
        <f ca="1">G6+I6+K6</f>
        <v>1589.7743146985019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Alisier torminal</v>
      </c>
      <c r="B7" s="154">
        <f>'Données projet'!D10</f>
        <v>0.32109200000000004</v>
      </c>
      <c r="C7" s="147">
        <f ca="1">IF(OR('Données projet'!B10="",'Données projet'!C10="",'Données projet'!C10=0%),0,Calculateur!AN3)</f>
        <v>508.94560627895089</v>
      </c>
      <c r="D7" s="147">
        <f>IF(OR('Données projet'!B10="",'Données projet'!C10="",'Données projet'!C10=0%),0,Calculateur!AO3)</f>
        <v>357.86868650263034</v>
      </c>
      <c r="E7" s="147">
        <f t="shared" ref="E7:E15" ca="1" si="0">MIN(C7,D7)</f>
        <v>357.86868650263034</v>
      </c>
      <c r="F7" s="147">
        <f t="shared" ref="F7:F15" ca="1" si="1">E7*B7</f>
        <v>114.9087722865026</v>
      </c>
      <c r="G7" s="147">
        <f ca="1">F7*(100%-'Données projet'!$C$24)*(100%-'Données projet'!$C$25)*(100%-'Données projet'!$C$26)*(100%-'Données projet'!$C$27)</f>
        <v>103.41789505785233</v>
      </c>
      <c r="H7" s="155">
        <f>IF(OR('Données projet'!B10="",'Données projet'!C10="",'Données projet'!C10=0%),0,AVERAGE(Calculateur!$AX$3:$AX$33)*B7)</f>
        <v>0.50013390194909713</v>
      </c>
      <c r="I7" s="149">
        <f>H7*(100%-'Données projet'!$C$24)*(100%-'Données projet'!$C$25)*(100%-'Données projet'!$C$26)*(100%-'Données projet'!$C$27)</f>
        <v>0.45012051175418744</v>
      </c>
      <c r="J7" s="150">
        <f>IF(OR('Données projet'!B10="",'Données projet'!C10="",'Données projet'!C10=0%),0,SUM(Calculateur!$AQ$3:$AQ$33)*VLOOKUP('Données projet'!$B$10,Paramètres!$A$1:$I$89,9,0)*B7)</f>
        <v>4.9769260000000006</v>
      </c>
      <c r="K7" s="151">
        <f>J7*(100%-'Données projet'!$C$24)*(100%-'Données projet'!$C$25)*(100%-'Données projet'!$C$26)*(100%-'Données projet'!$C$27)</f>
        <v>4.4792334000000009</v>
      </c>
      <c r="L7" s="152">
        <f t="shared" ref="L7:L15" ca="1" si="2">G7+I7+K7</f>
        <v>108.34724896960653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Merisier</v>
      </c>
      <c r="B8" s="154">
        <f>'Données projet'!D11</f>
        <v>0.32109200000000004</v>
      </c>
      <c r="C8" s="147">
        <f ca="1">IF(OR('Données projet'!B11="",'Données projet'!C11="",'Données projet'!C11=0%),0,Calculateur!BI3)</f>
        <v>383.03154033422328</v>
      </c>
      <c r="D8" s="147">
        <f>IF(OR('Données projet'!B11="",'Données projet'!C11="",'Données projet'!C11=0%),0,Calculateur!BJ3)</f>
        <v>373.27897156169877</v>
      </c>
      <c r="E8" s="147">
        <f t="shared" ca="1" si="0"/>
        <v>373.27897156169877</v>
      </c>
      <c r="F8" s="147">
        <f t="shared" ca="1" si="1"/>
        <v>119.85689153668899</v>
      </c>
      <c r="G8" s="147">
        <f ca="1">F8*(100%-'Données projet'!$C$24)*(100%-'Données projet'!$C$25)*(100%-'Données projet'!$C$26)*(100%-'Données projet'!$C$27)</f>
        <v>107.87120238302009</v>
      </c>
      <c r="H8" s="155">
        <f>IF(OR('Données projet'!B11="",'Données projet'!C11="",'Données projet'!C11=0%),0,AVERAGE(Calculateur!$BS$3:$BS$33)*B8)</f>
        <v>0.63589799748852138</v>
      </c>
      <c r="I8" s="149">
        <f>H8*(100%-'Données projet'!$C$24)*(100%-'Données projet'!$C$25)*(100%-'Données projet'!$C$26)*(100%-'Données projet'!$C$27)</f>
        <v>0.57230819773966923</v>
      </c>
      <c r="J8" s="150">
        <f>IF(OR('Données projet'!B11="",'Données projet'!C11="",'Données projet'!C11=0%),0,SUM(Calculateur!$BL$3:$BL$33)*VLOOKUP('Données projet'!$B$11,Paramètres!$A$1:$I$89,9,0)*B8)</f>
        <v>5.2980180000000008</v>
      </c>
      <c r="K8" s="151">
        <f>J8*(100%-'Données projet'!$C$24)*(100%-'Données projet'!$C$25)*(100%-'Données projet'!$C$26)*(100%-'Données projet'!$C$27)</f>
        <v>4.7682162000000012</v>
      </c>
      <c r="L8" s="152">
        <f t="shared" ca="1" si="2"/>
        <v>113.21172678075976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>Chêne pédonculé</v>
      </c>
      <c r="B9" s="154">
        <f>'Données projet'!D12</f>
        <v>0.58599290000000004</v>
      </c>
      <c r="C9" s="147">
        <f ca="1">IF(OR('Données projet'!B12="",'Données projet'!C12="",'Données projet'!C12=0%),0,Calculateur!CD3)</f>
        <v>449.94334483948603</v>
      </c>
      <c r="D9" s="147">
        <f>IF(OR('Données projet'!B12="",'Données projet'!C12="",'Données projet'!C12=0%),0,Calculateur!CE3)</f>
        <v>318.02929110264176</v>
      </c>
      <c r="E9" s="147">
        <f t="shared" ca="1" si="0"/>
        <v>318.02929110264176</v>
      </c>
      <c r="F9" s="147">
        <f t="shared" ca="1" si="1"/>
        <v>186.36290657818125</v>
      </c>
      <c r="G9" s="147">
        <f ca="1">F9*(100%-'Données projet'!$C$24)*(100%-'Données projet'!$C$25)*(100%-'Données projet'!$C$26)*(100%-'Données projet'!$C$27)</f>
        <v>167.72661592036314</v>
      </c>
      <c r="H9" s="155">
        <f>IF(OR('Données projet'!B12="",'Données projet'!C12="",'Données projet'!C12=0%),0,AVERAGE(Calculateur!$CN$3:$CN$33)*B9)</f>
        <v>0.79497090382392777</v>
      </c>
      <c r="I9" s="149">
        <f>H9*(100%-'Données projet'!$C$24)*(100%-'Données projet'!$C$25)*(100%-'Données projet'!$C$26)*(100%-'Données projet'!$C$27)</f>
        <v>0.71547381344153504</v>
      </c>
      <c r="J9" s="150">
        <f>IF(OR('Données projet'!B12="",'Données projet'!C12="",'Données projet'!C12=0%),0,SUM(Calculateur!$CG$3:$CG$33)*VLOOKUP('Données projet'!$B$12,Paramètres!$A$1:$I$89,9,0)*B9)</f>
        <v>9.0828899500000002</v>
      </c>
      <c r="K9" s="151">
        <f>J9*(100%-'Données projet'!$C$24)*(100%-'Données projet'!$C$25)*(100%-'Données projet'!$C$26)*(100%-'Données projet'!$C$27)</f>
        <v>8.1746009550000007</v>
      </c>
      <c r="L9" s="152">
        <f t="shared" ca="1" si="2"/>
        <v>176.61669068880468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>Hêtre</v>
      </c>
      <c r="B10" s="154">
        <f>'Données projet'!D13</f>
        <v>0.16054600000000002</v>
      </c>
      <c r="C10" s="147">
        <f ca="1">IF(OR('Données projet'!B13="",'Données projet'!C13="",'Données projet'!C13=0%),0,Calculateur!CY3)</f>
        <v>565.32667500225568</v>
      </c>
      <c r="D10" s="147">
        <f>IF(OR('Données projet'!B13="",'Données projet'!C13="",'Données projet'!C13=0%),0,Calculateur!CZ3)</f>
        <v>275.06957234480944</v>
      </c>
      <c r="E10" s="147">
        <f t="shared" ca="1" si="0"/>
        <v>275.06957234480944</v>
      </c>
      <c r="F10" s="147">
        <f t="shared" ca="1" si="1"/>
        <v>44.161319561669785</v>
      </c>
      <c r="G10" s="147">
        <f ca="1">F10*(100%-'Données projet'!$C$24)*(100%-'Données projet'!$C$25)*(100%-'Données projet'!$C$26)*(100%-'Données projet'!$C$27)</f>
        <v>39.745187605502807</v>
      </c>
      <c r="H10" s="155">
        <f>IF(OR('Données projet'!B13="",'Données projet'!C13="",'Données projet'!C13=0%),0,AVERAGE(Calculateur!$DI$3:$DI$33)*B10)</f>
        <v>5.937533931099457E-2</v>
      </c>
      <c r="I10" s="149">
        <f>H10*(100%-'Données projet'!$C$24)*(100%-'Données projet'!$C$25)*(100%-'Données projet'!$C$26)*(100%-'Données projet'!$C$27)</f>
        <v>5.3437805379895113E-2</v>
      </c>
      <c r="J10" s="150">
        <f>IF(OR('Données projet'!B13="",'Données projet'!C13="",'Données projet'!C13=0%),0,SUM(Calculateur!$DB$3:$DB$33)*VLOOKUP('Données projet'!$B$13,Paramètres!$A$1:$I$89,9,0)*B10)</f>
        <v>1.4047775000000002</v>
      </c>
      <c r="K10" s="151">
        <f>J10*(100%-'Données projet'!$C$24)*(100%-'Données projet'!$C$25)*(100%-'Données projet'!$C$26)*(100%-'Données projet'!$C$27)</f>
        <v>1.2642997500000002</v>
      </c>
      <c r="L10" s="152">
        <f t="shared" ca="1" si="2"/>
        <v>41.062925160882699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>Douglas</v>
      </c>
      <c r="B11" s="154">
        <f>'Données projet'!D14</f>
        <v>0.56191100000000005</v>
      </c>
      <c r="C11" s="147">
        <f ca="1">IF(OR('Données projet'!B14="",'Données projet'!C14="",'Données projet'!C14=0%),0,Calculateur!DT3)</f>
        <v>532.64469322244281</v>
      </c>
      <c r="D11" s="147">
        <f>IF(OR('Données projet'!B14="",'Données projet'!C14="",'Données projet'!C14=0%),0,Calculateur!DU3)</f>
        <v>525.88014011096413</v>
      </c>
      <c r="E11" s="147">
        <f t="shared" ca="1" si="0"/>
        <v>525.88014011096413</v>
      </c>
      <c r="F11" s="147">
        <f t="shared" ca="1" si="1"/>
        <v>295.49783540989199</v>
      </c>
      <c r="G11" s="147">
        <f ca="1">F11*(100%-'Données projet'!$C$24)*(100%-'Données projet'!$C$25)*(100%-'Données projet'!$C$26)*(100%-'Données projet'!$C$27)</f>
        <v>265.94805186890278</v>
      </c>
      <c r="H11" s="155">
        <f>IF(OR('Données projet'!B14="",'Données projet'!C14="",'Données projet'!C14=0%),0,AVERAGE(Calculateur!$ED$3:$ED$33)*B11)</f>
        <v>6.9344989597058193</v>
      </c>
      <c r="I11" s="149">
        <f>H11*(100%-'Données projet'!$C$24)*(100%-'Données projet'!$C$25)*(100%-'Données projet'!$C$26)*(100%-'Données projet'!$C$27)</f>
        <v>6.2410490637352378</v>
      </c>
      <c r="J11" s="150">
        <f>IF(OR('Données projet'!B14="",'Données projet'!C14="",'Données projet'!C14=0%),0,SUM(Calculateur!$DW$3:$DW$33)*VLOOKUP('Données projet'!$B$14,Paramètres!$A$1:$I$89,9,0)*B11)</f>
        <v>58.955702120000005</v>
      </c>
      <c r="K11" s="151">
        <f>J11*(100%-'Données projet'!$C$24)*(100%-'Données projet'!$C$25)*(100%-'Données projet'!$C$26)*(100%-'Données projet'!$C$27)</f>
        <v>53.060131908000002</v>
      </c>
      <c r="L11" s="152">
        <f t="shared" ca="1" si="2"/>
        <v>325.24923284063806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>Chêne sessile</v>
      </c>
      <c r="B12" s="154">
        <f>'Données projet'!D15</f>
        <v>0.88300300000000009</v>
      </c>
      <c r="C12" s="147">
        <f ca="1">IF(OR('Données projet'!B15="",'Données projet'!C15="",'Données projet'!C15=0%),0,Calculateur!EO3)</f>
        <v>398.27843768730202</v>
      </c>
      <c r="D12" s="147">
        <f>IF(OR('Données projet'!B15="",'Données projet'!C15="",'Données projet'!C15=0%),0,Calculateur!EP3)</f>
        <v>252.3617347568813</v>
      </c>
      <c r="E12" s="147">
        <f t="shared" ca="1" si="0"/>
        <v>252.3617347568813</v>
      </c>
      <c r="F12" s="147">
        <f t="shared" ca="1" si="1"/>
        <v>222.83616887553049</v>
      </c>
      <c r="G12" s="147">
        <f ca="1">F12*(100%-'Données projet'!$C$24)*(100%-'Données projet'!$C$25)*(100%-'Données projet'!$C$26)*(100%-'Données projet'!$C$27)</f>
        <v>200.55255198797744</v>
      </c>
      <c r="H12" s="155">
        <f>IF(OR('Données projet'!B15="",'Données projet'!C15="",'Données projet'!C15=0%),0,AVERAGE(Calculateur!$EY$3:$EY$33)*B12)</f>
        <v>0.26476662734280548</v>
      </c>
      <c r="I12" s="149">
        <f>H12*(100%-'Données projet'!$C$24)*(100%-'Données projet'!$C$25)*(100%-'Données projet'!$C$26)*(100%-'Données projet'!$C$27)</f>
        <v>0.23828996460852495</v>
      </c>
      <c r="J12" s="150">
        <f>IF(OR('Données projet'!B15="",'Données projet'!C15="",'Données projet'!C15=0%),0,SUM(Calculateur!$ER$3:$ER$33)*VLOOKUP('Données projet'!$B$15,Paramètres!$A$1:$I$89,9,0)*B12)</f>
        <v>6.4017717500000009</v>
      </c>
      <c r="K12" s="151">
        <f>J12*(100%-'Données projet'!$C$24)*(100%-'Données projet'!$C$25)*(100%-'Données projet'!$C$26)*(100%-'Données projet'!$C$27)</f>
        <v>5.7615945750000011</v>
      </c>
      <c r="L12" s="152">
        <f t="shared" ca="1" si="2"/>
        <v>206.55243652758597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>Alisier torminal</v>
      </c>
      <c r="B13" s="154">
        <f>'Données projet'!D16</f>
        <v>0.10836855000000001</v>
      </c>
      <c r="C13" s="147">
        <f ca="1">IF(OR('Données projet'!B16="",'Données projet'!C16="",'Données projet'!C16=0%),0,Calculateur!FJ3)</f>
        <v>422.28024471365825</v>
      </c>
      <c r="D13" s="147">
        <f>IF(OR('Données projet'!B16="",'Données projet'!C16="",'Données projet'!C16=0%),0,Calculateur!FK3)</f>
        <v>266.49730479813206</v>
      </c>
      <c r="E13" s="147">
        <f t="shared" ca="1" si="0"/>
        <v>266.49730479813206</v>
      </c>
      <c r="F13" s="147">
        <f t="shared" ca="1" si="1"/>
        <v>28.879926499881616</v>
      </c>
      <c r="G13" s="147">
        <f ca="1">F13*(100%-'Données projet'!$C$24)*(100%-'Données projet'!$C$25)*(100%-'Données projet'!$C$26)*(100%-'Données projet'!$C$27)</f>
        <v>25.991933849893456</v>
      </c>
      <c r="H13" s="155">
        <f>IF(OR('Données projet'!B16="",'Données projet'!C16="",'Données projet'!C16=0%),0,AVERAGE(Calculateur!$FT$3:$FT$33)*B13)</f>
        <v>3.4735057536979336E-2</v>
      </c>
      <c r="I13" s="149">
        <f>H13*(100%-'Données projet'!$C$24)*(100%-'Données projet'!$C$25)*(100%-'Données projet'!$C$26)*(100%-'Données projet'!$C$27)</f>
        <v>3.1261551783281404E-2</v>
      </c>
      <c r="J13" s="150">
        <f>IF(OR('Données projet'!C16="",'Données projet'!C16=0%),0,SUM(Calculateur!$FM$3:$FM$33)*VLOOKUP('Données projet'!$B$16,Paramètres!$A$1:$I$89,9,0)*B13)</f>
        <v>0.7856719875</v>
      </c>
      <c r="K13" s="151">
        <f>J13*(100%-'Données projet'!$C$24)*(100%-'Données projet'!$C$25)*(100%-'Données projet'!$C$26)*(100%-'Données projet'!$C$27)</f>
        <v>0.70710478875000005</v>
      </c>
      <c r="L13" s="152">
        <f t="shared" ca="1" si="2"/>
        <v>26.730300190426739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>Merisier</v>
      </c>
      <c r="B14" s="154">
        <f>'Données projet'!D17</f>
        <v>0.10836855000000001</v>
      </c>
      <c r="C14" s="147">
        <f ca="1">IF(OR('Données projet'!B17="",'Données projet'!C17="",'Données projet'!C17=0%),0,Calculateur!GE3)</f>
        <v>300.95722646933314</v>
      </c>
      <c r="D14" s="147">
        <f>IF(OR('Données projet'!B17="",'Données projet'!C17="",'Données projet'!C17=0%),0,Calculateur!GF3)</f>
        <v>269.52365224623759</v>
      </c>
      <c r="E14" s="147">
        <f t="shared" ca="1" si="0"/>
        <v>269.52365224623759</v>
      </c>
      <c r="F14" s="147">
        <f t="shared" ca="1" si="1"/>
        <v>29.207887384629014</v>
      </c>
      <c r="G14" s="147">
        <f ca="1">F14*(100%-'Données projet'!$C$24)*(100%-'Données projet'!$C$25)*(100%-'Données projet'!$C$26)*(100%-'Données projet'!$C$27)</f>
        <v>26.287098646166115</v>
      </c>
      <c r="H14" s="155">
        <f>IF(OR('Données projet'!B17="",'Données projet'!C17="",'Données projet'!C17=0%),0,AVERAGE(Calculateur!$GO$3:$GO$33)*B14)</f>
        <v>0.1492888477132743</v>
      </c>
      <c r="I14" s="149">
        <f>H14*(100%-'Données projet'!$C$24)*(100%-'Données projet'!$C$25)*(100%-'Données projet'!$C$26)*(100%-'Données projet'!$C$27)</f>
        <v>0.13435996294194688</v>
      </c>
      <c r="J14" s="150">
        <f>IF(OR('Données projet'!B17="",'Données projet'!C17="",'Données projet'!C17=0%),0,SUM(Calculateur!$GH$3:$GH$33)*VLOOKUP('Données projet'!$B$17,Paramètres!$A$1:$I$89,9,0)*B14)</f>
        <v>1.4087911500000001</v>
      </c>
      <c r="K14" s="151">
        <f>J14*(100%-'Données projet'!$C$24)*(100%-'Données projet'!$C$25)*(100%-'Données projet'!$C$26)*(100%-'Données projet'!$C$27)</f>
        <v>1.2679120350000002</v>
      </c>
      <c r="L14" s="152">
        <f t="shared" ca="1" si="2"/>
        <v>27.68937064410806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2723.7333187752715</v>
      </c>
      <c r="G16" s="166">
        <f t="shared" ca="1" si="3"/>
        <v>2451.3599868977449</v>
      </c>
      <c r="H16" s="167">
        <f t="shared" si="3"/>
        <v>16.62560921313333</v>
      </c>
      <c r="I16" s="167">
        <f t="shared" si="3"/>
        <v>14.963048291819995</v>
      </c>
      <c r="J16" s="168">
        <f t="shared" si="3"/>
        <v>165.45690145750001</v>
      </c>
      <c r="K16" s="168">
        <f t="shared" si="3"/>
        <v>148.91121131175001</v>
      </c>
      <c r="L16" s="169">
        <f t="shared" ca="1" si="3"/>
        <v>2615.2342465013139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Alisier torminal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Merisier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>Chêne pédonculé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>Hêtre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>Douglas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>Chêne sessile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>Alisier torminal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>Merisier</v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I1" zoomScale="80" zoomScaleNormal="80" workbookViewId="0">
      <selection activeCell="T24" sqref="T24:V24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sessile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140.7283719088673</v>
      </c>
      <c r="U10" s="178">
        <f>'Données projet'!D9</f>
        <v>4.9769259999999997</v>
      </c>
      <c r="V10" s="177">
        <f>U10*T10</f>
        <v>700.39469309091123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Alisier torminal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-1527.7862230515786</v>
      </c>
      <c r="U11" s="178">
        <f>'Données projet'!D10</f>
        <v>0.32109200000000004</v>
      </c>
      <c r="V11" s="177">
        <f t="shared" ref="V11" si="0">U11*T11</f>
        <v>-490.55993393207757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Merisier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161.7654950638572</v>
      </c>
      <c r="U12" s="178">
        <f>'Données projet'!D11</f>
        <v>0.32109200000000004</v>
      </c>
      <c r="V12" s="177">
        <f t="shared" ref="V12:V19" si="1">U12*T12</f>
        <v>51.941606341044043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Chêne pédonculé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427.7283719088673</v>
      </c>
      <c r="U13" s="178">
        <f>'Données projet'!D12</f>
        <v>0.58599290000000004</v>
      </c>
      <c r="V13" s="177">
        <f t="shared" si="1"/>
        <v>250.6457890671557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Chêne sessile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Hêtre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93.130170122051169</v>
      </c>
      <c r="U14" s="178">
        <f>'Données projet'!D13</f>
        <v>0.16054600000000002</v>
      </c>
      <c r="V14" s="177">
        <f t="shared" si="1"/>
        <v>14.951676292414829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Douglas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5506.1676283051656</v>
      </c>
      <c r="U15" s="178">
        <f>'Données projet'!D14</f>
        <v>0.56191100000000005</v>
      </c>
      <c r="V15" s="177">
        <f t="shared" si="1"/>
        <v>3093.9761581885841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/>
      <c r="O16" s="23"/>
      <c r="P16" s="23"/>
      <c r="Q16" s="234"/>
      <c r="R16" s="23"/>
      <c r="S16" s="36" t="str">
        <f>B200</f>
        <v>Chêne sessile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-404.2229200244102</v>
      </c>
      <c r="U16" s="178">
        <f>'Données projet'!D15</f>
        <v>0.88300300000000009</v>
      </c>
      <c r="V16" s="177">
        <f t="shared" si="1"/>
        <v>-356.93005105031432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>
        <v>1859</v>
      </c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>Alisier torminal</v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-1728.9406638385897</v>
      </c>
      <c r="U17" s="178">
        <f>'Données projet'!D16</f>
        <v>0.10836855000000001</v>
      </c>
      <c r="V17" s="177">
        <f t="shared" si="1"/>
        <v>-187.3627927762254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/>
      <c r="O18" s="23"/>
      <c r="P18" s="23"/>
      <c r="Q18" s="234"/>
      <c r="R18" s="23"/>
      <c r="S18" s="36" t="str">
        <f>B262</f>
        <v>Merisier</v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61.62811413632744</v>
      </c>
      <c r="U18" s="178">
        <f>'Données projet'!D17</f>
        <v>0.10836855000000001</v>
      </c>
      <c r="V18" s="177">
        <f t="shared" si="1"/>
        <v>6.6785493681883077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0</v>
      </c>
      <c r="I20" s="191"/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0</v>
      </c>
      <c r="I21" s="191">
        <v>2145</v>
      </c>
      <c r="J21" s="1" t="s">
        <v>324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0</v>
      </c>
      <c r="I22" s="191">
        <v>3470</v>
      </c>
      <c r="J22" s="1" t="s">
        <v>325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20</v>
      </c>
      <c r="B23" s="181">
        <f>'Données projet'!D36</f>
        <v>6</v>
      </c>
      <c r="C23" s="193">
        <v>15</v>
      </c>
      <c r="D23" s="182">
        <f>B23*C23</f>
        <v>90</v>
      </c>
      <c r="E23" s="193"/>
      <c r="F23" s="230"/>
      <c r="H23" s="190">
        <v>0</v>
      </c>
      <c r="I23" s="191">
        <v>786</v>
      </c>
      <c r="J23" s="1" t="s">
        <v>326</v>
      </c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-69860.808619713818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30</v>
      </c>
      <c r="B24" s="181">
        <f>'Données projet'!D37</f>
        <v>56</v>
      </c>
      <c r="C24" s="193">
        <v>20</v>
      </c>
      <c r="D24" s="182">
        <f t="shared" ref="D24:D42" si="2">B24*C24</f>
        <v>1120</v>
      </c>
      <c r="E24" s="193"/>
      <c r="F24" s="233"/>
      <c r="H24" s="190">
        <v>0</v>
      </c>
      <c r="I24" s="191">
        <v>1500</v>
      </c>
      <c r="J24" s="1" t="s">
        <v>327</v>
      </c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29673.713522757269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40</v>
      </c>
      <c r="B25" s="181">
        <f>'Données projet'!D38</f>
        <v>56</v>
      </c>
      <c r="C25" s="193">
        <v>24</v>
      </c>
      <c r="D25" s="182">
        <f t="shared" si="2"/>
        <v>1344</v>
      </c>
      <c r="E25" s="193"/>
      <c r="F25" s="233"/>
      <c r="H25" s="190">
        <v>1</v>
      </c>
      <c r="I25" s="191">
        <v>450</v>
      </c>
      <c r="J25" s="1" t="s">
        <v>328</v>
      </c>
      <c r="K25" s="208"/>
      <c r="L25" s="130" t="s">
        <v>285</v>
      </c>
      <c r="M25" s="130"/>
      <c r="N25" s="130"/>
      <c r="O25" s="130"/>
      <c r="P25" s="192">
        <v>165</v>
      </c>
      <c r="Q25" s="234"/>
      <c r="R25" s="23"/>
      <c r="S25" s="186" t="s">
        <v>266</v>
      </c>
      <c r="T25" s="303">
        <f ca="1">T23-T24</f>
        <v>-99534.522142471091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50</v>
      </c>
      <c r="B26" s="181">
        <f>'Données projet'!D39</f>
        <v>56</v>
      </c>
      <c r="C26" s="193">
        <v>24</v>
      </c>
      <c r="D26" s="182">
        <f t="shared" si="2"/>
        <v>1344</v>
      </c>
      <c r="E26" s="193"/>
      <c r="F26" s="233"/>
      <c r="G26" s="229"/>
      <c r="H26" s="190">
        <v>3</v>
      </c>
      <c r="I26" s="191">
        <v>450</v>
      </c>
      <c r="J26" s="1" t="s">
        <v>329</v>
      </c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60</v>
      </c>
      <c r="B27" s="181">
        <f>'Données projet'!D40</f>
        <v>56</v>
      </c>
      <c r="C27" s="193">
        <v>35</v>
      </c>
      <c r="D27" s="182">
        <f t="shared" si="2"/>
        <v>1960</v>
      </c>
      <c r="E27" s="193"/>
      <c r="F27" s="233"/>
      <c r="G27" s="229"/>
      <c r="H27" s="190">
        <v>5</v>
      </c>
      <c r="I27" s="191">
        <v>450</v>
      </c>
      <c r="J27" s="1" t="s">
        <v>330</v>
      </c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70</v>
      </c>
      <c r="B28" s="181">
        <f>'Données projet'!D41</f>
        <v>56</v>
      </c>
      <c r="C28" s="193">
        <v>70</v>
      </c>
      <c r="D28" s="182">
        <f t="shared" si="2"/>
        <v>3920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80</v>
      </c>
      <c r="B29" s="181">
        <f>'Données projet'!D42</f>
        <v>56</v>
      </c>
      <c r="C29" s="193">
        <v>100</v>
      </c>
      <c r="D29" s="182">
        <f t="shared" si="2"/>
        <v>5600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90</v>
      </c>
      <c r="B30" s="181">
        <f>'Données projet'!D43</f>
        <v>56</v>
      </c>
      <c r="C30" s="193">
        <v>140</v>
      </c>
      <c r="D30" s="182">
        <f t="shared" si="2"/>
        <v>7840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3696.5995443993957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100</v>
      </c>
      <c r="B31" s="181">
        <f>'Données projet'!D44</f>
        <v>55</v>
      </c>
      <c r="C31" s="193">
        <v>180</v>
      </c>
      <c r="D31" s="182">
        <f t="shared" si="2"/>
        <v>9900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110</v>
      </c>
      <c r="B32" s="181">
        <f>'Données projet'!D45</f>
        <v>51</v>
      </c>
      <c r="C32" s="193">
        <v>200</v>
      </c>
      <c r="D32" s="182">
        <f t="shared" si="2"/>
        <v>10200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120</v>
      </c>
      <c r="B33" s="181">
        <f>'Données projet'!D46</f>
        <v>352</v>
      </c>
      <c r="C33" s="193">
        <v>250</v>
      </c>
      <c r="D33" s="182">
        <f t="shared" si="2"/>
        <v>88000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165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157.89473684210526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151.09544195416774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144.58893966906004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138.36262169288045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132.40442267261287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126.70279681589753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121.24669551760527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116.02554594986154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111.02923057403019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106.24806753495714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101.67279189948052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Alisier torminal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97.294537702852196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93.104820768279609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89.0955222662963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>
        <v>2983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85.258872982101707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81.587438260384445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78.074103598454016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74.71206085976462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71.494795081114475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68.416071847956445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20</v>
      </c>
      <c r="B54" s="181">
        <f>'Données projet'!D62</f>
        <v>6</v>
      </c>
      <c r="C54" s="191">
        <v>15</v>
      </c>
      <c r="D54" s="179">
        <f>B54*C54</f>
        <v>90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65.469925213355452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30</v>
      </c>
      <c r="B55" s="181">
        <f>'Données projet'!D63</f>
        <v>56</v>
      </c>
      <c r="C55" s="191">
        <v>20</v>
      </c>
      <c r="D55" s="179">
        <f t="shared" ref="D55:D73" si="4">B55*C55</f>
        <v>1120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62.650646137182271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40</v>
      </c>
      <c r="B56" s="181">
        <f>'Données projet'!D64</f>
        <v>56</v>
      </c>
      <c r="C56" s="191">
        <v>24</v>
      </c>
      <c r="D56" s="179">
        <f t="shared" si="4"/>
        <v>1344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59.952771423140923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50</v>
      </c>
      <c r="B57" s="181">
        <f>'Données projet'!D65</f>
        <v>56</v>
      </c>
      <c r="C57" s="191">
        <v>24</v>
      </c>
      <c r="D57" s="179">
        <f t="shared" si="4"/>
        <v>1344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57.371073132192286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60</v>
      </c>
      <c r="B58" s="181">
        <f>'Données projet'!D66</f>
        <v>56</v>
      </c>
      <c r="C58" s="191">
        <v>35</v>
      </c>
      <c r="D58" s="179">
        <f t="shared" si="4"/>
        <v>1960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54.900548451858647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70</v>
      </c>
      <c r="B59" s="181">
        <f>'Données projet'!D67</f>
        <v>56</v>
      </c>
      <c r="C59" s="191">
        <v>70</v>
      </c>
      <c r="D59" s="179">
        <f t="shared" si="4"/>
        <v>3920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52.536410001778627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80</v>
      </c>
      <c r="B60" s="181">
        <f>'Données projet'!D68</f>
        <v>56</v>
      </c>
      <c r="C60" s="191">
        <v>90</v>
      </c>
      <c r="D60" s="179">
        <f t="shared" si="4"/>
        <v>5040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50.274076556725952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90</v>
      </c>
      <c r="B61" s="181">
        <f>'Données projet'!D69</f>
        <v>56</v>
      </c>
      <c r="C61" s="191">
        <v>110</v>
      </c>
      <c r="D61" s="179">
        <f t="shared" si="4"/>
        <v>6160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48.109164169115758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100</v>
      </c>
      <c r="B62" s="181">
        <f>'Données projet'!D70</f>
        <v>55</v>
      </c>
      <c r="C62" s="191">
        <v>130</v>
      </c>
      <c r="D62" s="179">
        <f t="shared" si="4"/>
        <v>7150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46.037477673794974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110</v>
      </c>
      <c r="B63" s="181">
        <f>'Données projet'!D71</f>
        <v>51</v>
      </c>
      <c r="C63" s="191">
        <v>150</v>
      </c>
      <c r="D63" s="179">
        <f t="shared" si="4"/>
        <v>7650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44.055002558655495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120</v>
      </c>
      <c r="B64" s="181">
        <f>'Données projet'!D72</f>
        <v>352</v>
      </c>
      <c r="C64" s="191">
        <v>170</v>
      </c>
      <c r="D64" s="179">
        <f t="shared" si="4"/>
        <v>59840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42.157897185316259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40.342485344800266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38.605249133780163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36.942822137588678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35.351982906783427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33.829648714625293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32.372869583373486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30.978822567821524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29.644806284996676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28.368235679422661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27.146637013801595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25.977643075408228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Merisier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24.858988588907394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23.788505826705645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ht="30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22.764120408330761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>
        <v>1606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21.783847280699298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20.845786871482577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19.948121408117309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19.089111395327567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18.267092244332606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17.480471047208233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20</v>
      </c>
      <c r="B85" s="181">
        <f>'Données projet'!D88</f>
        <v>27</v>
      </c>
      <c r="C85" s="191">
        <v>6</v>
      </c>
      <c r="D85" s="179">
        <f>B85*C85</f>
        <v>162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16.727723490151423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30</v>
      </c>
      <c r="B86" s="181">
        <f>'Données projet'!D89</f>
        <v>39</v>
      </c>
      <c r="C86" s="191">
        <v>10</v>
      </c>
      <c r="D86" s="179">
        <f t="shared" ref="D86:D104" si="6">B86*C86</f>
        <v>390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16.007390899666433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40</v>
      </c>
      <c r="B87" s="181">
        <f>'Données projet'!D90</f>
        <v>61</v>
      </c>
      <c r="C87" s="191">
        <v>15</v>
      </c>
      <c r="D87" s="179">
        <f t="shared" si="6"/>
        <v>915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15.318077415948746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50</v>
      </c>
      <c r="B88" s="181">
        <f>'Données projet'!D91</f>
        <v>71</v>
      </c>
      <c r="C88" s="191">
        <v>25</v>
      </c>
      <c r="D88" s="179">
        <f t="shared" si="6"/>
        <v>1775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14.65844728798923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60</v>
      </c>
      <c r="B89" s="181">
        <f>'Données projet'!D92</f>
        <v>72</v>
      </c>
      <c r="C89" s="191">
        <v>30</v>
      </c>
      <c r="D89" s="179">
        <f t="shared" si="6"/>
        <v>2160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14.02722228515716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70</v>
      </c>
      <c r="B90" s="181">
        <f>'Données projet'!D93</f>
        <v>69</v>
      </c>
      <c r="C90" s="191">
        <v>60</v>
      </c>
      <c r="D90" s="179">
        <f t="shared" si="6"/>
        <v>4140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13.423179220246089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80</v>
      </c>
      <c r="B91" s="181">
        <f>'Données projet'!D94</f>
        <v>380</v>
      </c>
      <c r="C91" s="191">
        <v>80</v>
      </c>
      <c r="D91" s="179">
        <f t="shared" si="6"/>
        <v>30400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12.845147579182862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12.292007252806567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11.762686366322075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11.256159202222079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10.771444212652712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10.307602117371015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9.863734083608632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9.4389799843144804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9.0325167314014188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8.643556680766908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8.2713461059970417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7.9151637377962132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7.5743193663121682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7"/>
        <v>7.2481525036480079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7"/>
        <v>6.9360311039693867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7"/>
        <v>6.6373503387266863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>Chêne pédonculé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7"/>
        <v>6.3515314246188392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7"/>
        <v>6.0780205020275977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str">
        <f>IF(O108+1&lt;=MIN('Données projet'!$E$9:$E$18),O108+1,"STOP")</f>
        <v>STOP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v>1572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20</v>
      </c>
      <c r="B116" s="181">
        <f>'Données projet'!D114</f>
        <v>6</v>
      </c>
      <c r="C116" s="191">
        <v>15</v>
      </c>
      <c r="D116" s="179">
        <f>B116*C116</f>
        <v>90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30</v>
      </c>
      <c r="B117" s="181">
        <f>'Données projet'!D115</f>
        <v>56</v>
      </c>
      <c r="C117" s="191">
        <v>20</v>
      </c>
      <c r="D117" s="179">
        <f t="shared" ref="D117:D135" si="8">B117*C117</f>
        <v>1120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40</v>
      </c>
      <c r="B118" s="181">
        <f>'Données projet'!D116</f>
        <v>56</v>
      </c>
      <c r="C118" s="191">
        <v>24</v>
      </c>
      <c r="D118" s="179">
        <f t="shared" si="8"/>
        <v>1344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50</v>
      </c>
      <c r="B119" s="181">
        <f>'Données projet'!D117</f>
        <v>56</v>
      </c>
      <c r="C119" s="191">
        <v>24</v>
      </c>
      <c r="D119" s="179">
        <f t="shared" si="8"/>
        <v>1344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60</v>
      </c>
      <c r="B120" s="181">
        <f>'Données projet'!D118</f>
        <v>56</v>
      </c>
      <c r="C120" s="191">
        <v>35</v>
      </c>
      <c r="D120" s="179">
        <f t="shared" si="8"/>
        <v>1960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70</v>
      </c>
      <c r="B121" s="181">
        <f>'Données projet'!D119</f>
        <v>56</v>
      </c>
      <c r="C121" s="191">
        <v>70</v>
      </c>
      <c r="D121" s="179">
        <f t="shared" si="8"/>
        <v>3920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80</v>
      </c>
      <c r="B122" s="181">
        <f>'Données projet'!D120</f>
        <v>56</v>
      </c>
      <c r="C122" s="191">
        <v>100</v>
      </c>
      <c r="D122" s="179">
        <f t="shared" si="8"/>
        <v>5600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90</v>
      </c>
      <c r="B123" s="181">
        <f>'Données projet'!D121</f>
        <v>56</v>
      </c>
      <c r="C123" s="191">
        <v>140</v>
      </c>
      <c r="D123" s="179">
        <f t="shared" si="8"/>
        <v>7840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100</v>
      </c>
      <c r="B124" s="181">
        <f>'Données projet'!D122</f>
        <v>55</v>
      </c>
      <c r="C124" s="191">
        <v>180</v>
      </c>
      <c r="D124" s="179">
        <f t="shared" si="8"/>
        <v>9900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110</v>
      </c>
      <c r="B125" s="181">
        <f>'Données projet'!D123</f>
        <v>51</v>
      </c>
      <c r="C125" s="191">
        <v>200</v>
      </c>
      <c r="D125" s="179">
        <f t="shared" si="8"/>
        <v>10200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120</v>
      </c>
      <c r="B126" s="181">
        <f>'Données projet'!D124</f>
        <v>352</v>
      </c>
      <c r="C126" s="191">
        <v>250</v>
      </c>
      <c r="D126" s="179">
        <f t="shared" si="8"/>
        <v>88000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>Hêtre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>
        <v>1072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20</v>
      </c>
      <c r="B147" s="175">
        <f>'Données projet'!D140</f>
        <v>0</v>
      </c>
      <c r="C147" s="191">
        <v>15</v>
      </c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30</v>
      </c>
      <c r="B148" s="175">
        <f>'Données projet'!D141</f>
        <v>35</v>
      </c>
      <c r="C148" s="191">
        <v>20</v>
      </c>
      <c r="D148" s="182">
        <f t="shared" ref="D148:D166" si="10">B148*C148</f>
        <v>700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40</v>
      </c>
      <c r="B149" s="175">
        <f>'Données projet'!D142</f>
        <v>56</v>
      </c>
      <c r="C149" s="191">
        <v>24</v>
      </c>
      <c r="D149" s="182">
        <f t="shared" si="10"/>
        <v>1344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50</v>
      </c>
      <c r="B150" s="175">
        <f>'Données projet'!D143</f>
        <v>56</v>
      </c>
      <c r="C150" s="191">
        <v>24</v>
      </c>
      <c r="D150" s="182">
        <f t="shared" si="10"/>
        <v>1344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60</v>
      </c>
      <c r="B151" s="175">
        <f>'Données projet'!D144</f>
        <v>56</v>
      </c>
      <c r="C151" s="191">
        <v>30</v>
      </c>
      <c r="D151" s="182">
        <f t="shared" si="10"/>
        <v>1680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70</v>
      </c>
      <c r="B152" s="175">
        <f>'Données projet'!D145</f>
        <v>56</v>
      </c>
      <c r="C152" s="191">
        <v>60</v>
      </c>
      <c r="D152" s="182">
        <f t="shared" si="10"/>
        <v>3360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80</v>
      </c>
      <c r="B153" s="175">
        <f>'Données projet'!D146</f>
        <v>56</v>
      </c>
      <c r="C153" s="191">
        <v>60</v>
      </c>
      <c r="D153" s="182">
        <f t="shared" si="10"/>
        <v>3360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90</v>
      </c>
      <c r="B154" s="175">
        <f>'Données projet'!D147</f>
        <v>53</v>
      </c>
      <c r="C154" s="191">
        <v>70</v>
      </c>
      <c r="D154" s="182">
        <f t="shared" si="10"/>
        <v>3710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100</v>
      </c>
      <c r="B155" s="175">
        <f>'Données projet'!D148</f>
        <v>49</v>
      </c>
      <c r="C155" s="191">
        <v>70</v>
      </c>
      <c r="D155" s="182">
        <f t="shared" si="10"/>
        <v>3430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110</v>
      </c>
      <c r="B156" s="175">
        <f>'Données projet'!D149</f>
        <v>45</v>
      </c>
      <c r="C156" s="191">
        <v>80</v>
      </c>
      <c r="D156" s="182">
        <f t="shared" si="10"/>
        <v>3600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120</v>
      </c>
      <c r="B157" s="175">
        <f>'Données projet'!D150</f>
        <v>43</v>
      </c>
      <c r="C157" s="191">
        <v>80</v>
      </c>
      <c r="D157" s="182">
        <f t="shared" si="10"/>
        <v>3440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130</v>
      </c>
      <c r="B158" s="175">
        <f>'Données projet'!D151</f>
        <v>41</v>
      </c>
      <c r="C158" s="191">
        <v>80</v>
      </c>
      <c r="D158" s="182">
        <f t="shared" si="10"/>
        <v>3280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140</v>
      </c>
      <c r="B159" s="175">
        <f>'Données projet'!D152</f>
        <v>30</v>
      </c>
      <c r="C159" s="191">
        <v>80</v>
      </c>
      <c r="D159" s="182">
        <f t="shared" si="10"/>
        <v>2400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150</v>
      </c>
      <c r="B160" s="175">
        <f>'Données projet'!D153</f>
        <v>467</v>
      </c>
      <c r="C160" s="191">
        <v>80</v>
      </c>
      <c r="D160" s="182">
        <f t="shared" si="10"/>
        <v>37360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>Douglas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>
        <v>787</v>
      </c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10</v>
      </c>
      <c r="B178" s="181">
        <f>'Données projet'!D166</f>
        <v>0</v>
      </c>
      <c r="C178" s="193">
        <v>20</v>
      </c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20</v>
      </c>
      <c r="B179" s="181">
        <f>'Données projet'!D167</f>
        <v>104</v>
      </c>
      <c r="C179" s="193">
        <v>22</v>
      </c>
      <c r="D179" s="179">
        <f t="shared" ref="D179:D197" si="11">B179*C179</f>
        <v>2288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30</v>
      </c>
      <c r="B180" s="181">
        <f>'Données projet'!D168</f>
        <v>140</v>
      </c>
      <c r="C180" s="193">
        <v>28</v>
      </c>
      <c r="D180" s="179">
        <f t="shared" si="11"/>
        <v>3920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40</v>
      </c>
      <c r="B181" s="181">
        <f>'Données projet'!D169</f>
        <v>140</v>
      </c>
      <c r="C181" s="193">
        <v>40</v>
      </c>
      <c r="D181" s="179">
        <f t="shared" si="11"/>
        <v>5600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50</v>
      </c>
      <c r="B182" s="181">
        <f>'Données projet'!D170</f>
        <v>129</v>
      </c>
      <c r="C182" s="193">
        <v>55</v>
      </c>
      <c r="D182" s="179">
        <f t="shared" si="11"/>
        <v>7095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60</v>
      </c>
      <c r="B183" s="181">
        <f>'Données projet'!D171</f>
        <v>96</v>
      </c>
      <c r="C183" s="193">
        <v>62</v>
      </c>
      <c r="D183" s="179">
        <f t="shared" si="11"/>
        <v>5952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70</v>
      </c>
      <c r="B184" s="181">
        <f>'Données projet'!D172</f>
        <v>80</v>
      </c>
      <c r="C184" s="193">
        <v>70</v>
      </c>
      <c r="D184" s="179">
        <f t="shared" si="11"/>
        <v>5600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80</v>
      </c>
      <c r="B185" s="181">
        <f>'Données projet'!D173</f>
        <v>790</v>
      </c>
      <c r="C185" s="193">
        <v>80</v>
      </c>
      <c r="D185" s="179">
        <f t="shared" si="11"/>
        <v>63200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>Chêne sessile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>
        <v>1859</v>
      </c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20</v>
      </c>
      <c r="B209" s="181">
        <f>'Données projet'!D192</f>
        <v>0</v>
      </c>
      <c r="C209" s="193">
        <v>15</v>
      </c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30</v>
      </c>
      <c r="B210" s="181">
        <f>'Données projet'!D193</f>
        <v>29</v>
      </c>
      <c r="C210" s="193">
        <v>20</v>
      </c>
      <c r="D210" s="179">
        <f t="shared" ref="D210:D228" si="12">B210*C210</f>
        <v>580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40</v>
      </c>
      <c r="B211" s="181">
        <f>'Données projet'!D194</f>
        <v>42</v>
      </c>
      <c r="C211" s="193">
        <v>24</v>
      </c>
      <c r="D211" s="179">
        <f t="shared" si="12"/>
        <v>1008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50</v>
      </c>
      <c r="B212" s="181">
        <f>'Données projet'!D195</f>
        <v>42</v>
      </c>
      <c r="C212" s="193">
        <v>24</v>
      </c>
      <c r="D212" s="179">
        <f t="shared" si="12"/>
        <v>1008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60</v>
      </c>
      <c r="B213" s="181">
        <f>'Données projet'!D196</f>
        <v>42</v>
      </c>
      <c r="C213" s="193">
        <v>35</v>
      </c>
      <c r="D213" s="179">
        <f t="shared" si="12"/>
        <v>1470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70</v>
      </c>
      <c r="B214" s="181">
        <f>'Données projet'!D197</f>
        <v>42</v>
      </c>
      <c r="C214" s="193">
        <v>70</v>
      </c>
      <c r="D214" s="179">
        <f t="shared" si="12"/>
        <v>2940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80</v>
      </c>
      <c r="B215" s="181">
        <f>'Données projet'!D198</f>
        <v>42</v>
      </c>
      <c r="C215" s="193">
        <v>100</v>
      </c>
      <c r="D215" s="179">
        <f t="shared" si="12"/>
        <v>4200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90</v>
      </c>
      <c r="B216" s="181">
        <f>'Données projet'!D199</f>
        <v>42</v>
      </c>
      <c r="C216" s="193">
        <v>140</v>
      </c>
      <c r="D216" s="179">
        <f t="shared" si="12"/>
        <v>5880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100</v>
      </c>
      <c r="B217" s="181">
        <f>'Données projet'!D200</f>
        <v>42</v>
      </c>
      <c r="C217" s="193">
        <v>180</v>
      </c>
      <c r="D217" s="179">
        <f t="shared" si="12"/>
        <v>7560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110</v>
      </c>
      <c r="B218" s="181">
        <f>'Données projet'!D201</f>
        <v>39</v>
      </c>
      <c r="C218" s="193">
        <v>200</v>
      </c>
      <c r="D218" s="179">
        <f t="shared" si="12"/>
        <v>7800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120</v>
      </c>
      <c r="B219" s="181">
        <f>'Données projet'!D202</f>
        <v>303</v>
      </c>
      <c r="C219" s="193">
        <v>250</v>
      </c>
      <c r="D219" s="179">
        <f t="shared" si="12"/>
        <v>75750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>Alisier torminal</v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>
        <v>2983</v>
      </c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20</v>
      </c>
      <c r="B240" s="181">
        <f>'Données projet'!D218</f>
        <v>0</v>
      </c>
      <c r="C240" s="193">
        <v>15</v>
      </c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30</v>
      </c>
      <c r="B241" s="181">
        <f>'Données projet'!D219</f>
        <v>29</v>
      </c>
      <c r="C241" s="193">
        <v>20</v>
      </c>
      <c r="D241" s="179">
        <f t="shared" ref="D241:D259" si="13">B241*C241</f>
        <v>580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40</v>
      </c>
      <c r="B242" s="181">
        <f>'Données projet'!D220</f>
        <v>42</v>
      </c>
      <c r="C242" s="193">
        <v>24</v>
      </c>
      <c r="D242" s="179">
        <f t="shared" si="13"/>
        <v>1008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50</v>
      </c>
      <c r="B243" s="181">
        <f>'Données projet'!D221</f>
        <v>42</v>
      </c>
      <c r="C243" s="193">
        <v>24</v>
      </c>
      <c r="D243" s="179">
        <f t="shared" si="13"/>
        <v>1008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60</v>
      </c>
      <c r="B244" s="181">
        <f>'Données projet'!D222</f>
        <v>42</v>
      </c>
      <c r="C244" s="193">
        <v>35</v>
      </c>
      <c r="D244" s="179">
        <f t="shared" si="13"/>
        <v>1470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70</v>
      </c>
      <c r="B245" s="181">
        <f>'Données projet'!D223</f>
        <v>42</v>
      </c>
      <c r="C245" s="193">
        <v>70</v>
      </c>
      <c r="D245" s="179">
        <f t="shared" si="13"/>
        <v>2940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80</v>
      </c>
      <c r="B246" s="181">
        <f>'Données projet'!D224</f>
        <v>42</v>
      </c>
      <c r="C246" s="193">
        <v>90</v>
      </c>
      <c r="D246" s="179">
        <f t="shared" si="13"/>
        <v>3780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90</v>
      </c>
      <c r="B247" s="181">
        <f>'Données projet'!D225</f>
        <v>42</v>
      </c>
      <c r="C247" s="193">
        <v>110</v>
      </c>
      <c r="D247" s="179">
        <f t="shared" si="13"/>
        <v>4620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100</v>
      </c>
      <c r="B248" s="181">
        <f>'Données projet'!D226</f>
        <v>42</v>
      </c>
      <c r="C248" s="193">
        <v>130</v>
      </c>
      <c r="D248" s="179">
        <f t="shared" si="13"/>
        <v>5460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110</v>
      </c>
      <c r="B249" s="181">
        <f>'Données projet'!D227</f>
        <v>39</v>
      </c>
      <c r="C249" s="193">
        <v>150</v>
      </c>
      <c r="D249" s="179">
        <f t="shared" si="13"/>
        <v>5850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120</v>
      </c>
      <c r="B250" s="181">
        <f>'Données projet'!D228</f>
        <v>303</v>
      </c>
      <c r="C250" s="193">
        <v>170</v>
      </c>
      <c r="D250" s="179">
        <f t="shared" si="13"/>
        <v>51510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>Merisier</v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>
        <v>1606</v>
      </c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25</v>
      </c>
      <c r="B271" s="181">
        <f>'Données projet'!D244</f>
        <v>28</v>
      </c>
      <c r="C271" s="193">
        <v>6</v>
      </c>
      <c r="D271" s="179">
        <f>B271*C271</f>
        <v>168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30</v>
      </c>
      <c r="B272" s="181">
        <f>'Données projet'!D245</f>
        <v>24</v>
      </c>
      <c r="C272" s="193">
        <v>10</v>
      </c>
      <c r="D272" s="179">
        <f t="shared" ref="D272:D290" si="14">B272*C272</f>
        <v>240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35</v>
      </c>
      <c r="B273" s="181">
        <f>'Données projet'!D246</f>
        <v>27</v>
      </c>
      <c r="C273" s="193">
        <v>15</v>
      </c>
      <c r="D273" s="179">
        <f t="shared" si="14"/>
        <v>405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45</v>
      </c>
      <c r="B274" s="181">
        <f>'Données projet'!D247</f>
        <v>63</v>
      </c>
      <c r="C274" s="193">
        <v>25</v>
      </c>
      <c r="D274" s="179">
        <f t="shared" si="14"/>
        <v>1575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55</v>
      </c>
      <c r="B275" s="181">
        <f>'Données projet'!D248</f>
        <v>60</v>
      </c>
      <c r="C275" s="193">
        <v>30</v>
      </c>
      <c r="D275" s="179">
        <f t="shared" si="14"/>
        <v>1800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65</v>
      </c>
      <c r="B276" s="181">
        <f>'Données projet'!D249</f>
        <v>53</v>
      </c>
      <c r="C276" s="193">
        <v>60</v>
      </c>
      <c r="D276" s="179">
        <f t="shared" si="14"/>
        <v>3180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75</v>
      </c>
      <c r="B277" s="181">
        <f>'Données projet'!D250</f>
        <v>306</v>
      </c>
      <c r="C277" s="193">
        <v>80</v>
      </c>
      <c r="D277" s="179">
        <f t="shared" si="14"/>
        <v>24480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06D02EFB7524E92A31806A20933C4" ma:contentTypeVersion="16" ma:contentTypeDescription="Crée un document." ma:contentTypeScope="" ma:versionID="0e9e021c327d8551a1f55b1299a1ead0">
  <xsd:schema xmlns:xsd="http://www.w3.org/2001/XMLSchema" xmlns:xs="http://www.w3.org/2001/XMLSchema" xmlns:p="http://schemas.microsoft.com/office/2006/metadata/properties" xmlns:ns2="7f778677-e8d3-4866-966d-dd352b4d4b95" xmlns:ns3="655929c3-d7c5-4e51-b5f8-f25933e16e57" targetNamespace="http://schemas.microsoft.com/office/2006/metadata/properties" ma:root="true" ma:fieldsID="2136bc5999714f027c7596c726032f96" ns2:_="" ns3:_="">
    <xsd:import namespace="7f778677-e8d3-4866-966d-dd352b4d4b95"/>
    <xsd:import namespace="655929c3-d7c5-4e51-b5f8-f25933e16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78677-e8d3-4866-966d-dd352b4d4b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31a7892-0253-4b23-af1e-d16b27205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929c3-d7c5-4e51-b5f8-f25933e16e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035bd7a-0690-4dae-a8f1-713ab1cfbd47}" ma:internalName="TaxCatchAll" ma:showField="CatchAllData" ma:web="655929c3-d7c5-4e51-b5f8-f25933e16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25F396-F520-4214-B137-FFBC1F0B9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778677-e8d3-4866-966d-dd352b4d4b95"/>
    <ds:schemaRef ds:uri="655929c3-d7c5-4e51-b5f8-f25933e16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6CB8604-1778-4425-9497-BFC15C0CA2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Timothee CALLEJA</cp:lastModifiedBy>
  <dcterms:created xsi:type="dcterms:W3CDTF">2021-02-01T08:22:39Z</dcterms:created>
  <dcterms:modified xsi:type="dcterms:W3CDTF">2024-05-24T17:15:23Z</dcterms:modified>
</cp:coreProperties>
</file>